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CorpStrategy\_RegNew\04_Individual Working\D Voltz\AER Determination\2020 2025\Alternative Control Services\"/>
    </mc:Choice>
  </mc:AlternateContent>
  <xr:revisionPtr revIDLastSave="0" documentId="10_ncr:100000_{14F43F67-E467-497B-9A0B-5C55102CD754}" xr6:coauthVersionLast="31" xr6:coauthVersionMax="31" xr10:uidLastSave="{00000000-0000-0000-0000-000000000000}"/>
  <bookViews>
    <workbookView xWindow="0" yWindow="0" windowWidth="23040" windowHeight="10590" tabRatio="859" xr2:uid="{00000000-000D-0000-FFFF-FFFF00000000}"/>
  </bookViews>
  <sheets>
    <sheet name="Contents" sheetId="5" r:id="rId1"/>
    <sheet name="Administration" sheetId="6" r:id="rId2"/>
    <sheet name="HID Tariffs" sheetId="36" r:id="rId3"/>
    <sheet name="LED Tariffs" sheetId="62" r:id="rId4"/>
    <sheet name="HID" sheetId="35" r:id="rId5"/>
    <sheet name="LED" sheetId="56" r:id="rId6"/>
    <sheet name="Total Exp" sheetId="68" r:id="rId7"/>
    <sheet name="CAPEX Graph" sheetId="73" r:id="rId8"/>
    <sheet name="OPEX Graph" sheetId="75" r:id="rId9"/>
    <sheet name="SLO Summary" sheetId="74" r:id="rId10"/>
    <sheet name="Controls" sheetId="67" r:id="rId11"/>
    <sheet name="PTRM Integration" sheetId="64" r:id="rId12"/>
    <sheet name="Cable Replacement" sheetId="51" r:id="rId13"/>
    <sheet name="Column Replacement" sheetId="15" r:id="rId14"/>
    <sheet name="Brackets Replacement" sheetId="18" r:id="rId15"/>
    <sheet name="GSL" sheetId="21" r:id="rId16"/>
    <sheet name="Column Inspections" sheetId="14" r:id="rId17"/>
    <sheet name="Bulk Lamp" sheetId="46" r:id="rId18"/>
    <sheet name="LED Conversions" sheetId="23" r:id="rId19"/>
    <sheet name="LED CAPEX" sheetId="69" r:id="rId20"/>
    <sheet name="Cable Faults" sheetId="42" r:id="rId21"/>
    <sheet name="SLO" sheetId="19" r:id="rId22"/>
    <sheet name="SLO HID OPEX" sheetId="70" r:id="rId23"/>
    <sheet name="SLO LED OPEX" sheetId="72" r:id="rId24"/>
    <sheet name="Luminaire_Annuity" sheetId="54" r:id="rId25"/>
    <sheet name="TFI_Annuity_Calcs" sheetId="57" r:id="rId26"/>
    <sheet name="LED Annuity" sheetId="55" r:id="rId27"/>
    <sheet name="HID_Annuity" sheetId="59" r:id="rId28"/>
    <sheet name="Global Assumptions" sheetId="3" r:id="rId29"/>
    <sheet name="SLO Costs" sheetId="34" r:id="rId30"/>
    <sheet name="AMP" sheetId="50" r:id="rId31"/>
    <sheet name="Lists" sheetId="28" r:id="rId32"/>
    <sheet name="CableFault_Data" sheetId="43" r:id="rId33"/>
    <sheet name="GSL_Data" sheetId="53" r:id="rId34"/>
    <sheet name="Column_Data" sheetId="65" r:id="rId35"/>
    <sheet name="SLO_Data" sheetId="32" r:id="rId36"/>
    <sheet name="SLO_Fittings_Data" sheetId="41" r:id="rId37"/>
    <sheet name="Lights_Data" sheetId="33" r:id="rId38"/>
    <sheet name="LED_PriceData" sheetId="66" r:id="rId39"/>
    <sheet name="Temp_Tariff_Output" sheetId="60" state="veryHidden" r:id="rId40"/>
  </sheets>
  <definedNames>
    <definedName name="__DeleteLED_Name">Controls!$F$27</definedName>
    <definedName name="__DynamicYrNominal">Controls!$O$17</definedName>
    <definedName name="__NewLED_Cat">Controls!$F$23</definedName>
    <definedName name="__NewLED_Name">Controls!$F$21</definedName>
    <definedName name="__PTRM_ImportTo">'PTRM Integration'!$B$179:$Q$225</definedName>
    <definedName name="__PTRM_ImportTo1">'PTRM Integration'!$B$109:$Q$155</definedName>
    <definedName name="__PTRM_LastUpdated">'PTRM Integration'!$F$229</definedName>
    <definedName name="__PTRM_LastUpdated1">'PTRM Integration'!$F$159</definedName>
    <definedName name="__PTRM_OutputFrom">'PTRM Integration'!$B$231</definedName>
    <definedName name="__PTRM_OutputFrom1">'PTRM Integration'!$B$161</definedName>
    <definedName name="__RAB_ImportTo">'PTRM Integration'!$B$54:$Q$78</definedName>
    <definedName name="__RAB_LastUpdated">'PTRM Integration'!$F$82</definedName>
    <definedName name="__RAB_OutputFrom">'PTRM Integration'!$B$84</definedName>
    <definedName name="__UpdatedAnnuities">Controls!$J$7</definedName>
    <definedName name="__UpdatedRAB_PTRM">Controls!$J$5</definedName>
    <definedName name="__UpdatedTariffs">Controls!$J$15</definedName>
    <definedName name="A_File_Long">LEFT(CELL("filename"),FIND("]",CELL("filename")))</definedName>
    <definedName name="A_Name_File">Administration!$C$6</definedName>
    <definedName name="A_Name_Model">Administration!$C$4</definedName>
    <definedName name="A3stdlife">Luminaire_Annuity!$C$47</definedName>
    <definedName name="A3taxstdlife">Luminaire_Annuity!$C$46</definedName>
    <definedName name="aaaaa" localSheetId="25" hidden="1">{"Allocation of Cash Flows",#N/A,FALSE,"Cash Flow Worksheet"}</definedName>
    <definedName name="aaaaa" hidden="1">{"Allocation of Cash Flows",#N/A,FALSE,"Cash Flow Worksheet"}</definedName>
    <definedName name="abcde" localSheetId="25" hidden="1">{"Allocation of Cash Flows",#N/A,FALSE,"Cash Flow Worksheet"}</definedName>
    <definedName name="abcde" hidden="1">{"Allocation of Cash Flows",#N/A,FALSE,"Cash Flow Worksheet"}</definedName>
    <definedName name="AnnuityAdvanceZero">Luminaire_Annuity!$F$29</definedName>
    <definedName name="AnnuityArrearsZero">Luminaire_Annuity!$F$28</definedName>
    <definedName name="AS2DocOpenMode" hidden="1">"AS2DocumentEdit"</definedName>
    <definedName name="Base_Light_lst" localSheetId="8">SLO_Cost_tbl[Base Light]</definedName>
    <definedName name="Base_Light_lst" localSheetId="23">SLO_Cost_tbl[Base Light]</definedName>
    <definedName name="Base_Light_lst" localSheetId="9">SLO_Cost_tbl[Base Light]</definedName>
    <definedName name="Base_Light_lst">SLO_Cost_tbl[Base Light]</definedName>
    <definedName name="BulkLamp_Costs">'Bulk Lamp'!$F$218:$J$237</definedName>
    <definedName name="Corporate_Overheads">'Global Assumptions'!$G$13</definedName>
    <definedName name="CPI_Year">Controls!$F$17</definedName>
    <definedName name="CPI_YearLst" localSheetId="8">OFFSET(Table16[[#Headers],[FY_19]],1,MATCH(Lists!XFC1048575,Table16[#Headers],0)-1,3,1)</definedName>
    <definedName name="CPI_YearLst" localSheetId="23">OFFSET(Table16[[#Headers],[FY_19]],1,MATCH(Lists!XFC1048575,Table16[#Headers],0)-1,3,1)</definedName>
    <definedName name="CPI_YearLst" localSheetId="9">OFFSET(Table16[[#Headers],[FY_19]],1,MATCH(Lists!XFC1048575,Table16[#Headers],0)-1,3,1)</definedName>
    <definedName name="CPI_YearLst">OFFSET(Table16[[#Headers],[FY_19]],1,MATCH(Lists!XFC1048575,Table16[#Headers],0)-1,3,1)</definedName>
    <definedName name="Denominator_lst" localSheetId="8">Denominator_tbl[Line Item]</definedName>
    <definedName name="Denominator_lst" localSheetId="23">Denominator_tbl[Line Item]</definedName>
    <definedName name="Denominator_lst" localSheetId="9">Denominator_tbl[Line Item]</definedName>
    <definedName name="Denominator_lst">Denominator_tbl[Line Item]</definedName>
    <definedName name="Equipt_BaseLamp_lst" localSheetId="8">HID_tbl[HID BaseLights]</definedName>
    <definedName name="Equipt_BaseLamp_lst" localSheetId="23">HID_tbl[HID BaseLights]</definedName>
    <definedName name="Equipt_BaseLamp_lst" localSheetId="9">HID_tbl[HID BaseLights]</definedName>
    <definedName name="Equipt_BaseLamp_lst">HID_tbl[HID BaseLights]</definedName>
    <definedName name="Extended_Waranty">'Global Assumptions'!$G$20</definedName>
    <definedName name="FY_19">Lists!$M$8:$M$10</definedName>
    <definedName name="FY_20">Lists!$N$8:$N$10</definedName>
    <definedName name="FY_21">Lists!$O$8:$O$10</definedName>
    <definedName name="FY_22">Lists!$P$8:$P$10</definedName>
    <definedName name="FY_23">Lists!$Q$8:$Q$10</definedName>
    <definedName name="FY_24">Lists!$R$8:$R$10</definedName>
    <definedName name="FY_25">Lists!$S$8:$S$10</definedName>
    <definedName name="FY_26">Lists!$T$8:$T$10</definedName>
    <definedName name="FY_27">Lists!$U$8:$U$10</definedName>
    <definedName name="FY_28">Lists!$V$8:$V$10</definedName>
    <definedName name="HID_Annuity_Input">Luminaire_Annuity!$M$42</definedName>
    <definedName name="HID_LED">TFI_Annuity_Calcs!$E$6</definedName>
    <definedName name="HID_lst" localSheetId="8">HID_tbl[HID BaseLights]</definedName>
    <definedName name="HID_lst" localSheetId="23">HID_tbl[HID BaseLights]</definedName>
    <definedName name="HID_lst" localSheetId="9">HID_tbl[HID BaseLights]</definedName>
    <definedName name="HID_lst">HID_tbl[HID BaseLights]</definedName>
    <definedName name="HID_Year">HID!$H$6</definedName>
    <definedName name="jordan" localSheetId="25" hidden="1">{"Allocation of Cash Flows",#N/A,FALSE,"Cash Flow Worksheet"}</definedName>
    <definedName name="jordan" hidden="1">{"Allocation of Cash Flows",#N/A,FALSE,"Cash Flow Worksheet"}</definedName>
    <definedName name="Labour_BulkLamp">'Global Assumptions'!$G$98</definedName>
    <definedName name="Labour_CableFault">'Global Assumptions'!$G$99</definedName>
    <definedName name="Labour_LED_Conversion">'Global Assumptions'!$G$100</definedName>
    <definedName name="Labour_SLO">'Global Assumptions'!$G$97</definedName>
    <definedName name="LED_Annuity_Input">Luminaire_Annuity!$M$44</definedName>
    <definedName name="LED_HID_Switch">Luminaire_Annuity!$M$40</definedName>
    <definedName name="LED_Lst" localSheetId="8">LED_OM_Tbl[LED Light]</definedName>
    <definedName name="LED_Lst" localSheetId="23">LED_OM_Tbl[LED Light]</definedName>
    <definedName name="LED_Lst" localSheetId="9">LED_OM_Tbl[LED Light]</definedName>
    <definedName name="LED_Lst">LED_OM_Tbl[LED Light]</definedName>
    <definedName name="LED_MaterialsOM_Annuity" localSheetId="8">'LED Annuity'!#REF!</definedName>
    <definedName name="LED_MaterialsOM_Annuity" localSheetId="23">'LED Annuity'!#REF!</definedName>
    <definedName name="LED_MaterialsOM_Annuity" localSheetId="9">'LED Annuity'!#REF!</definedName>
    <definedName name="LED_MaterialsOM_Annuity">'LED Annuity'!#REF!</definedName>
    <definedName name="LED_OM_Annuity">'LED Annuity'!$F$14</definedName>
    <definedName name="LED_OM_Input">'LED Annuity'!$D$6</definedName>
    <definedName name="LED_Year">LED!$H$6</definedName>
    <definedName name="Lights_on_Stobi_Poles">'Global Assumptions'!$G$27</definedName>
    <definedName name="Luminaire_Annuity_Input">Luminaire_Annuity!$C$51</definedName>
    <definedName name="Luminaire_Annuity_Output">Luminaire_Annuity!$L$29</definedName>
    <definedName name="Margin">'Global Assumptions'!$G$23</definedName>
    <definedName name="Material_On_Costs">'Global Assumptions'!$G$10</definedName>
    <definedName name="NPV_Advance">Luminaire_Annuity!$F$21</definedName>
    <definedName name="NPV_Arrears">Luminaire_Annuity!$F$15</definedName>
    <definedName name="OH_FS">1+'Global Assumptions'!$G$13</definedName>
    <definedName name="OH_NM">1+'Global Assumptions'!$G$15</definedName>
    <definedName name="OnCost_OH_FS">(1+'Global Assumptions'!$G$10)*(1+'Global Assumptions'!$G$13)</definedName>
    <definedName name="OnCost_OH_NM">(1+'Global Assumptions'!$G$10)*(1+'Global Assumptions'!$G$15)</definedName>
    <definedName name="PE_Cell">'Global Assumptions'!$G$18</definedName>
    <definedName name="_xlnm.Print_Area" localSheetId="7">'CAPEX Graph'!$B$5:$S$45</definedName>
    <definedName name="_xlnm.Print_Area" localSheetId="8">'OPEX Graph'!$B$5:$S$47</definedName>
    <definedName name="_xlnm.Print_Area" localSheetId="9">'SLO Summary'!$B$5:$S$47</definedName>
    <definedName name="RegYear_Lst" localSheetId="8">Table3[Reg Year]</definedName>
    <definedName name="RegYear_Lst" localSheetId="23">Table3[Reg Year]</definedName>
    <definedName name="RegYear_Lst" localSheetId="9">Table3[Reg Year]</definedName>
    <definedName name="RegYear_Lst">Table3[Reg Year]</definedName>
    <definedName name="RegYrNominal">'Global Assumptions'!$G$61</definedName>
    <definedName name="Rounding">'Global Assumptions'!$G$5</definedName>
    <definedName name="rvanilla">Luminaire_Annuity!$C$41</definedName>
    <definedName name="SAPBEXrevision" hidden="1">1</definedName>
    <definedName name="SAPBEXsysID" hidden="1">"ES0"</definedName>
    <definedName name="SAPBEXwbID" hidden="1">"3PXB9R7138JZ9WRNHYFOG0QH1"</definedName>
    <definedName name="Start_Year">'Global Assumptions'!$G$7</definedName>
    <definedName name="Tariff_HID_Input">HID!$H$4</definedName>
    <definedName name="Tariff_HID_Output">HID!$G$50:$M$50</definedName>
    <definedName name="Tariff_LED_Input">LED!$H$4</definedName>
    <definedName name="Tariff_LED_Output">LED!$G$48:$L$48</definedName>
    <definedName name="Tariff_Year">Controls!$F$15</definedName>
    <definedName name="Tariffs_lst" localSheetId="8">Tariffs_Tbl[Tariffs]</definedName>
    <definedName name="Tariffs_lst" localSheetId="23">Tariffs_Tbl[Tariffs]</definedName>
    <definedName name="Tariffs_lst" localSheetId="9">Tariffs_Tbl[Tariffs]</definedName>
    <definedName name="Tariffs_lst">Tariffs_Tbl[Tariffs]</definedName>
    <definedName name="Tax_Rate">Luminaire_Annuity!$C$44</definedName>
    <definedName name="TFI_Annuity_Input">TFI_Annuity_Calcs!$E$10</definedName>
    <definedName name="TFI_Annuity_Output">TFI_Annuity_Calcs!$E$21</definedName>
    <definedName name="TFI_HID_Annuity_Input">TFI_Annuity_Calcs!$E$8</definedName>
    <definedName name="Use_of_Pole">'Global Assumptions'!$G$26</definedName>
    <definedName name="WACC">Luminaire_Annuity!$C$40</definedName>
    <definedName name="wrn.Allocation._.of._.Cash._.Flows." localSheetId="25" hidden="1">{"Allocation of Cash Flows",#N/A,FALSE,"Cash Flow Worksheet"}</definedName>
    <definedName name="wrn.Allocation._.of._.Cash._.Flows." hidden="1">{"Allocation of Cash Flows",#N/A,FALSE,"Cash Flow Worksheet"}</definedName>
    <definedName name="wrn.Print._.5._.and._.12." localSheetId="25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xx" localSheetId="25" hidden="1">{"Allocation of Cash Flows",#N/A,FALSE,"Cash Flow Worksheet"}</definedName>
    <definedName name="xx" hidden="1">{"Allocation of Cash Flows",#N/A,FALSE,"Cash Flow Worksheet"}</definedName>
    <definedName name="xxx" localSheetId="25" hidden="1">{"Allocation of Cash Flows",#N/A,FALSE,"Cash Flow Worksheet"}</definedName>
    <definedName name="xxx" hidden="1">{"Allocation of Cash Flows",#N/A,FALSE,"Cash Flow Worksheet"}</definedName>
    <definedName name="xxxx" localSheetId="25" hidden="1">{"Allocation of Cash Flows",#N/A,FALSE,"Cash Flow Worksheet"}</definedName>
    <definedName name="xxxx" hidden="1">{"Allocation of Cash Flows",#N/A,FALSE,"Cash Flow Worksheet"}</definedName>
    <definedName name="xxxxx" localSheetId="25" hidden="1">{"Allocation of Cash Flows",#N/A,FALSE,"Cash Flow Worksheet"}</definedName>
    <definedName name="xxxxx" hidden="1">{"Allocation of Cash Flows",#N/A,FALSE,"Cash Flow Worksheet"}</definedName>
    <definedName name="xxxxxx" localSheetId="25" hidden="1">{"Allocation of Cash Flows",#N/A,FALSE,"Cash Flow Worksheet"}</definedName>
    <definedName name="xxxxxx" hidden="1">{"Allocation of Cash Flows",#N/A,FALSE,"Cash Flow Worksheet"}</definedName>
    <definedName name="xxxxxxxx" localSheetId="25" hidden="1">{"Allocation of Cash Flows",#N/A,FALSE,"Cash Flow Worksheet"}</definedName>
    <definedName name="xxxxxxxx" hidden="1">{"Allocation of Cash Flows",#N/A,FALSE,"Cash Flow Worksheet"}</definedName>
    <definedName name="Year_lst" localSheetId="30">Year_Tbl[Year]</definedName>
    <definedName name="Year_lst" localSheetId="17">Year_Tbl[Year]</definedName>
    <definedName name="Year_lst" localSheetId="20">Year_Tbl[Year]</definedName>
    <definedName name="Year_lst" localSheetId="12">Year_Tbl[Year]</definedName>
    <definedName name="Year_lst" localSheetId="5">Year_Tbl[Year]</definedName>
    <definedName name="Year_lst" localSheetId="8">Year_Tbl[Year]</definedName>
    <definedName name="Year_lst" localSheetId="11">Year_Tbl[Year]</definedName>
    <definedName name="Year_lst" localSheetId="23">Year_Tbl[Year]</definedName>
    <definedName name="Year_lst" localSheetId="9">Year_Tbl[Year]</definedName>
    <definedName name="Year_lst">Year_Tbl[Year]</definedName>
  </definedNames>
  <calcPr calcId="179017"/>
</workbook>
</file>

<file path=xl/calcChain.xml><?xml version="1.0" encoding="utf-8"?>
<calcChain xmlns="http://schemas.openxmlformats.org/spreadsheetml/2006/main">
  <c r="E25" i="34" l="1"/>
  <c r="F25" i="34"/>
  <c r="G25" i="34"/>
  <c r="K54" i="18"/>
  <c r="M54" i="18"/>
  <c r="D24" i="62" l="1"/>
  <c r="E24" i="62"/>
  <c r="F24" i="62"/>
  <c r="G24" i="62"/>
  <c r="H24" i="62"/>
  <c r="E32" i="5" l="1"/>
  <c r="E31" i="5"/>
  <c r="E28" i="5"/>
  <c r="E19" i="5"/>
  <c r="E18" i="5"/>
  <c r="E17" i="5"/>
  <c r="E15" i="5"/>
  <c r="D47" i="62" l="1"/>
  <c r="E47" i="62"/>
  <c r="F47" i="62"/>
  <c r="G47" i="62"/>
  <c r="H47" i="62"/>
  <c r="D46" i="62"/>
  <c r="E46" i="62"/>
  <c r="F46" i="62"/>
  <c r="G46" i="62"/>
  <c r="H46" i="62"/>
  <c r="D45" i="62"/>
  <c r="E45" i="62"/>
  <c r="F45" i="62"/>
  <c r="G45" i="62"/>
  <c r="H45" i="62"/>
  <c r="D44" i="62"/>
  <c r="E44" i="62"/>
  <c r="F44" i="62"/>
  <c r="G44" i="62"/>
  <c r="H44" i="62"/>
  <c r="I29" i="54" l="1"/>
  <c r="F19" i="56"/>
  <c r="I28" i="54"/>
  <c r="H8" i="35" l="1"/>
  <c r="H6" i="35"/>
  <c r="H8" i="56"/>
  <c r="H6" i="56"/>
  <c r="G5" i="62" l="1"/>
  <c r="G5" i="36"/>
  <c r="M29" i="54"/>
  <c r="O17" i="67"/>
  <c r="O15" i="67" l="1"/>
  <c r="D54" i="32" l="1"/>
  <c r="E54" i="32"/>
  <c r="C54" i="32"/>
  <c r="R44" i="54" l="1"/>
  <c r="R42" i="54"/>
  <c r="F13" i="35"/>
  <c r="C47" i="54" l="1"/>
  <c r="G21" i="54" s="1"/>
  <c r="P44" i="54"/>
  <c r="W21" i="54" l="1"/>
  <c r="P21" i="54"/>
  <c r="Y21" i="54"/>
  <c r="P15" i="54"/>
  <c r="AG21" i="54"/>
  <c r="T21" i="54"/>
  <c r="AD21" i="54"/>
  <c r="X15" i="54"/>
  <c r="AF21" i="54"/>
  <c r="H15" i="54"/>
  <c r="AH21" i="54"/>
  <c r="AB21" i="54"/>
  <c r="AC21" i="54"/>
  <c r="AL21" i="54"/>
  <c r="N15" i="54"/>
  <c r="K21" i="54"/>
  <c r="G15" i="54"/>
  <c r="AF15" i="54"/>
  <c r="I15" i="54"/>
  <c r="AJ21" i="54"/>
  <c r="AK21" i="54"/>
  <c r="M15" i="54"/>
  <c r="V15" i="54"/>
  <c r="O15" i="54"/>
  <c r="Q15" i="54"/>
  <c r="L15" i="54"/>
  <c r="AD15" i="54"/>
  <c r="W15" i="54"/>
  <c r="Y15" i="54"/>
  <c r="AC15" i="54"/>
  <c r="AL15" i="54"/>
  <c r="AH15" i="54"/>
  <c r="AE15" i="54"/>
  <c r="Z15" i="54"/>
  <c r="AG15" i="54"/>
  <c r="AI15" i="54"/>
  <c r="AB15" i="54"/>
  <c r="AK15" i="54"/>
  <c r="Q21" i="54"/>
  <c r="R21" i="54"/>
  <c r="L21" i="54"/>
  <c r="M21" i="54"/>
  <c r="V21" i="54"/>
  <c r="AE21" i="54"/>
  <c r="X21" i="54"/>
  <c r="Z21" i="54"/>
  <c r="U21" i="54"/>
  <c r="AM21" i="54"/>
  <c r="AA21" i="54"/>
  <c r="S21" i="54"/>
  <c r="S15" i="54"/>
  <c r="U15" i="54"/>
  <c r="R15" i="54"/>
  <c r="AI21" i="54"/>
  <c r="AA15" i="54"/>
  <c r="T15" i="54"/>
  <c r="O21" i="54"/>
  <c r="I21" i="54"/>
  <c r="H21" i="54"/>
  <c r="AM15" i="54"/>
  <c r="J21" i="54"/>
  <c r="J15" i="54"/>
  <c r="AJ15" i="54"/>
  <c r="N21" i="54"/>
  <c r="K15" i="54"/>
  <c r="G3" i="62" l="1"/>
  <c r="G3" i="36"/>
  <c r="B2" i="67"/>
  <c r="B1" i="67"/>
  <c r="G43" i="54" l="1"/>
  <c r="C40" i="54" l="1"/>
  <c r="C42" i="54"/>
  <c r="C44" i="54"/>
  <c r="C43" i="54"/>
  <c r="C41" i="54"/>
  <c r="F17" i="54" s="1"/>
  <c r="G42" i="54" l="1"/>
  <c r="G41" i="54"/>
  <c r="G40" i="54"/>
  <c r="D42" i="62" l="1"/>
  <c r="E42" i="62"/>
  <c r="F42" i="62"/>
  <c r="G42" i="62"/>
  <c r="H42" i="62"/>
  <c r="D43" i="62"/>
  <c r="E43" i="62"/>
  <c r="F43" i="62"/>
  <c r="G43" i="62"/>
  <c r="H43" i="62"/>
  <c r="D23" i="62"/>
  <c r="E23" i="62"/>
  <c r="F23" i="62"/>
  <c r="G23" i="62"/>
  <c r="H23" i="62"/>
  <c r="J21" i="33" l="1"/>
  <c r="G18" i="65" l="1"/>
  <c r="F18" i="65"/>
  <c r="E18" i="65"/>
  <c r="D18" i="65"/>
  <c r="C18" i="65"/>
  <c r="A2" i="65"/>
  <c r="A1" i="65"/>
  <c r="D40" i="56" l="1"/>
  <c r="C46" i="54"/>
  <c r="D42" i="35" l="1"/>
  <c r="D36" i="56" l="1"/>
  <c r="D39" i="56"/>
  <c r="D37" i="56" l="1"/>
  <c r="D38" i="56"/>
  <c r="D24" i="56"/>
  <c r="D26" i="35"/>
  <c r="D41" i="56"/>
  <c r="D38" i="35"/>
  <c r="D41" i="35"/>
  <c r="D43" i="35"/>
  <c r="D40" i="35"/>
  <c r="D39" i="35"/>
  <c r="M47" i="35" l="1"/>
  <c r="D26" i="33" l="1"/>
  <c r="E26" i="33"/>
  <c r="J26" i="33"/>
  <c r="F25" i="33"/>
  <c r="G25" i="33"/>
  <c r="H25" i="33"/>
  <c r="I25" i="33"/>
  <c r="J25" i="33"/>
  <c r="E49" i="5" l="1"/>
  <c r="E48" i="5"/>
  <c r="E47" i="5"/>
  <c r="E46" i="5"/>
  <c r="E45" i="5"/>
  <c r="E42" i="5"/>
  <c r="E41" i="5"/>
  <c r="E40" i="5"/>
  <c r="E39" i="5"/>
  <c r="E36" i="5"/>
  <c r="E35" i="5"/>
  <c r="E34" i="5"/>
  <c r="E33" i="5"/>
  <c r="E30" i="5"/>
  <c r="E29" i="5"/>
  <c r="E27" i="5"/>
  <c r="E26" i="5"/>
  <c r="E25" i="5"/>
  <c r="E24" i="5"/>
  <c r="E23" i="5"/>
  <c r="E22" i="5"/>
  <c r="E21" i="5"/>
  <c r="E12" i="5"/>
  <c r="E11" i="5"/>
  <c r="E10" i="5"/>
  <c r="E9" i="5"/>
  <c r="H9" i="62" l="1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7" i="62"/>
  <c r="H28" i="62"/>
  <c r="H29" i="62"/>
  <c r="H30" i="62"/>
  <c r="H31" i="62"/>
  <c r="H32" i="62"/>
  <c r="H33" i="62"/>
  <c r="H34" i="62"/>
  <c r="H35" i="62"/>
  <c r="H36" i="62"/>
  <c r="H37" i="62"/>
  <c r="H38" i="62"/>
  <c r="H39" i="62"/>
  <c r="H40" i="62"/>
  <c r="H41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7" i="62"/>
  <c r="G28" i="62"/>
  <c r="G29" i="62"/>
  <c r="G30" i="62"/>
  <c r="G31" i="62"/>
  <c r="G32" i="62"/>
  <c r="G33" i="62"/>
  <c r="G34" i="62"/>
  <c r="G35" i="62"/>
  <c r="G36" i="62"/>
  <c r="G37" i="62"/>
  <c r="G38" i="62"/>
  <c r="G39" i="62"/>
  <c r="G40" i="62"/>
  <c r="G41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7" i="62"/>
  <c r="F28" i="62"/>
  <c r="F29" i="62"/>
  <c r="F30" i="62"/>
  <c r="F31" i="62"/>
  <c r="F32" i="62"/>
  <c r="F33" i="62"/>
  <c r="F34" i="62"/>
  <c r="F35" i="62"/>
  <c r="F36" i="62"/>
  <c r="F37" i="62"/>
  <c r="F38" i="62"/>
  <c r="F39" i="62"/>
  <c r="F40" i="62"/>
  <c r="F41" i="62"/>
  <c r="E9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7" i="62"/>
  <c r="E28" i="62"/>
  <c r="E29" i="62"/>
  <c r="E30" i="62"/>
  <c r="E31" i="62"/>
  <c r="E32" i="62"/>
  <c r="E33" i="62"/>
  <c r="E34" i="62"/>
  <c r="E35" i="62"/>
  <c r="E36" i="62"/>
  <c r="E37" i="62"/>
  <c r="E38" i="62"/>
  <c r="E39" i="62"/>
  <c r="E40" i="62"/>
  <c r="E41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7" i="62"/>
  <c r="D28" i="62"/>
  <c r="D29" i="62"/>
  <c r="D30" i="62"/>
  <c r="D31" i="62"/>
  <c r="D32" i="62"/>
  <c r="D33" i="62"/>
  <c r="D34" i="62"/>
  <c r="D35" i="62"/>
  <c r="D36" i="62"/>
  <c r="D37" i="62"/>
  <c r="D38" i="62"/>
  <c r="D39" i="62"/>
  <c r="D40" i="62"/>
  <c r="D41" i="62"/>
  <c r="A2" i="62"/>
  <c r="A1" i="62"/>
  <c r="B101" i="36"/>
  <c r="E101" i="36" s="1"/>
  <c r="B102" i="36"/>
  <c r="G102" i="36" s="1"/>
  <c r="B103" i="36"/>
  <c r="B104" i="36"/>
  <c r="F104" i="36" s="1"/>
  <c r="B105" i="36"/>
  <c r="D105" i="36" s="1"/>
  <c r="B106" i="36"/>
  <c r="D106" i="36" s="1"/>
  <c r="B47" i="36"/>
  <c r="D47" i="36" s="1"/>
  <c r="B62" i="36"/>
  <c r="H62" i="36" s="1"/>
  <c r="H61" i="36"/>
  <c r="G61" i="36"/>
  <c r="F61" i="36"/>
  <c r="E61" i="36"/>
  <c r="D61" i="36"/>
  <c r="B80" i="36"/>
  <c r="D80" i="36" s="1"/>
  <c r="B75" i="36"/>
  <c r="E75" i="36" s="1"/>
  <c r="B76" i="36"/>
  <c r="D76" i="36" s="1"/>
  <c r="B50" i="36"/>
  <c r="D50" i="36" s="1"/>
  <c r="B51" i="36"/>
  <c r="G51" i="36" s="1"/>
  <c r="B52" i="36"/>
  <c r="E52" i="36" s="1"/>
  <c r="B53" i="36"/>
  <c r="G53" i="36" s="1"/>
  <c r="B54" i="36"/>
  <c r="H54" i="36" s="1"/>
  <c r="B55" i="36"/>
  <c r="G55" i="36" s="1"/>
  <c r="B56" i="36"/>
  <c r="D56" i="36" s="1"/>
  <c r="B57" i="36"/>
  <c r="G57" i="36" s="1"/>
  <c r="B58" i="36"/>
  <c r="B59" i="36"/>
  <c r="G59" i="36" s="1"/>
  <c r="H49" i="36"/>
  <c r="G49" i="36"/>
  <c r="F49" i="36"/>
  <c r="E49" i="36"/>
  <c r="D49" i="36"/>
  <c r="B66" i="36"/>
  <c r="B67" i="36"/>
  <c r="B68" i="36"/>
  <c r="G68" i="36" s="1"/>
  <c r="B69" i="36"/>
  <c r="E69" i="36" s="1"/>
  <c r="B38" i="36"/>
  <c r="B39" i="36"/>
  <c r="H39" i="36" s="1"/>
  <c r="H37" i="36"/>
  <c r="G37" i="36"/>
  <c r="F37" i="36"/>
  <c r="E37" i="36"/>
  <c r="D37" i="36"/>
  <c r="D41" i="36"/>
  <c r="B19" i="36"/>
  <c r="B20" i="36"/>
  <c r="E20" i="36" s="1"/>
  <c r="B21" i="36"/>
  <c r="D21" i="36" s="1"/>
  <c r="B22" i="36"/>
  <c r="D22" i="36" s="1"/>
  <c r="B23" i="36"/>
  <c r="F23" i="36" s="1"/>
  <c r="B24" i="36"/>
  <c r="D24" i="36" s="1"/>
  <c r="B10" i="36"/>
  <c r="F10" i="36" s="1"/>
  <c r="B15" i="36"/>
  <c r="B16" i="36"/>
  <c r="H16" i="36" s="1"/>
  <c r="H14" i="36"/>
  <c r="G14" i="36"/>
  <c r="F14" i="36"/>
  <c r="E14" i="36"/>
  <c r="D14" i="36"/>
  <c r="B11" i="36"/>
  <c r="F11" i="36" s="1"/>
  <c r="B12" i="36"/>
  <c r="B25" i="36"/>
  <c r="G25" i="36" s="1"/>
  <c r="B26" i="36"/>
  <c r="H26" i="36" s="1"/>
  <c r="B27" i="36"/>
  <c r="H27" i="36" s="1"/>
  <c r="B28" i="36"/>
  <c r="H28" i="36" s="1"/>
  <c r="B29" i="36"/>
  <c r="B30" i="36"/>
  <c r="E30" i="36" s="1"/>
  <c r="B42" i="36"/>
  <c r="E42" i="36" s="1"/>
  <c r="B45" i="36"/>
  <c r="H45" i="36" s="1"/>
  <c r="B46" i="36"/>
  <c r="G46" i="36" s="1"/>
  <c r="B33" i="36"/>
  <c r="H33" i="36" s="1"/>
  <c r="B34" i="36"/>
  <c r="G34" i="36" s="1"/>
  <c r="B35" i="36"/>
  <c r="H35" i="36" s="1"/>
  <c r="B70" i="36"/>
  <c r="G70" i="36" s="1"/>
  <c r="B71" i="36"/>
  <c r="H71" i="36" s="1"/>
  <c r="B72" i="36"/>
  <c r="B79" i="36"/>
  <c r="G79" i="36" s="1"/>
  <c r="B83" i="36"/>
  <c r="H83" i="36" s="1"/>
  <c r="B84" i="36"/>
  <c r="H84" i="36" s="1"/>
  <c r="B87" i="36"/>
  <c r="E87" i="36" s="1"/>
  <c r="B88" i="36"/>
  <c r="G88" i="36" s="1"/>
  <c r="B89" i="36"/>
  <c r="H89" i="36" s="1"/>
  <c r="B93" i="36"/>
  <c r="E93" i="36" s="1"/>
  <c r="B94" i="36"/>
  <c r="G94" i="36" s="1"/>
  <c r="B95" i="36"/>
  <c r="B96" i="36"/>
  <c r="H96" i="36" s="1"/>
  <c r="B97" i="36"/>
  <c r="E97" i="36" s="1"/>
  <c r="B98" i="36"/>
  <c r="G98" i="36" s="1"/>
  <c r="B99" i="36"/>
  <c r="H99" i="36" s="1"/>
  <c r="B100" i="36"/>
  <c r="H100" i="36" s="1"/>
  <c r="H103" i="36"/>
  <c r="D92" i="36"/>
  <c r="E92" i="36"/>
  <c r="F92" i="36"/>
  <c r="G92" i="36"/>
  <c r="H92" i="36"/>
  <c r="H86" i="36"/>
  <c r="G86" i="36"/>
  <c r="F86" i="36"/>
  <c r="E86" i="36"/>
  <c r="D86" i="36"/>
  <c r="H82" i="36"/>
  <c r="G82" i="36"/>
  <c r="F82" i="36"/>
  <c r="E82" i="36"/>
  <c r="D82" i="36"/>
  <c r="H78" i="36"/>
  <c r="G78" i="36"/>
  <c r="F78" i="36"/>
  <c r="E78" i="36"/>
  <c r="D78" i="36"/>
  <c r="H74" i="36"/>
  <c r="G74" i="36"/>
  <c r="F74" i="36"/>
  <c r="E74" i="36"/>
  <c r="D74" i="36"/>
  <c r="H65" i="36"/>
  <c r="G65" i="36"/>
  <c r="F65" i="36"/>
  <c r="E65" i="36"/>
  <c r="D65" i="36"/>
  <c r="H32" i="36"/>
  <c r="G32" i="36"/>
  <c r="F32" i="36"/>
  <c r="E32" i="36"/>
  <c r="D32" i="36"/>
  <c r="H44" i="36"/>
  <c r="G44" i="36"/>
  <c r="F44" i="36"/>
  <c r="E44" i="36"/>
  <c r="D44" i="36"/>
  <c r="H41" i="36"/>
  <c r="G41" i="36"/>
  <c r="F41" i="36"/>
  <c r="E41" i="36"/>
  <c r="H18" i="36"/>
  <c r="G18" i="36"/>
  <c r="F18" i="36"/>
  <c r="E18" i="36"/>
  <c r="D18" i="36"/>
  <c r="F9" i="36"/>
  <c r="D9" i="36"/>
  <c r="G9" i="36"/>
  <c r="H9" i="36"/>
  <c r="E9" i="36"/>
  <c r="F106" i="36" l="1"/>
  <c r="H106" i="36"/>
  <c r="E106" i="36"/>
  <c r="H95" i="36"/>
  <c r="D95" i="36"/>
  <c r="D55" i="36"/>
  <c r="D62" i="36"/>
  <c r="G106" i="36"/>
  <c r="D51" i="36"/>
  <c r="F51" i="36"/>
  <c r="G105" i="36"/>
  <c r="E104" i="36"/>
  <c r="F105" i="36"/>
  <c r="D104" i="36"/>
  <c r="E105" i="36"/>
  <c r="H104" i="36"/>
  <c r="H105" i="36"/>
  <c r="G104" i="36"/>
  <c r="H24" i="36"/>
  <c r="D58" i="36"/>
  <c r="G24" i="36"/>
  <c r="E53" i="36"/>
  <c r="H47" i="36"/>
  <c r="F47" i="36"/>
  <c r="G47" i="36"/>
  <c r="E47" i="36"/>
  <c r="E62" i="36"/>
  <c r="F62" i="36"/>
  <c r="G62" i="36"/>
  <c r="F24" i="36"/>
  <c r="H58" i="36"/>
  <c r="F59" i="36"/>
  <c r="H51" i="36"/>
  <c r="E21" i="36"/>
  <c r="H68" i="36"/>
  <c r="H67" i="36"/>
  <c r="D54" i="36"/>
  <c r="H59" i="36"/>
  <c r="E56" i="36"/>
  <c r="G50" i="36"/>
  <c r="E50" i="36"/>
  <c r="H56" i="36"/>
  <c r="F55" i="36"/>
  <c r="F58" i="36"/>
  <c r="H76" i="36"/>
  <c r="H55" i="36"/>
  <c r="G58" i="36"/>
  <c r="E76" i="36"/>
  <c r="F56" i="36"/>
  <c r="G56" i="36"/>
  <c r="H80" i="36"/>
  <c r="G80" i="36"/>
  <c r="E80" i="36"/>
  <c r="F80" i="36"/>
  <c r="F50" i="36"/>
  <c r="D53" i="36"/>
  <c r="E58" i="36"/>
  <c r="F68" i="36"/>
  <c r="G67" i="36"/>
  <c r="H50" i="36"/>
  <c r="G54" i="36"/>
  <c r="G76" i="36"/>
  <c r="D57" i="36"/>
  <c r="F76" i="36"/>
  <c r="G22" i="36"/>
  <c r="E68" i="36"/>
  <c r="D52" i="36"/>
  <c r="E54" i="36"/>
  <c r="E57" i="36"/>
  <c r="D68" i="36"/>
  <c r="F52" i="36"/>
  <c r="F54" i="36"/>
  <c r="F57" i="36"/>
  <c r="D59" i="36"/>
  <c r="H19" i="36"/>
  <c r="F19" i="36"/>
  <c r="F53" i="36"/>
  <c r="E24" i="36"/>
  <c r="E51" i="36"/>
  <c r="G52" i="36"/>
  <c r="H53" i="36"/>
  <c r="E55" i="36"/>
  <c r="H57" i="36"/>
  <c r="E59" i="36"/>
  <c r="H52" i="36"/>
  <c r="F67" i="36"/>
  <c r="E67" i="36"/>
  <c r="D67" i="36"/>
  <c r="G19" i="36"/>
  <c r="G23" i="36"/>
  <c r="E23" i="36"/>
  <c r="D23" i="36"/>
  <c r="D39" i="36"/>
  <c r="E39" i="36"/>
  <c r="H21" i="36"/>
  <c r="F21" i="36"/>
  <c r="D38" i="36"/>
  <c r="F39" i="36"/>
  <c r="E38" i="36"/>
  <c r="G39" i="36"/>
  <c r="G38" i="36"/>
  <c r="H38" i="36"/>
  <c r="F38" i="36"/>
  <c r="G21" i="36"/>
  <c r="E19" i="36"/>
  <c r="G20" i="36"/>
  <c r="D19" i="36"/>
  <c r="H23" i="36"/>
  <c r="F20" i="36"/>
  <c r="D20" i="36"/>
  <c r="H20" i="36"/>
  <c r="H22" i="36"/>
  <c r="F22" i="36"/>
  <c r="E22" i="36"/>
  <c r="E34" i="36"/>
  <c r="G45" i="36"/>
  <c r="D10" i="36"/>
  <c r="H72" i="36"/>
  <c r="H10" i="36"/>
  <c r="G10" i="36"/>
  <c r="F30" i="36"/>
  <c r="E10" i="36"/>
  <c r="F101" i="36"/>
  <c r="E11" i="36"/>
  <c r="D46" i="36"/>
  <c r="F26" i="36"/>
  <c r="E27" i="36"/>
  <c r="F75" i="36"/>
  <c r="F93" i="36"/>
  <c r="D25" i="36"/>
  <c r="F27" i="36"/>
  <c r="D66" i="36"/>
  <c r="E79" i="36"/>
  <c r="E94" i="36"/>
  <c r="G27" i="36"/>
  <c r="H46" i="36"/>
  <c r="H66" i="36"/>
  <c r="F79" i="36"/>
  <c r="F94" i="36"/>
  <c r="H25" i="36"/>
  <c r="D33" i="36"/>
  <c r="G71" i="36"/>
  <c r="D26" i="36"/>
  <c r="D29" i="36"/>
  <c r="E33" i="36"/>
  <c r="D84" i="36"/>
  <c r="D96" i="36"/>
  <c r="E26" i="36"/>
  <c r="H29" i="36"/>
  <c r="F33" i="36"/>
  <c r="D72" i="36"/>
  <c r="D100" i="36"/>
  <c r="D27" i="36"/>
  <c r="F34" i="36"/>
  <c r="D75" i="36"/>
  <c r="D93" i="36"/>
  <c r="G12" i="36"/>
  <c r="F42" i="36"/>
  <c r="F87" i="36"/>
  <c r="F97" i="36"/>
  <c r="F12" i="36"/>
  <c r="D11" i="36"/>
  <c r="E25" i="36"/>
  <c r="G26" i="36"/>
  <c r="E29" i="36"/>
  <c r="G30" i="36"/>
  <c r="G42" i="36"/>
  <c r="E46" i="36"/>
  <c r="G33" i="36"/>
  <c r="H34" i="36"/>
  <c r="E66" i="36"/>
  <c r="G69" i="36"/>
  <c r="H70" i="36"/>
  <c r="E72" i="36"/>
  <c r="G75" i="36"/>
  <c r="H79" i="36"/>
  <c r="E84" i="36"/>
  <c r="G87" i="36"/>
  <c r="H88" i="36"/>
  <c r="G93" i="36"/>
  <c r="H94" i="36"/>
  <c r="E96" i="36"/>
  <c r="G97" i="36"/>
  <c r="H98" i="36"/>
  <c r="E100" i="36"/>
  <c r="G101" i="36"/>
  <c r="H102" i="36"/>
  <c r="F69" i="36"/>
  <c r="E12" i="36"/>
  <c r="F25" i="36"/>
  <c r="D28" i="36"/>
  <c r="F29" i="36"/>
  <c r="D45" i="36"/>
  <c r="F46" i="36"/>
  <c r="D35" i="36"/>
  <c r="F66" i="36"/>
  <c r="D71" i="36"/>
  <c r="F72" i="36"/>
  <c r="D83" i="36"/>
  <c r="F84" i="36"/>
  <c r="D89" i="36"/>
  <c r="F96" i="36"/>
  <c r="D99" i="36"/>
  <c r="F100" i="36"/>
  <c r="D103" i="36"/>
  <c r="D12" i="36"/>
  <c r="E28" i="36"/>
  <c r="G29" i="36"/>
  <c r="H30" i="36"/>
  <c r="H42" i="36"/>
  <c r="E45" i="36"/>
  <c r="E35" i="36"/>
  <c r="G66" i="36"/>
  <c r="H69" i="36"/>
  <c r="E71" i="36"/>
  <c r="G72" i="36"/>
  <c r="H75" i="36"/>
  <c r="E83" i="36"/>
  <c r="G84" i="36"/>
  <c r="H87" i="36"/>
  <c r="E89" i="36"/>
  <c r="H93" i="36"/>
  <c r="E95" i="36"/>
  <c r="G96" i="36"/>
  <c r="H97" i="36"/>
  <c r="E99" i="36"/>
  <c r="G100" i="36"/>
  <c r="H101" i="36"/>
  <c r="E103" i="36"/>
  <c r="H11" i="36"/>
  <c r="F28" i="36"/>
  <c r="F45" i="36"/>
  <c r="D34" i="36"/>
  <c r="F35" i="36"/>
  <c r="D70" i="36"/>
  <c r="F71" i="36"/>
  <c r="D79" i="36"/>
  <c r="F83" i="36"/>
  <c r="D88" i="36"/>
  <c r="F89" i="36"/>
  <c r="D94" i="36"/>
  <c r="F95" i="36"/>
  <c r="D98" i="36"/>
  <c r="F99" i="36"/>
  <c r="D102" i="36"/>
  <c r="F103" i="36"/>
  <c r="G28" i="36"/>
  <c r="G35" i="36"/>
  <c r="E70" i="36"/>
  <c r="G83" i="36"/>
  <c r="E88" i="36"/>
  <c r="G89" i="36"/>
  <c r="G95" i="36"/>
  <c r="E98" i="36"/>
  <c r="G99" i="36"/>
  <c r="E102" i="36"/>
  <c r="G103" i="36"/>
  <c r="H12" i="36"/>
  <c r="D30" i="36"/>
  <c r="D42" i="36"/>
  <c r="D69" i="36"/>
  <c r="F70" i="36"/>
  <c r="D87" i="36"/>
  <c r="F88" i="36"/>
  <c r="D97" i="36"/>
  <c r="F98" i="36"/>
  <c r="D101" i="36"/>
  <c r="F102" i="36"/>
  <c r="G11" i="36"/>
  <c r="H15" i="36"/>
  <c r="D16" i="36"/>
  <c r="D15" i="36"/>
  <c r="E16" i="36"/>
  <c r="E15" i="36"/>
  <c r="F16" i="36"/>
  <c r="F15" i="36"/>
  <c r="G16" i="36"/>
  <c r="G15" i="36"/>
  <c r="D11" i="33"/>
  <c r="E11" i="33"/>
  <c r="F11" i="33"/>
  <c r="G11" i="33"/>
  <c r="H11" i="33"/>
  <c r="I11" i="33"/>
  <c r="J11" i="33"/>
  <c r="C11" i="33" l="1"/>
  <c r="F14" i="35" l="1"/>
  <c r="K14" i="35" s="1"/>
  <c r="D24" i="33" l="1"/>
  <c r="E24" i="33"/>
  <c r="F24" i="33"/>
  <c r="G24" i="33"/>
  <c r="H24" i="33"/>
  <c r="I24" i="33"/>
  <c r="J24" i="33"/>
  <c r="D23" i="33"/>
  <c r="E23" i="33"/>
  <c r="F23" i="33"/>
  <c r="G23" i="33"/>
  <c r="H23" i="33"/>
  <c r="I23" i="33"/>
  <c r="J23" i="33"/>
  <c r="C24" i="33" l="1"/>
  <c r="C23" i="33"/>
  <c r="J13" i="35"/>
  <c r="F14" i="56" l="1"/>
  <c r="J14" i="56" s="1"/>
  <c r="F13" i="56" l="1"/>
  <c r="K13" i="56" s="1"/>
  <c r="L45" i="56"/>
  <c r="L32" i="56"/>
  <c r="H32" i="56"/>
  <c r="G32" i="56"/>
  <c r="L26" i="56"/>
  <c r="H26" i="56"/>
  <c r="G26" i="56"/>
  <c r="L21" i="56"/>
  <c r="G21" i="56"/>
  <c r="L16" i="56"/>
  <c r="I16" i="56"/>
  <c r="H16" i="56"/>
  <c r="G16" i="56"/>
  <c r="A2" i="56"/>
  <c r="A1" i="56"/>
  <c r="K19" i="56" l="1"/>
  <c r="I19" i="56"/>
  <c r="J19" i="56"/>
  <c r="J21" i="56" s="1"/>
  <c r="H19" i="56"/>
  <c r="L48" i="56"/>
  <c r="K21" i="56" l="1"/>
  <c r="I21" i="56"/>
  <c r="K16" i="56"/>
  <c r="A2" i="54" l="1"/>
  <c r="A1" i="54"/>
  <c r="AN9" i="54"/>
  <c r="E46" i="54"/>
  <c r="E47" i="54"/>
  <c r="D62" i="54"/>
  <c r="E62" i="54" s="1"/>
  <c r="E66" i="54"/>
  <c r="F66" i="54"/>
  <c r="G66" i="54"/>
  <c r="H66" i="54"/>
  <c r="I66" i="54"/>
  <c r="J66" i="54"/>
  <c r="K66" i="54"/>
  <c r="L66" i="54"/>
  <c r="M66" i="54"/>
  <c r="N66" i="54"/>
  <c r="O66" i="54"/>
  <c r="P66" i="54"/>
  <c r="Q66" i="54"/>
  <c r="R66" i="54"/>
  <c r="S66" i="54"/>
  <c r="T66" i="54"/>
  <c r="U66" i="54"/>
  <c r="V66" i="54"/>
  <c r="W66" i="54"/>
  <c r="X66" i="54"/>
  <c r="Y66" i="54"/>
  <c r="Z66" i="54"/>
  <c r="AA66" i="54"/>
  <c r="AB66" i="54"/>
  <c r="AC66" i="54"/>
  <c r="AD66" i="54"/>
  <c r="AE66" i="54"/>
  <c r="AF66" i="54"/>
  <c r="AG66" i="54"/>
  <c r="AH66" i="54"/>
  <c r="AI66" i="54"/>
  <c r="AJ66" i="54"/>
  <c r="AK66" i="54"/>
  <c r="AL66" i="54"/>
  <c r="AM66" i="54"/>
  <c r="E67" i="54"/>
  <c r="E68" i="54" s="1"/>
  <c r="F67" i="54"/>
  <c r="G67" i="54"/>
  <c r="H67" i="54"/>
  <c r="I67" i="54"/>
  <c r="J67" i="54"/>
  <c r="K67" i="54"/>
  <c r="L67" i="54"/>
  <c r="M67" i="54"/>
  <c r="N67" i="54"/>
  <c r="O67" i="54"/>
  <c r="P67" i="54"/>
  <c r="Q67" i="54"/>
  <c r="R67" i="54"/>
  <c r="S67" i="54"/>
  <c r="T67" i="54"/>
  <c r="U67" i="54"/>
  <c r="V67" i="54"/>
  <c r="W67" i="54"/>
  <c r="X67" i="54"/>
  <c r="Y67" i="54"/>
  <c r="Z67" i="54"/>
  <c r="AA67" i="54"/>
  <c r="AB67" i="54"/>
  <c r="AC67" i="54"/>
  <c r="AD67" i="54"/>
  <c r="AE67" i="54"/>
  <c r="AF67" i="54"/>
  <c r="AG67" i="54"/>
  <c r="AH67" i="54"/>
  <c r="AI67" i="54"/>
  <c r="AJ67" i="54"/>
  <c r="AK67" i="54"/>
  <c r="AL67" i="54"/>
  <c r="AM67" i="54"/>
  <c r="E83" i="54"/>
  <c r="E78" i="54" s="1"/>
  <c r="E87" i="54"/>
  <c r="E103" i="54"/>
  <c r="E99" i="54" s="1"/>
  <c r="E112" i="54"/>
  <c r="C114" i="54"/>
  <c r="C119" i="54"/>
  <c r="C120" i="54"/>
  <c r="C127" i="54"/>
  <c r="C144" i="54"/>
  <c r="C145" i="54"/>
  <c r="L27" i="54" l="1"/>
  <c r="L28" i="54" s="1"/>
  <c r="W62" i="54"/>
  <c r="AE62" i="54"/>
  <c r="E114" i="54"/>
  <c r="E120" i="54" s="1"/>
  <c r="E137" i="54" s="1"/>
  <c r="AM62" i="54"/>
  <c r="AL62" i="54"/>
  <c r="AK62" i="54"/>
  <c r="AC62" i="54"/>
  <c r="T62" i="54"/>
  <c r="K62" i="54"/>
  <c r="AD62" i="54"/>
  <c r="L62" i="54"/>
  <c r="AJ62" i="54"/>
  <c r="AB62" i="54"/>
  <c r="S62" i="54"/>
  <c r="J62" i="54"/>
  <c r="V62" i="54"/>
  <c r="AI62" i="54"/>
  <c r="AA62" i="54"/>
  <c r="R62" i="54"/>
  <c r="I62" i="54"/>
  <c r="AH62" i="54"/>
  <c r="Z62" i="54"/>
  <c r="Q62" i="54"/>
  <c r="H62" i="54"/>
  <c r="AG62" i="54"/>
  <c r="Y62" i="54"/>
  <c r="P62" i="54"/>
  <c r="G62" i="54"/>
  <c r="N62" i="54"/>
  <c r="AF62" i="54"/>
  <c r="X62" i="54"/>
  <c r="O62" i="54"/>
  <c r="F62" i="54"/>
  <c r="E136" i="54"/>
  <c r="F68" i="54"/>
  <c r="E69" i="54"/>
  <c r="E91" i="54"/>
  <c r="E63" i="54"/>
  <c r="C113" i="54"/>
  <c r="E113" i="54" s="1"/>
  <c r="E119" i="54" s="1"/>
  <c r="U62" i="54"/>
  <c r="M62" i="54"/>
  <c r="M16" i="35"/>
  <c r="M23" i="35"/>
  <c r="M28" i="35"/>
  <c r="M34" i="35"/>
  <c r="G23" i="35"/>
  <c r="G34" i="35"/>
  <c r="H34" i="35"/>
  <c r="G28" i="35"/>
  <c r="H28" i="35"/>
  <c r="G16" i="35"/>
  <c r="H16" i="35"/>
  <c r="I16" i="35"/>
  <c r="L29" i="54" l="1"/>
  <c r="E92" i="54"/>
  <c r="E93" i="54" s="1"/>
  <c r="E122" i="54" s="1"/>
  <c r="E156" i="54" s="1"/>
  <c r="E166" i="54" s="1"/>
  <c r="M50" i="35"/>
  <c r="F23" i="54"/>
  <c r="AO21" i="54"/>
  <c r="E117" i="54"/>
  <c r="E155" i="54"/>
  <c r="E95" i="54"/>
  <c r="E55" i="54" s="1"/>
  <c r="E124" i="54" s="1"/>
  <c r="F63" i="54"/>
  <c r="E168" i="54"/>
  <c r="G68" i="54"/>
  <c r="F69" i="54"/>
  <c r="J8" i="33"/>
  <c r="J9" i="33"/>
  <c r="J10" i="33"/>
  <c r="J12" i="33"/>
  <c r="J13" i="33"/>
  <c r="J14" i="33"/>
  <c r="J15" i="33"/>
  <c r="J16" i="33"/>
  <c r="J17" i="33"/>
  <c r="J18" i="33"/>
  <c r="J19" i="33"/>
  <c r="J20" i="33"/>
  <c r="J22" i="33"/>
  <c r="I8" i="33"/>
  <c r="I9" i="33"/>
  <c r="I10" i="33"/>
  <c r="I12" i="33"/>
  <c r="H8" i="33"/>
  <c r="H9" i="33"/>
  <c r="H10" i="33"/>
  <c r="H12" i="33"/>
  <c r="G8" i="33"/>
  <c r="G9" i="33"/>
  <c r="G10" i="33"/>
  <c r="G12" i="33"/>
  <c r="F8" i="33"/>
  <c r="F9" i="33"/>
  <c r="F10" i="33"/>
  <c r="F12" i="33"/>
  <c r="E8" i="33"/>
  <c r="E9" i="33"/>
  <c r="E10" i="33"/>
  <c r="E12" i="33"/>
  <c r="E13" i="33"/>
  <c r="E14" i="33"/>
  <c r="E15" i="33"/>
  <c r="E17" i="33"/>
  <c r="E22" i="33"/>
  <c r="D8" i="33"/>
  <c r="D9" i="33"/>
  <c r="D10" i="33"/>
  <c r="D12" i="33"/>
  <c r="D13" i="33"/>
  <c r="D14" i="33"/>
  <c r="D15" i="33"/>
  <c r="D17" i="33"/>
  <c r="D22" i="33"/>
  <c r="C12" i="33" l="1"/>
  <c r="C8" i="33"/>
  <c r="J16" i="56"/>
  <c r="G63" i="54"/>
  <c r="F168" i="54"/>
  <c r="E165" i="54"/>
  <c r="H68" i="54"/>
  <c r="G69" i="54"/>
  <c r="E135" i="54"/>
  <c r="E138" i="54" s="1"/>
  <c r="E147" i="54" s="1"/>
  <c r="E126" i="54" s="1"/>
  <c r="E157" i="54"/>
  <c r="E167" i="54" s="1"/>
  <c r="C9" i="33"/>
  <c r="C10" i="33"/>
  <c r="I68" i="54" l="1"/>
  <c r="H69" i="54"/>
  <c r="H63" i="54"/>
  <c r="G168" i="54"/>
  <c r="E127" i="54"/>
  <c r="E129" i="54" s="1"/>
  <c r="E142" i="54" s="1"/>
  <c r="E141" i="54" s="1"/>
  <c r="E144" i="54" s="1"/>
  <c r="E145" i="54" s="1"/>
  <c r="J68" i="54" l="1"/>
  <c r="I69" i="54"/>
  <c r="E159" i="54"/>
  <c r="I63" i="54"/>
  <c r="H168" i="54"/>
  <c r="J63" i="54" l="1"/>
  <c r="I168" i="54"/>
  <c r="K68" i="54"/>
  <c r="J69" i="54"/>
  <c r="E169" i="54"/>
  <c r="E170" i="54" s="1"/>
  <c r="E160" i="54"/>
  <c r="AO15" i="54" l="1"/>
  <c r="K69" i="54"/>
  <c r="L68" i="54"/>
  <c r="K63" i="54"/>
  <c r="J168" i="54"/>
  <c r="C51" i="41"/>
  <c r="C52" i="41"/>
  <c r="C53" i="41"/>
  <c r="C54" i="41"/>
  <c r="D51" i="41"/>
  <c r="D52" i="41"/>
  <c r="D53" i="41"/>
  <c r="D54" i="41"/>
  <c r="C44" i="43"/>
  <c r="C45" i="43"/>
  <c r="C46" i="43"/>
  <c r="C47" i="43"/>
  <c r="D44" i="43"/>
  <c r="D45" i="43"/>
  <c r="D46" i="43"/>
  <c r="D47" i="43"/>
  <c r="F44" i="43"/>
  <c r="F45" i="43"/>
  <c r="F46" i="43"/>
  <c r="F47" i="43"/>
  <c r="G44" i="43"/>
  <c r="G45" i="43"/>
  <c r="G46" i="43"/>
  <c r="G47" i="43"/>
  <c r="F73" i="32"/>
  <c r="G73" i="32"/>
  <c r="F74" i="32"/>
  <c r="G74" i="32"/>
  <c r="F75" i="32"/>
  <c r="G75" i="32"/>
  <c r="F76" i="32"/>
  <c r="G76" i="32"/>
  <c r="C73" i="32"/>
  <c r="C74" i="32"/>
  <c r="C75" i="32"/>
  <c r="C76" i="32"/>
  <c r="D73" i="32"/>
  <c r="D74" i="32"/>
  <c r="D75" i="32"/>
  <c r="D76" i="32"/>
  <c r="E73" i="32" l="1"/>
  <c r="H73" i="32" s="1"/>
  <c r="E76" i="32"/>
  <c r="H76" i="32" s="1"/>
  <c r="E75" i="32"/>
  <c r="H75" i="32" s="1"/>
  <c r="E74" i="32"/>
  <c r="H74" i="32" s="1"/>
  <c r="E45" i="43"/>
  <c r="H45" i="43" s="1"/>
  <c r="E51" i="41"/>
  <c r="L69" i="54"/>
  <c r="M68" i="54"/>
  <c r="L63" i="54"/>
  <c r="K168" i="54"/>
  <c r="E53" i="41"/>
  <c r="E47" i="43"/>
  <c r="H47" i="43" s="1"/>
  <c r="E52" i="41"/>
  <c r="E46" i="43"/>
  <c r="H46" i="43" s="1"/>
  <c r="E54" i="41"/>
  <c r="E44" i="43"/>
  <c r="H44" i="43" s="1"/>
  <c r="M63" i="54" l="1"/>
  <c r="L168" i="54"/>
  <c r="N68" i="54"/>
  <c r="M69" i="54"/>
  <c r="O68" i="54" l="1"/>
  <c r="N69" i="54"/>
  <c r="N63" i="54"/>
  <c r="M168" i="54"/>
  <c r="O63" i="54" l="1"/>
  <c r="N168" i="54"/>
  <c r="P68" i="54"/>
  <c r="O69" i="54"/>
  <c r="Q68" i="54" l="1"/>
  <c r="P69" i="54"/>
  <c r="P63" i="54"/>
  <c r="O168" i="54"/>
  <c r="Q69" i="54" l="1"/>
  <c r="R68" i="54"/>
  <c r="Q63" i="54"/>
  <c r="P168" i="54"/>
  <c r="A2" i="53"/>
  <c r="A1" i="53"/>
  <c r="S68" i="54" l="1"/>
  <c r="R69" i="54"/>
  <c r="R63" i="54"/>
  <c r="Q168" i="54"/>
  <c r="S63" i="54" l="1"/>
  <c r="R168" i="54"/>
  <c r="S69" i="54"/>
  <c r="T68" i="54"/>
  <c r="C51" i="53"/>
  <c r="D51" i="53"/>
  <c r="C30" i="53"/>
  <c r="D30" i="53"/>
  <c r="C10" i="53"/>
  <c r="D10" i="53"/>
  <c r="T63" i="54" l="1"/>
  <c r="S168" i="54"/>
  <c r="T69" i="54"/>
  <c r="U68" i="54"/>
  <c r="E30" i="53"/>
  <c r="E10" i="53"/>
  <c r="F61" i="33"/>
  <c r="F62" i="33"/>
  <c r="E63" i="33"/>
  <c r="F60" i="33"/>
  <c r="C63" i="33"/>
  <c r="F59" i="33"/>
  <c r="D63" i="33"/>
  <c r="D43" i="56" l="1"/>
  <c r="D45" i="35"/>
  <c r="U63" i="54"/>
  <c r="T168" i="54"/>
  <c r="V68" i="54"/>
  <c r="U69" i="54"/>
  <c r="F63" i="33"/>
  <c r="V63" i="54" l="1"/>
  <c r="U168" i="54"/>
  <c r="W68" i="54"/>
  <c r="V69" i="54"/>
  <c r="X68" i="54" l="1"/>
  <c r="W69" i="54"/>
  <c r="W63" i="54"/>
  <c r="V168" i="54"/>
  <c r="Y68" i="54" l="1"/>
  <c r="X69" i="54"/>
  <c r="X63" i="54"/>
  <c r="W168" i="54"/>
  <c r="Y69" i="54" l="1"/>
  <c r="Z68" i="54"/>
  <c r="Y63" i="54"/>
  <c r="X168" i="54"/>
  <c r="Z63" i="54" l="1"/>
  <c r="Y168" i="54"/>
  <c r="AA68" i="54"/>
  <c r="Z69" i="54"/>
  <c r="AA69" i="54" l="1"/>
  <c r="AB68" i="54"/>
  <c r="AA63" i="54"/>
  <c r="Z168" i="54"/>
  <c r="AB63" i="54" l="1"/>
  <c r="AA168" i="54"/>
  <c r="AB69" i="54"/>
  <c r="AC68" i="54"/>
  <c r="AC63" i="54" l="1"/>
  <c r="AB168" i="54"/>
  <c r="AD68" i="54"/>
  <c r="AC69" i="54"/>
  <c r="G43" i="43"/>
  <c r="F43" i="43"/>
  <c r="D43" i="43"/>
  <c r="C43" i="43"/>
  <c r="G42" i="43"/>
  <c r="F42" i="43"/>
  <c r="D42" i="43"/>
  <c r="C42" i="43"/>
  <c r="G41" i="43"/>
  <c r="F41" i="43"/>
  <c r="D41" i="43"/>
  <c r="C41" i="43"/>
  <c r="G40" i="43"/>
  <c r="F40" i="43"/>
  <c r="D40" i="43"/>
  <c r="C40" i="43"/>
  <c r="G39" i="43"/>
  <c r="F39" i="43"/>
  <c r="D39" i="43"/>
  <c r="C39" i="43"/>
  <c r="G38" i="43"/>
  <c r="F38" i="43"/>
  <c r="D38" i="43"/>
  <c r="C38" i="43"/>
  <c r="G37" i="43"/>
  <c r="F37" i="43"/>
  <c r="D37" i="43"/>
  <c r="C37" i="43"/>
  <c r="G36" i="43"/>
  <c r="F36" i="43"/>
  <c r="D36" i="43"/>
  <c r="C36" i="43"/>
  <c r="G35" i="43"/>
  <c r="F35" i="43"/>
  <c r="D35" i="43"/>
  <c r="C35" i="43"/>
  <c r="G34" i="43"/>
  <c r="F34" i="43"/>
  <c r="D34" i="43"/>
  <c r="C34" i="43"/>
  <c r="G33" i="43"/>
  <c r="F33" i="43"/>
  <c r="D33" i="43"/>
  <c r="C33" i="43"/>
  <c r="G32" i="43"/>
  <c r="F32" i="43"/>
  <c r="D32" i="43"/>
  <c r="C32" i="43"/>
  <c r="G31" i="43"/>
  <c r="F31" i="43"/>
  <c r="D31" i="43"/>
  <c r="C31" i="43"/>
  <c r="AE68" i="54" l="1"/>
  <c r="AD69" i="54"/>
  <c r="AD63" i="54"/>
  <c r="AC168" i="54"/>
  <c r="E34" i="43"/>
  <c r="H34" i="43" s="1"/>
  <c r="E36" i="43"/>
  <c r="H36" i="43" s="1"/>
  <c r="E38" i="43"/>
  <c r="H38" i="43" s="1"/>
  <c r="E40" i="43"/>
  <c r="H40" i="43" s="1"/>
  <c r="E42" i="43"/>
  <c r="H42" i="43" s="1"/>
  <c r="E32" i="43"/>
  <c r="H32" i="43" s="1"/>
  <c r="E31" i="43"/>
  <c r="H31" i="43" s="1"/>
  <c r="E33" i="43"/>
  <c r="H33" i="43" s="1"/>
  <c r="E35" i="43"/>
  <c r="H35" i="43" s="1"/>
  <c r="E37" i="43"/>
  <c r="H37" i="43" s="1"/>
  <c r="E39" i="43"/>
  <c r="H39" i="43" s="1"/>
  <c r="E41" i="43"/>
  <c r="H41" i="43" s="1"/>
  <c r="E43" i="43"/>
  <c r="H43" i="43" s="1"/>
  <c r="D48" i="43"/>
  <c r="C48" i="43"/>
  <c r="F48" i="43"/>
  <c r="G48" i="43"/>
  <c r="AE63" i="54" l="1"/>
  <c r="AD168" i="54"/>
  <c r="AF68" i="54"/>
  <c r="AE69" i="54"/>
  <c r="E48" i="43"/>
  <c r="H48" i="43"/>
  <c r="P42" i="54" l="1"/>
  <c r="C51" i="54" s="1"/>
  <c r="AF63" i="54"/>
  <c r="AE168" i="54"/>
  <c r="AG68" i="54"/>
  <c r="AF69" i="54"/>
  <c r="H82" i="54" l="1"/>
  <c r="H83" i="54" s="1"/>
  <c r="H78" i="54" s="1"/>
  <c r="H92" i="54" s="1"/>
  <c r="E74" i="54"/>
  <c r="F82" i="54"/>
  <c r="F83" i="54" s="1"/>
  <c r="F78" i="54" s="1"/>
  <c r="F92" i="54" s="1"/>
  <c r="G82" i="54"/>
  <c r="G83" i="54" s="1"/>
  <c r="G78" i="54" s="1"/>
  <c r="G92" i="54" s="1"/>
  <c r="I82" i="54"/>
  <c r="I83" i="54" s="1"/>
  <c r="I78" i="54" s="1"/>
  <c r="I92" i="54" s="1"/>
  <c r="J82" i="54"/>
  <c r="J83" i="54" s="1"/>
  <c r="J78" i="54" s="1"/>
  <c r="J92" i="54" s="1"/>
  <c r="G102" i="54"/>
  <c r="G103" i="54" s="1"/>
  <c r="G99" i="54" s="1"/>
  <c r="G136" i="54" s="1"/>
  <c r="J102" i="54"/>
  <c r="J103" i="54" s="1"/>
  <c r="J99" i="54" s="1"/>
  <c r="J136" i="54" s="1"/>
  <c r="M102" i="54"/>
  <c r="M103" i="54" s="1"/>
  <c r="M99" i="54" s="1"/>
  <c r="M136" i="54" s="1"/>
  <c r="T102" i="54"/>
  <c r="T103" i="54" s="1"/>
  <c r="T99" i="54" s="1"/>
  <c r="T136" i="54" s="1"/>
  <c r="E104" i="54"/>
  <c r="O102" i="54"/>
  <c r="O103" i="54" s="1"/>
  <c r="O99" i="54" s="1"/>
  <c r="O136" i="54" s="1"/>
  <c r="R102" i="54"/>
  <c r="R103" i="54" s="1"/>
  <c r="R99" i="54" s="1"/>
  <c r="R136" i="54" s="1"/>
  <c r="Q102" i="54"/>
  <c r="Q103" i="54" s="1"/>
  <c r="Q99" i="54" s="1"/>
  <c r="Q136" i="54" s="1"/>
  <c r="S102" i="54"/>
  <c r="S103" i="54" s="1"/>
  <c r="S99" i="54" s="1"/>
  <c r="S136" i="54" s="1"/>
  <c r="K102" i="54"/>
  <c r="K103" i="54" s="1"/>
  <c r="K99" i="54" s="1"/>
  <c r="K136" i="54" s="1"/>
  <c r="H102" i="54"/>
  <c r="H103" i="54" s="1"/>
  <c r="H99" i="54" s="1"/>
  <c r="H136" i="54" s="1"/>
  <c r="F102" i="54"/>
  <c r="F103" i="54" s="1"/>
  <c r="F99" i="54" s="1"/>
  <c r="F136" i="54" s="1"/>
  <c r="I102" i="54"/>
  <c r="I103" i="54" s="1"/>
  <c r="I99" i="54" s="1"/>
  <c r="I136" i="54" s="1"/>
  <c r="P102" i="54"/>
  <c r="P103" i="54" s="1"/>
  <c r="P99" i="54" s="1"/>
  <c r="P136" i="54" s="1"/>
  <c r="L102" i="54"/>
  <c r="L103" i="54" s="1"/>
  <c r="L99" i="54" s="1"/>
  <c r="L136" i="54" s="1"/>
  <c r="N102" i="54"/>
  <c r="N103" i="54" s="1"/>
  <c r="N99" i="54" s="1"/>
  <c r="N136" i="54" s="1"/>
  <c r="K82" i="54"/>
  <c r="K83" i="54" s="1"/>
  <c r="K78" i="54" s="1"/>
  <c r="K92" i="54" s="1"/>
  <c r="L82" i="54"/>
  <c r="N82" i="54"/>
  <c r="N83" i="54" s="1"/>
  <c r="N78" i="54" s="1"/>
  <c r="N92" i="54" s="1"/>
  <c r="O82" i="54"/>
  <c r="O83" i="54" s="1"/>
  <c r="O78" i="54" s="1"/>
  <c r="O92" i="54" s="1"/>
  <c r="P82" i="54"/>
  <c r="P83" i="54" s="1"/>
  <c r="P78" i="54" s="1"/>
  <c r="P92" i="54" s="1"/>
  <c r="Q82" i="54"/>
  <c r="Q83" i="54" s="1"/>
  <c r="Q78" i="54" s="1"/>
  <c r="Q92" i="54" s="1"/>
  <c r="R82" i="54"/>
  <c r="R83" i="54" s="1"/>
  <c r="R78" i="54" s="1"/>
  <c r="R92" i="54" s="1"/>
  <c r="S82" i="54"/>
  <c r="S83" i="54" s="1"/>
  <c r="S78" i="54" s="1"/>
  <c r="S92" i="54" s="1"/>
  <c r="T82" i="54"/>
  <c r="T83" i="54" s="1"/>
  <c r="T78" i="54" s="1"/>
  <c r="T92" i="54" s="1"/>
  <c r="U82" i="54"/>
  <c r="U83" i="54" s="1"/>
  <c r="U78" i="54" s="1"/>
  <c r="U92" i="54" s="1"/>
  <c r="V82" i="54"/>
  <c r="V83" i="54" s="1"/>
  <c r="V78" i="54" s="1"/>
  <c r="V92" i="54" s="1"/>
  <c r="AH68" i="54"/>
  <c r="AG69" i="54"/>
  <c r="AG63" i="54"/>
  <c r="AF168" i="54"/>
  <c r="T97" i="54" l="1"/>
  <c r="K97" i="54"/>
  <c r="V97" i="54"/>
  <c r="R97" i="54"/>
  <c r="P97" i="54"/>
  <c r="N97" i="54"/>
  <c r="U102" i="54"/>
  <c r="F104" i="54"/>
  <c r="G104" i="54" s="1"/>
  <c r="H104" i="54" s="1"/>
  <c r="I104" i="54" s="1"/>
  <c r="J104" i="54" s="1"/>
  <c r="K104" i="54" s="1"/>
  <c r="L104" i="54" s="1"/>
  <c r="M104" i="54" s="1"/>
  <c r="N104" i="54" s="1"/>
  <c r="O104" i="54" s="1"/>
  <c r="P104" i="54" s="1"/>
  <c r="Q104" i="54" s="1"/>
  <c r="R104" i="54" s="1"/>
  <c r="S104" i="54" s="1"/>
  <c r="T104" i="54" s="1"/>
  <c r="F97" i="54"/>
  <c r="U97" i="54"/>
  <c r="Q97" i="54"/>
  <c r="J97" i="54"/>
  <c r="E86" i="54"/>
  <c r="E75" i="54"/>
  <c r="G97" i="54"/>
  <c r="S97" i="54"/>
  <c r="O97" i="54"/>
  <c r="M82" i="54"/>
  <c r="W82" i="54" s="1"/>
  <c r="W83" i="54" s="1"/>
  <c r="W78" i="54" s="1"/>
  <c r="W92" i="54" s="1"/>
  <c r="L83" i="54"/>
  <c r="L78" i="54" s="1"/>
  <c r="L92" i="54" s="1"/>
  <c r="I97" i="54"/>
  <c r="H97" i="54"/>
  <c r="AI68" i="54"/>
  <c r="AH69" i="54"/>
  <c r="AH63" i="54"/>
  <c r="AG168" i="54"/>
  <c r="L97" i="54" l="1"/>
  <c r="V102" i="54"/>
  <c r="W102" i="54" s="1"/>
  <c r="W97" i="54"/>
  <c r="U103" i="54"/>
  <c r="U99" i="54" s="1"/>
  <c r="U136" i="54" s="1"/>
  <c r="M83" i="54"/>
  <c r="M78" i="54" s="1"/>
  <c r="M92" i="54" s="1"/>
  <c r="X82" i="54"/>
  <c r="E94" i="54"/>
  <c r="F86" i="54"/>
  <c r="F87" i="54"/>
  <c r="F95" i="54" s="1"/>
  <c r="F55" i="54" s="1"/>
  <c r="F124" i="54" s="1"/>
  <c r="AI63" i="54"/>
  <c r="AH168" i="54"/>
  <c r="AI69" i="54"/>
  <c r="AJ68" i="54"/>
  <c r="U104" i="54" l="1"/>
  <c r="Y82" i="54"/>
  <c r="Y83" i="54" s="1"/>
  <c r="Y78" i="54" s="1"/>
  <c r="Y92" i="54" s="1"/>
  <c r="Y97" i="54" s="1"/>
  <c r="F112" i="54"/>
  <c r="F91" i="54"/>
  <c r="X83" i="54"/>
  <c r="X78" i="54" s="1"/>
  <c r="X92" i="54" s="1"/>
  <c r="X102" i="54"/>
  <c r="W103" i="54"/>
  <c r="W99" i="54" s="1"/>
  <c r="W136" i="54" s="1"/>
  <c r="V103" i="54"/>
  <c r="V99" i="54" s="1"/>
  <c r="V136" i="54" s="1"/>
  <c r="F135" i="54"/>
  <c r="F157" i="54"/>
  <c r="F167" i="54" s="1"/>
  <c r="G86" i="54"/>
  <c r="G87" i="54"/>
  <c r="G95" i="54" s="1"/>
  <c r="G55" i="54" s="1"/>
  <c r="G124" i="54" s="1"/>
  <c r="F94" i="54"/>
  <c r="M97" i="54"/>
  <c r="AJ63" i="54"/>
  <c r="AI168" i="54"/>
  <c r="AJ69" i="54"/>
  <c r="AK68" i="54"/>
  <c r="Z82" i="54" l="1"/>
  <c r="Z83" i="54" s="1"/>
  <c r="Z78" i="54" s="1"/>
  <c r="Z92" i="54" s="1"/>
  <c r="Z97" i="54" s="1"/>
  <c r="V104" i="54"/>
  <c r="W104" i="54" s="1"/>
  <c r="H86" i="54"/>
  <c r="G94" i="54"/>
  <c r="H87" i="54"/>
  <c r="H95" i="54" s="1"/>
  <c r="H55" i="54" s="1"/>
  <c r="H124" i="54" s="1"/>
  <c r="F113" i="54"/>
  <c r="F119" i="54" s="1"/>
  <c r="F114" i="54"/>
  <c r="F120" i="54" s="1"/>
  <c r="F137" i="54" s="1"/>
  <c r="F138" i="54" s="1"/>
  <c r="G112" i="54"/>
  <c r="G91" i="54"/>
  <c r="X97" i="54"/>
  <c r="G135" i="54"/>
  <c r="G157" i="54"/>
  <c r="G167" i="54" s="1"/>
  <c r="X103" i="54"/>
  <c r="X99" i="54" s="1"/>
  <c r="X136" i="54" s="1"/>
  <c r="Y102" i="54"/>
  <c r="F96" i="54"/>
  <c r="F93" i="54"/>
  <c r="AK63" i="54"/>
  <c r="AJ168" i="54"/>
  <c r="AL68" i="54"/>
  <c r="AK69" i="54"/>
  <c r="E97" i="54" l="1"/>
  <c r="AA82" i="54"/>
  <c r="AA83" i="54" s="1"/>
  <c r="AA78" i="54" s="1"/>
  <c r="AA92" i="54" s="1"/>
  <c r="Y103" i="54"/>
  <c r="Y99" i="54" s="1"/>
  <c r="Y136" i="54" s="1"/>
  <c r="G114" i="54"/>
  <c r="G120" i="54" s="1"/>
  <c r="G137" i="54" s="1"/>
  <c r="G138" i="54" s="1"/>
  <c r="G113" i="54"/>
  <c r="G119" i="54" s="1"/>
  <c r="F117" i="54"/>
  <c r="F155" i="54"/>
  <c r="H135" i="54"/>
  <c r="H157" i="54"/>
  <c r="H167" i="54" s="1"/>
  <c r="H91" i="54"/>
  <c r="H112" i="54"/>
  <c r="F122" i="54"/>
  <c r="F156" i="54" s="1"/>
  <c r="F166" i="54" s="1"/>
  <c r="F98" i="54"/>
  <c r="Z102" i="54"/>
  <c r="X104" i="54"/>
  <c r="H94" i="54"/>
  <c r="I86" i="54"/>
  <c r="I87" i="54"/>
  <c r="I95" i="54" s="1"/>
  <c r="I55" i="54" s="1"/>
  <c r="I124" i="54" s="1"/>
  <c r="G96" i="54"/>
  <c r="G93" i="54"/>
  <c r="AM68" i="54"/>
  <c r="AM69" i="54" s="1"/>
  <c r="AL69" i="54"/>
  <c r="AL63" i="54"/>
  <c r="AK168" i="54"/>
  <c r="Y104" i="54" l="1"/>
  <c r="AB82" i="54"/>
  <c r="AB83" i="54" s="1"/>
  <c r="AB78" i="54" s="1"/>
  <c r="AB92" i="54" s="1"/>
  <c r="F147" i="54"/>
  <c r="F126" i="54" s="1"/>
  <c r="F127" i="54" s="1"/>
  <c r="F159" i="54" s="1"/>
  <c r="F169" i="54" s="1"/>
  <c r="I112" i="54"/>
  <c r="I91" i="54"/>
  <c r="H96" i="54"/>
  <c r="H93" i="54"/>
  <c r="G117" i="54"/>
  <c r="G155" i="54"/>
  <c r="I157" i="54"/>
  <c r="I167" i="54" s="1"/>
  <c r="I135" i="54"/>
  <c r="F165" i="54"/>
  <c r="G122" i="54"/>
  <c r="G156" i="54" s="1"/>
  <c r="G166" i="54" s="1"/>
  <c r="G98" i="54"/>
  <c r="I94" i="54"/>
  <c r="J86" i="54"/>
  <c r="J87" i="54"/>
  <c r="J95" i="54" s="1"/>
  <c r="J55" i="54" s="1"/>
  <c r="J124" i="54" s="1"/>
  <c r="AA102" i="54"/>
  <c r="Z103" i="54"/>
  <c r="Z99" i="54" s="1"/>
  <c r="Z136" i="54" s="1"/>
  <c r="H114" i="54"/>
  <c r="H120" i="54" s="1"/>
  <c r="H137" i="54" s="1"/>
  <c r="H138" i="54" s="1"/>
  <c r="H113" i="54"/>
  <c r="H119" i="54" s="1"/>
  <c r="AM63" i="54"/>
  <c r="AL168" i="54"/>
  <c r="AC82" i="54" l="1"/>
  <c r="AC83" i="54" s="1"/>
  <c r="AC78" i="54" s="1"/>
  <c r="AC92" i="54" s="1"/>
  <c r="F170" i="54"/>
  <c r="F9" i="54" s="1"/>
  <c r="F129" i="54"/>
  <c r="F142" i="54" s="1"/>
  <c r="F141" i="54" s="1"/>
  <c r="F144" i="54" s="1"/>
  <c r="F145" i="54" s="1"/>
  <c r="F160" i="54"/>
  <c r="K87" i="54"/>
  <c r="K95" i="54" s="1"/>
  <c r="K55" i="54" s="1"/>
  <c r="K124" i="54" s="1"/>
  <c r="J94" i="54"/>
  <c r="K86" i="54"/>
  <c r="I96" i="54"/>
  <c r="I93" i="54"/>
  <c r="J112" i="54"/>
  <c r="J91" i="54"/>
  <c r="I114" i="54"/>
  <c r="I120" i="54" s="1"/>
  <c r="I137" i="54" s="1"/>
  <c r="I138" i="54" s="1"/>
  <c r="I113" i="54"/>
  <c r="I119" i="54" s="1"/>
  <c r="AA103" i="54"/>
  <c r="AA99" i="54" s="1"/>
  <c r="AA136" i="54" s="1"/>
  <c r="AB102" i="54"/>
  <c r="AB103" i="54" s="1"/>
  <c r="AB99" i="54" s="1"/>
  <c r="AB136" i="54" s="1"/>
  <c r="Z104" i="54"/>
  <c r="G147" i="54"/>
  <c r="G126" i="54" s="1"/>
  <c r="H98" i="54"/>
  <c r="H122" i="54"/>
  <c r="H156" i="54" s="1"/>
  <c r="H166" i="54" s="1"/>
  <c r="H117" i="54"/>
  <c r="H155" i="54"/>
  <c r="J135" i="54"/>
  <c r="J157" i="54"/>
  <c r="J167" i="54" s="1"/>
  <c r="G165" i="54"/>
  <c r="AM168" i="54"/>
  <c r="AD82" i="54" l="1"/>
  <c r="AD83" i="54" s="1"/>
  <c r="AD78" i="54" s="1"/>
  <c r="AD92" i="54" s="1"/>
  <c r="AA104" i="54"/>
  <c r="AB104" i="54" s="1"/>
  <c r="L87" i="54"/>
  <c r="L95" i="54" s="1"/>
  <c r="L55" i="54" s="1"/>
  <c r="L124" i="54" s="1"/>
  <c r="L86" i="54"/>
  <c r="K94" i="54"/>
  <c r="H165" i="54"/>
  <c r="G127" i="54"/>
  <c r="G129" i="54" s="1"/>
  <c r="G142" i="54" s="1"/>
  <c r="G141" i="54" s="1"/>
  <c r="G144" i="54" s="1"/>
  <c r="G145" i="54" s="1"/>
  <c r="AC102" i="54"/>
  <c r="K112" i="54"/>
  <c r="K91" i="54"/>
  <c r="J96" i="54"/>
  <c r="J93" i="54"/>
  <c r="I117" i="54"/>
  <c r="I155" i="54"/>
  <c r="J113" i="54"/>
  <c r="J119" i="54" s="1"/>
  <c r="J114" i="54"/>
  <c r="J120" i="54" s="1"/>
  <c r="J137" i="54" s="1"/>
  <c r="J138" i="54" s="1"/>
  <c r="H147" i="54"/>
  <c r="H126" i="54" s="1"/>
  <c r="I98" i="54"/>
  <c r="I122" i="54"/>
  <c r="I156" i="54" s="1"/>
  <c r="I166" i="54" s="1"/>
  <c r="K135" i="54"/>
  <c r="K157" i="54"/>
  <c r="K167" i="54" s="1"/>
  <c r="AE82" i="54" l="1"/>
  <c r="AF82" i="54" s="1"/>
  <c r="G159" i="54"/>
  <c r="G169" i="54" s="1"/>
  <c r="G170" i="54" s="1"/>
  <c r="G9" i="54" s="1"/>
  <c r="I147" i="54"/>
  <c r="I126" i="54" s="1"/>
  <c r="I127" i="54" s="1"/>
  <c r="I129" i="54" s="1"/>
  <c r="I142" i="54" s="1"/>
  <c r="I141" i="54" s="1"/>
  <c r="I144" i="54" s="1"/>
  <c r="I145" i="54" s="1"/>
  <c r="H127" i="54"/>
  <c r="H129" i="54" s="1"/>
  <c r="H142" i="54" s="1"/>
  <c r="H141" i="54" s="1"/>
  <c r="H144" i="54" s="1"/>
  <c r="H145" i="54" s="1"/>
  <c r="I165" i="54"/>
  <c r="K96" i="54"/>
  <c r="K93" i="54"/>
  <c r="L112" i="54"/>
  <c r="L91" i="54"/>
  <c r="J98" i="54"/>
  <c r="J122" i="54"/>
  <c r="J156" i="54" s="1"/>
  <c r="J166" i="54" s="1"/>
  <c r="K113" i="54"/>
  <c r="K119" i="54" s="1"/>
  <c r="K114" i="54"/>
  <c r="K120" i="54" s="1"/>
  <c r="K137" i="54" s="1"/>
  <c r="K138" i="54" s="1"/>
  <c r="M87" i="54"/>
  <c r="M95" i="54" s="1"/>
  <c r="M55" i="54" s="1"/>
  <c r="M124" i="54" s="1"/>
  <c r="L94" i="54"/>
  <c r="M86" i="54"/>
  <c r="J117" i="54"/>
  <c r="J155" i="54"/>
  <c r="AC103" i="54"/>
  <c r="AC99" i="54" s="1"/>
  <c r="AD102" i="54"/>
  <c r="L157" i="54"/>
  <c r="L167" i="54" s="1"/>
  <c r="L135" i="54"/>
  <c r="C24" i="43"/>
  <c r="D24" i="43"/>
  <c r="E24" i="43"/>
  <c r="F24" i="43"/>
  <c r="G24" i="43"/>
  <c r="A2" i="43"/>
  <c r="A1" i="43"/>
  <c r="J147" i="54" l="1"/>
  <c r="J126" i="54" s="1"/>
  <c r="J127" i="54" s="1"/>
  <c r="J129" i="54" s="1"/>
  <c r="J142" i="54" s="1"/>
  <c r="J141" i="54" s="1"/>
  <c r="J144" i="54" s="1"/>
  <c r="J145" i="54" s="1"/>
  <c r="AE83" i="54"/>
  <c r="AE78" i="54" s="1"/>
  <c r="AE92" i="54" s="1"/>
  <c r="G160" i="54"/>
  <c r="AF83" i="54"/>
  <c r="AF78" i="54" s="1"/>
  <c r="AF92" i="54" s="1"/>
  <c r="AG82" i="54"/>
  <c r="I159" i="54"/>
  <c r="I169" i="54" s="1"/>
  <c r="I170" i="54" s="1"/>
  <c r="I9" i="54" s="1"/>
  <c r="H159" i="54"/>
  <c r="H169" i="54" s="1"/>
  <c r="H170" i="54" s="1"/>
  <c r="H9" i="54" s="1"/>
  <c r="M135" i="54"/>
  <c r="M157" i="54"/>
  <c r="M167" i="54" s="1"/>
  <c r="AD103" i="54"/>
  <c r="AD99" i="54" s="1"/>
  <c r="AD136" i="54" s="1"/>
  <c r="AE102" i="54"/>
  <c r="AC136" i="54"/>
  <c r="AC104" i="54"/>
  <c r="J165" i="54"/>
  <c r="M94" i="54"/>
  <c r="N86" i="54"/>
  <c r="N87" i="54"/>
  <c r="N95" i="54" s="1"/>
  <c r="N55" i="54" s="1"/>
  <c r="N124" i="54" s="1"/>
  <c r="K117" i="54"/>
  <c r="K155" i="54"/>
  <c r="L96" i="54"/>
  <c r="L93" i="54"/>
  <c r="K122" i="54"/>
  <c r="K156" i="54" s="1"/>
  <c r="K166" i="54" s="1"/>
  <c r="K98" i="54"/>
  <c r="M91" i="54"/>
  <c r="M112" i="54"/>
  <c r="L113" i="54"/>
  <c r="L119" i="54" s="1"/>
  <c r="L114" i="54"/>
  <c r="L120" i="54" s="1"/>
  <c r="L137" i="54" s="1"/>
  <c r="L138" i="54" s="1"/>
  <c r="I160" i="54" l="1"/>
  <c r="AG83" i="54"/>
  <c r="AG78" i="54" s="1"/>
  <c r="AG92" i="54" s="1"/>
  <c r="AH82" i="54"/>
  <c r="J159" i="54"/>
  <c r="AD104" i="54"/>
  <c r="H160" i="54"/>
  <c r="L155" i="54"/>
  <c r="L117" i="54"/>
  <c r="N135" i="54"/>
  <c r="N157" i="54"/>
  <c r="N167" i="54" s="1"/>
  <c r="M113" i="54"/>
  <c r="M119" i="54" s="1"/>
  <c r="M114" i="54"/>
  <c r="M120" i="54" s="1"/>
  <c r="M137" i="54" s="1"/>
  <c r="M138" i="54" s="1"/>
  <c r="K147" i="54"/>
  <c r="K126" i="54" s="1"/>
  <c r="K127" i="54" s="1"/>
  <c r="K159" i="54" s="1"/>
  <c r="K169" i="54" s="1"/>
  <c r="O86" i="54"/>
  <c r="O87" i="54"/>
  <c r="O95" i="54" s="1"/>
  <c r="O55" i="54" s="1"/>
  <c r="O124" i="54" s="1"/>
  <c r="N94" i="54"/>
  <c r="AE103" i="54"/>
  <c r="AE99" i="54" s="1"/>
  <c r="AE136" i="54" s="1"/>
  <c r="AF102" i="54"/>
  <c r="M96" i="54"/>
  <c r="M93" i="54"/>
  <c r="L98" i="54"/>
  <c r="L122" i="54"/>
  <c r="L156" i="54" s="1"/>
  <c r="L166" i="54" s="1"/>
  <c r="K165" i="54"/>
  <c r="N112" i="54"/>
  <c r="N91" i="54"/>
  <c r="AI82" i="54" l="1"/>
  <c r="AH83" i="54"/>
  <c r="AH78" i="54" s="1"/>
  <c r="AH92" i="54" s="1"/>
  <c r="J169" i="54"/>
  <c r="J170" i="54" s="1"/>
  <c r="J9" i="54" s="1"/>
  <c r="J160" i="54"/>
  <c r="AE104" i="54"/>
  <c r="K170" i="54"/>
  <c r="K9" i="54" s="1"/>
  <c r="K160" i="54"/>
  <c r="O135" i="54"/>
  <c r="O157" i="54"/>
  <c r="O167" i="54" s="1"/>
  <c r="M117" i="54"/>
  <c r="M155" i="54"/>
  <c r="M98" i="54"/>
  <c r="M122" i="54"/>
  <c r="M156" i="54" s="1"/>
  <c r="M166" i="54" s="1"/>
  <c r="O112" i="54"/>
  <c r="O91" i="54"/>
  <c r="K129" i="54"/>
  <c r="K142" i="54" s="1"/>
  <c r="K141" i="54" s="1"/>
  <c r="K144" i="54" s="1"/>
  <c r="K145" i="54" s="1"/>
  <c r="L165" i="54"/>
  <c r="N96" i="54"/>
  <c r="N93" i="54"/>
  <c r="AF103" i="54"/>
  <c r="AF99" i="54" s="1"/>
  <c r="AF136" i="54" s="1"/>
  <c r="AG102" i="54"/>
  <c r="N113" i="54"/>
  <c r="N119" i="54" s="1"/>
  <c r="N114" i="54"/>
  <c r="N120" i="54" s="1"/>
  <c r="N137" i="54" s="1"/>
  <c r="N138" i="54" s="1"/>
  <c r="P86" i="54"/>
  <c r="P87" i="54"/>
  <c r="P95" i="54" s="1"/>
  <c r="P55" i="54" s="1"/>
  <c r="P124" i="54" s="1"/>
  <c r="O94" i="54"/>
  <c r="L147" i="54"/>
  <c r="L126" i="54" s="1"/>
  <c r="AI83" i="54" l="1"/>
  <c r="AI78" i="54" s="1"/>
  <c r="AI92" i="54" s="1"/>
  <c r="AJ82" i="54"/>
  <c r="P112" i="54"/>
  <c r="P91" i="54"/>
  <c r="N117" i="54"/>
  <c r="N155" i="54"/>
  <c r="AF104" i="54"/>
  <c r="M165" i="54"/>
  <c r="P157" i="54"/>
  <c r="P167" i="54" s="1"/>
  <c r="P135" i="54"/>
  <c r="N98" i="54"/>
  <c r="N122" i="54"/>
  <c r="N156" i="54" s="1"/>
  <c r="N166" i="54" s="1"/>
  <c r="Q86" i="54"/>
  <c r="Q87" i="54"/>
  <c r="Q95" i="54" s="1"/>
  <c r="Q55" i="54" s="1"/>
  <c r="Q124" i="54" s="1"/>
  <c r="P94" i="54"/>
  <c r="O96" i="54"/>
  <c r="O93" i="54"/>
  <c r="L127" i="54"/>
  <c r="L129" i="54" s="1"/>
  <c r="L142" i="54" s="1"/>
  <c r="L141" i="54" s="1"/>
  <c r="L144" i="54" s="1"/>
  <c r="L145" i="54" s="1"/>
  <c r="AG103" i="54"/>
  <c r="AG99" i="54" s="1"/>
  <c r="AG136" i="54" s="1"/>
  <c r="AH102" i="54"/>
  <c r="O114" i="54"/>
  <c r="O120" i="54" s="1"/>
  <c r="O137" i="54" s="1"/>
  <c r="O138" i="54" s="1"/>
  <c r="O113" i="54"/>
  <c r="O119" i="54" s="1"/>
  <c r="M147" i="54"/>
  <c r="M126" i="54" s="1"/>
  <c r="AK82" i="54" l="1"/>
  <c r="AJ83" i="54"/>
  <c r="AJ78" i="54" s="1"/>
  <c r="AJ92" i="54" s="1"/>
  <c r="Q112" i="54"/>
  <c r="Q91" i="54"/>
  <c r="N165" i="54"/>
  <c r="AH103" i="54"/>
  <c r="AH99" i="54" s="1"/>
  <c r="AH136" i="54" s="1"/>
  <c r="AI102" i="54"/>
  <c r="O98" i="54"/>
  <c r="O122" i="54"/>
  <c r="O156" i="54" s="1"/>
  <c r="O166" i="54" s="1"/>
  <c r="Q135" i="54"/>
  <c r="Q157" i="54"/>
  <c r="Q167" i="54" s="1"/>
  <c r="M127" i="54"/>
  <c r="M129" i="54" s="1"/>
  <c r="M142" i="54" s="1"/>
  <c r="M141" i="54" s="1"/>
  <c r="M144" i="54" s="1"/>
  <c r="M145" i="54" s="1"/>
  <c r="Q94" i="54"/>
  <c r="R87" i="54"/>
  <c r="R95" i="54" s="1"/>
  <c r="R55" i="54" s="1"/>
  <c r="R124" i="54" s="1"/>
  <c r="R86" i="54"/>
  <c r="AG104" i="54"/>
  <c r="P96" i="54"/>
  <c r="P93" i="54"/>
  <c r="O155" i="54"/>
  <c r="O117" i="54"/>
  <c r="L159" i="54"/>
  <c r="N147" i="54"/>
  <c r="N126" i="54" s="1"/>
  <c r="P113" i="54"/>
  <c r="P119" i="54" s="1"/>
  <c r="P114" i="54"/>
  <c r="P120" i="54" s="1"/>
  <c r="P137" i="54" s="1"/>
  <c r="P138" i="54" s="1"/>
  <c r="D38" i="41"/>
  <c r="D39" i="41"/>
  <c r="D40" i="41"/>
  <c r="D41" i="41"/>
  <c r="D42" i="41"/>
  <c r="D43" i="41"/>
  <c r="D44" i="41"/>
  <c r="D45" i="41"/>
  <c r="D46" i="41"/>
  <c r="D47" i="41"/>
  <c r="D48" i="41"/>
  <c r="D49" i="41"/>
  <c r="D50" i="41"/>
  <c r="C38" i="41"/>
  <c r="C39" i="41"/>
  <c r="C40" i="41"/>
  <c r="C41" i="41"/>
  <c r="C42" i="41"/>
  <c r="C43" i="41"/>
  <c r="C44" i="41"/>
  <c r="C45" i="41"/>
  <c r="C46" i="41"/>
  <c r="C47" i="41"/>
  <c r="C48" i="41"/>
  <c r="C49" i="41"/>
  <c r="C50" i="41"/>
  <c r="A2" i="41"/>
  <c r="A1" i="41"/>
  <c r="AL82" i="54" l="1"/>
  <c r="AL83" i="54" s="1"/>
  <c r="AL78" i="54" s="1"/>
  <c r="AL92" i="54" s="1"/>
  <c r="AK83" i="54"/>
  <c r="AK78" i="54" s="1"/>
  <c r="AK92" i="54" s="1"/>
  <c r="AH104" i="54"/>
  <c r="M159" i="54"/>
  <c r="M169" i="54" s="1"/>
  <c r="M170" i="54" s="1"/>
  <c r="M9" i="54" s="1"/>
  <c r="P98" i="54"/>
  <c r="P122" i="54"/>
  <c r="P156" i="54" s="1"/>
  <c r="P166" i="54" s="1"/>
  <c r="S86" i="54"/>
  <c r="S87" i="54"/>
  <c r="S95" i="54" s="1"/>
  <c r="S55" i="54" s="1"/>
  <c r="S124" i="54" s="1"/>
  <c r="R94" i="54"/>
  <c r="P117" i="54"/>
  <c r="P155" i="54"/>
  <c r="O147" i="54"/>
  <c r="O126" i="54" s="1"/>
  <c r="O127" i="54" s="1"/>
  <c r="O159" i="54" s="1"/>
  <c r="O169" i="54" s="1"/>
  <c r="R135" i="54"/>
  <c r="R157" i="54"/>
  <c r="R167" i="54" s="1"/>
  <c r="AI103" i="54"/>
  <c r="AI99" i="54" s="1"/>
  <c r="AI136" i="54" s="1"/>
  <c r="AJ102" i="54"/>
  <c r="Q96" i="54"/>
  <c r="Q93" i="54"/>
  <c r="L169" i="54"/>
  <c r="L170" i="54" s="1"/>
  <c r="L9" i="54" s="1"/>
  <c r="L160" i="54"/>
  <c r="O165" i="54"/>
  <c r="N127" i="54"/>
  <c r="N129" i="54" s="1"/>
  <c r="N142" i="54" s="1"/>
  <c r="N141" i="54" s="1"/>
  <c r="N144" i="54" s="1"/>
  <c r="N145" i="54" s="1"/>
  <c r="R112" i="54"/>
  <c r="R91" i="54"/>
  <c r="Q114" i="54"/>
  <c r="Q120" i="54" s="1"/>
  <c r="Q137" i="54" s="1"/>
  <c r="Q138" i="54" s="1"/>
  <c r="Q113" i="54"/>
  <c r="Q119" i="54" s="1"/>
  <c r="E44" i="41"/>
  <c r="E47" i="41"/>
  <c r="C55" i="41"/>
  <c r="E45" i="41"/>
  <c r="E43" i="41"/>
  <c r="D55" i="41"/>
  <c r="E46" i="41"/>
  <c r="E38" i="41"/>
  <c r="E39" i="41"/>
  <c r="E50" i="41"/>
  <c r="E42" i="41"/>
  <c r="E48" i="41"/>
  <c r="E40" i="41"/>
  <c r="E49" i="41"/>
  <c r="E41" i="41"/>
  <c r="AM82" i="54" l="1"/>
  <c r="AM83" i="54" s="1"/>
  <c r="AM78" i="54" s="1"/>
  <c r="AM92" i="54" s="1"/>
  <c r="M160" i="54"/>
  <c r="AI104" i="54"/>
  <c r="R113" i="54"/>
  <c r="R119" i="54" s="1"/>
  <c r="R114" i="54"/>
  <c r="R120" i="54" s="1"/>
  <c r="R137" i="54" s="1"/>
  <c r="R138" i="54" s="1"/>
  <c r="N159" i="54"/>
  <c r="O160" i="54"/>
  <c r="Q122" i="54"/>
  <c r="Q156" i="54" s="1"/>
  <c r="Q166" i="54" s="1"/>
  <c r="Q98" i="54"/>
  <c r="P165" i="54"/>
  <c r="T87" i="54"/>
  <c r="T95" i="54" s="1"/>
  <c r="T55" i="54" s="1"/>
  <c r="T124" i="54" s="1"/>
  <c r="S94" i="54"/>
  <c r="T86" i="54"/>
  <c r="R96" i="54"/>
  <c r="R93" i="54"/>
  <c r="AJ103" i="54"/>
  <c r="AJ99" i="54" s="1"/>
  <c r="AJ136" i="54" s="1"/>
  <c r="AK102" i="54"/>
  <c r="O170" i="54"/>
  <c r="O9" i="54" s="1"/>
  <c r="S91" i="54"/>
  <c r="S112" i="54"/>
  <c r="Q117" i="54"/>
  <c r="Q155" i="54"/>
  <c r="P147" i="54"/>
  <c r="P126" i="54" s="1"/>
  <c r="S157" i="54"/>
  <c r="S167" i="54" s="1"/>
  <c r="S135" i="54"/>
  <c r="O129" i="54"/>
  <c r="O142" i="54" s="1"/>
  <c r="O141" i="54" s="1"/>
  <c r="O144" i="54" s="1"/>
  <c r="O145" i="54" s="1"/>
  <c r="E55" i="41"/>
  <c r="Q147" i="54" l="1"/>
  <c r="Q126" i="54" s="1"/>
  <c r="Q127" i="54" s="1"/>
  <c r="Q129" i="54" s="1"/>
  <c r="Q142" i="54" s="1"/>
  <c r="Q141" i="54" s="1"/>
  <c r="Q144" i="54" s="1"/>
  <c r="Q145" i="54" s="1"/>
  <c r="AJ104" i="54"/>
  <c r="AK103" i="54"/>
  <c r="AK99" i="54" s="1"/>
  <c r="AK136" i="54" s="1"/>
  <c r="AL102" i="54"/>
  <c r="U86" i="54"/>
  <c r="U87" i="54"/>
  <c r="U95" i="54" s="1"/>
  <c r="U55" i="54" s="1"/>
  <c r="U124" i="54" s="1"/>
  <c r="T94" i="54"/>
  <c r="N169" i="54"/>
  <c r="N170" i="54" s="1"/>
  <c r="N9" i="54" s="1"/>
  <c r="N160" i="54"/>
  <c r="P127" i="54"/>
  <c r="P129" i="54" s="1"/>
  <c r="P142" i="54" s="1"/>
  <c r="P141" i="54" s="1"/>
  <c r="P144" i="54" s="1"/>
  <c r="P145" i="54" s="1"/>
  <c r="Q165" i="54"/>
  <c r="S114" i="54"/>
  <c r="S120" i="54" s="1"/>
  <c r="S137" i="54" s="1"/>
  <c r="S138" i="54" s="1"/>
  <c r="S113" i="54"/>
  <c r="S119" i="54" s="1"/>
  <c r="T91" i="54"/>
  <c r="T112" i="54"/>
  <c r="S96" i="54"/>
  <c r="S93" i="54"/>
  <c r="R122" i="54"/>
  <c r="R156" i="54" s="1"/>
  <c r="R166" i="54" s="1"/>
  <c r="R98" i="54"/>
  <c r="T157" i="54"/>
  <c r="T167" i="54" s="1"/>
  <c r="T135" i="54"/>
  <c r="R155" i="54"/>
  <c r="R117" i="54"/>
  <c r="A2" i="36"/>
  <c r="A1" i="36"/>
  <c r="A2" i="35"/>
  <c r="A1" i="35"/>
  <c r="AK104" i="54" l="1"/>
  <c r="R147" i="54"/>
  <c r="R126" i="54" s="1"/>
  <c r="T96" i="54"/>
  <c r="T93" i="54"/>
  <c r="U135" i="54"/>
  <c r="U157" i="54"/>
  <c r="U167" i="54" s="1"/>
  <c r="Q159" i="54"/>
  <c r="S117" i="54"/>
  <c r="S155" i="54"/>
  <c r="U94" i="54"/>
  <c r="V86" i="54"/>
  <c r="V87" i="54"/>
  <c r="V95" i="54" s="1"/>
  <c r="V55" i="54" s="1"/>
  <c r="V124" i="54" s="1"/>
  <c r="R165" i="54"/>
  <c r="AL103" i="54"/>
  <c r="AL99" i="54" s="1"/>
  <c r="AL136" i="54" s="1"/>
  <c r="AM102" i="54"/>
  <c r="AM103" i="54" s="1"/>
  <c r="AM99" i="54" s="1"/>
  <c r="AM136" i="54" s="1"/>
  <c r="S122" i="54"/>
  <c r="S156" i="54" s="1"/>
  <c r="S166" i="54" s="1"/>
  <c r="S98" i="54"/>
  <c r="T114" i="54"/>
  <c r="T120" i="54" s="1"/>
  <c r="T137" i="54" s="1"/>
  <c r="T138" i="54" s="1"/>
  <c r="T113" i="54"/>
  <c r="T119" i="54" s="1"/>
  <c r="P159" i="54"/>
  <c r="U112" i="54"/>
  <c r="U91" i="54"/>
  <c r="D60" i="32"/>
  <c r="D61" i="32"/>
  <c r="D62" i="32"/>
  <c r="D63" i="32"/>
  <c r="D64" i="32"/>
  <c r="D65" i="32"/>
  <c r="D66" i="32"/>
  <c r="D67" i="32"/>
  <c r="D68" i="32"/>
  <c r="D69" i="32"/>
  <c r="D70" i="32"/>
  <c r="D71" i="32"/>
  <c r="D72" i="32"/>
  <c r="G60" i="32"/>
  <c r="G61" i="32"/>
  <c r="G62" i="32"/>
  <c r="G63" i="32"/>
  <c r="G64" i="32"/>
  <c r="G65" i="32"/>
  <c r="G66" i="32"/>
  <c r="G67" i="32"/>
  <c r="G68" i="32"/>
  <c r="G69" i="32"/>
  <c r="G70" i="32"/>
  <c r="G71" i="32"/>
  <c r="G72" i="32"/>
  <c r="F60" i="32"/>
  <c r="F61" i="32"/>
  <c r="F62" i="32"/>
  <c r="F63" i="32"/>
  <c r="F64" i="32"/>
  <c r="F65" i="32"/>
  <c r="F66" i="32"/>
  <c r="F67" i="32"/>
  <c r="F68" i="32"/>
  <c r="F69" i="32"/>
  <c r="F70" i="32"/>
  <c r="F71" i="32"/>
  <c r="F72" i="32"/>
  <c r="C60" i="32"/>
  <c r="C61" i="32"/>
  <c r="C62" i="32"/>
  <c r="C63" i="32"/>
  <c r="C64" i="32"/>
  <c r="C65" i="32"/>
  <c r="C66" i="32"/>
  <c r="C67" i="32"/>
  <c r="C68" i="32"/>
  <c r="C69" i="32"/>
  <c r="C70" i="32"/>
  <c r="C71" i="32"/>
  <c r="C72" i="32"/>
  <c r="AL104" i="54" l="1"/>
  <c r="AM104" i="54" s="1"/>
  <c r="W86" i="54"/>
  <c r="W87" i="54"/>
  <c r="W95" i="54" s="1"/>
  <c r="W55" i="54" s="1"/>
  <c r="W124" i="54" s="1"/>
  <c r="V94" i="54"/>
  <c r="S165" i="54"/>
  <c r="U96" i="54"/>
  <c r="U93" i="54"/>
  <c r="T155" i="54"/>
  <c r="T117" i="54"/>
  <c r="V91" i="54"/>
  <c r="V112" i="54"/>
  <c r="T98" i="54"/>
  <c r="T122" i="54"/>
  <c r="T156" i="54" s="1"/>
  <c r="T166" i="54" s="1"/>
  <c r="U114" i="54"/>
  <c r="U120" i="54" s="1"/>
  <c r="U137" i="54" s="1"/>
  <c r="U138" i="54" s="1"/>
  <c r="U113" i="54"/>
  <c r="U119" i="54" s="1"/>
  <c r="Q169" i="54"/>
  <c r="Q170" i="54" s="1"/>
  <c r="Q9" i="54" s="1"/>
  <c r="Q160" i="54"/>
  <c r="P169" i="54"/>
  <c r="P170" i="54" s="1"/>
  <c r="P9" i="54" s="1"/>
  <c r="P160" i="54"/>
  <c r="V135" i="54"/>
  <c r="V157" i="54"/>
  <c r="V167" i="54" s="1"/>
  <c r="S147" i="54"/>
  <c r="S126" i="54" s="1"/>
  <c r="S127" i="54" s="1"/>
  <c r="S159" i="54" s="1"/>
  <c r="S169" i="54" s="1"/>
  <c r="R127" i="54"/>
  <c r="R129" i="54" s="1"/>
  <c r="R142" i="54" s="1"/>
  <c r="R141" i="54" s="1"/>
  <c r="R144" i="54" s="1"/>
  <c r="R145" i="54" s="1"/>
  <c r="E60" i="32"/>
  <c r="H60" i="32" s="1"/>
  <c r="E68" i="32"/>
  <c r="H68" i="32" s="1"/>
  <c r="E70" i="32"/>
  <c r="H70" i="32" s="1"/>
  <c r="E62" i="32"/>
  <c r="H62" i="32" s="1"/>
  <c r="E64" i="32"/>
  <c r="H64" i="32" s="1"/>
  <c r="E72" i="32"/>
  <c r="H72" i="32" s="1"/>
  <c r="E69" i="32"/>
  <c r="H69" i="32" s="1"/>
  <c r="E61" i="32"/>
  <c r="H61" i="32" s="1"/>
  <c r="E71" i="32"/>
  <c r="H71" i="32" s="1"/>
  <c r="E63" i="32"/>
  <c r="H63" i="32" s="1"/>
  <c r="E67" i="32"/>
  <c r="H67" i="32" s="1"/>
  <c r="E65" i="32"/>
  <c r="H65" i="32" s="1"/>
  <c r="E66" i="32"/>
  <c r="D77" i="32"/>
  <c r="C77" i="32"/>
  <c r="G77" i="32"/>
  <c r="F77" i="32"/>
  <c r="A2" i="33"/>
  <c r="A1" i="33"/>
  <c r="R159" i="54" l="1"/>
  <c r="R160" i="54" s="1"/>
  <c r="S170" i="54"/>
  <c r="S9" i="54" s="1"/>
  <c r="U98" i="54"/>
  <c r="U122" i="54"/>
  <c r="U156" i="54" s="1"/>
  <c r="U166" i="54" s="1"/>
  <c r="S129" i="54"/>
  <c r="S142" i="54" s="1"/>
  <c r="S141" i="54" s="1"/>
  <c r="S144" i="54" s="1"/>
  <c r="S145" i="54" s="1"/>
  <c r="T147" i="54"/>
  <c r="T126" i="54" s="1"/>
  <c r="T127" i="54" s="1"/>
  <c r="T159" i="54" s="1"/>
  <c r="T169" i="54" s="1"/>
  <c r="W112" i="54"/>
  <c r="W91" i="54"/>
  <c r="U117" i="54"/>
  <c r="U155" i="54"/>
  <c r="V113" i="54"/>
  <c r="V119" i="54" s="1"/>
  <c r="V114" i="54"/>
  <c r="V120" i="54" s="1"/>
  <c r="V137" i="54" s="1"/>
  <c r="V138" i="54" s="1"/>
  <c r="W157" i="54"/>
  <c r="W167" i="54" s="1"/>
  <c r="W135" i="54"/>
  <c r="V96" i="54"/>
  <c r="V93" i="54"/>
  <c r="T165" i="54"/>
  <c r="S160" i="54"/>
  <c r="W94" i="54"/>
  <c r="X87" i="54"/>
  <c r="X95" i="54" s="1"/>
  <c r="X55" i="54" s="1"/>
  <c r="X124" i="54" s="1"/>
  <c r="X86" i="54"/>
  <c r="H66" i="32"/>
  <c r="E77" i="32"/>
  <c r="L52" i="33"/>
  <c r="K52" i="33"/>
  <c r="E52" i="33"/>
  <c r="M52" i="33"/>
  <c r="D52" i="33"/>
  <c r="F52" i="33"/>
  <c r="G52" i="33"/>
  <c r="C52" i="33"/>
  <c r="H52" i="33"/>
  <c r="I52" i="33"/>
  <c r="J52" i="33"/>
  <c r="A2" i="32"/>
  <c r="A1" i="32"/>
  <c r="R169" i="54" l="1"/>
  <c r="R170" i="54" s="1"/>
  <c r="R9" i="54" s="1"/>
  <c r="U147" i="54"/>
  <c r="U126" i="54" s="1"/>
  <c r="U127" i="54" s="1"/>
  <c r="U129" i="54" s="1"/>
  <c r="U142" i="54" s="1"/>
  <c r="U141" i="54" s="1"/>
  <c r="U144" i="54" s="1"/>
  <c r="U145" i="54" s="1"/>
  <c r="X157" i="54"/>
  <c r="X167" i="54" s="1"/>
  <c r="X135" i="54"/>
  <c r="U165" i="54"/>
  <c r="W114" i="54"/>
  <c r="W120" i="54" s="1"/>
  <c r="W137" i="54" s="1"/>
  <c r="W138" i="54" s="1"/>
  <c r="W113" i="54"/>
  <c r="W119" i="54" s="1"/>
  <c r="X91" i="54"/>
  <c r="X112" i="54"/>
  <c r="V98" i="54"/>
  <c r="V122" i="54"/>
  <c r="V156" i="54" s="1"/>
  <c r="V166" i="54" s="1"/>
  <c r="C166" i="54" s="1"/>
  <c r="T170" i="54"/>
  <c r="T9" i="54" s="1"/>
  <c r="T129" i="54"/>
  <c r="T142" i="54" s="1"/>
  <c r="T141" i="54" s="1"/>
  <c r="T144" i="54" s="1"/>
  <c r="T145" i="54" s="1"/>
  <c r="V155" i="54"/>
  <c r="V117" i="54"/>
  <c r="Y86" i="54"/>
  <c r="X94" i="54"/>
  <c r="Y87" i="54"/>
  <c r="Y95" i="54" s="1"/>
  <c r="Y55" i="54" s="1"/>
  <c r="Y124" i="54" s="1"/>
  <c r="T160" i="54"/>
  <c r="W96" i="54"/>
  <c r="W93" i="54"/>
  <c r="H26" i="33"/>
  <c r="H21" i="33"/>
  <c r="I26" i="33"/>
  <c r="I21" i="33"/>
  <c r="E25" i="33"/>
  <c r="E21" i="33"/>
  <c r="D21" i="33"/>
  <c r="F26" i="33"/>
  <c r="F21" i="33"/>
  <c r="G26" i="33"/>
  <c r="G21" i="33"/>
  <c r="D25" i="33"/>
  <c r="D16" i="33"/>
  <c r="D18" i="33"/>
  <c r="D19" i="33"/>
  <c r="D20" i="33"/>
  <c r="H15" i="33"/>
  <c r="H22" i="33"/>
  <c r="H20" i="33"/>
  <c r="H16" i="33"/>
  <c r="H14" i="33"/>
  <c r="H13" i="33"/>
  <c r="H17" i="33"/>
  <c r="H18" i="33"/>
  <c r="H19" i="33"/>
  <c r="F16" i="33"/>
  <c r="F13" i="33"/>
  <c r="F17" i="33"/>
  <c r="F18" i="33"/>
  <c r="F19" i="33"/>
  <c r="F14" i="33"/>
  <c r="F20" i="33"/>
  <c r="F15" i="33"/>
  <c r="F22" i="33"/>
  <c r="E16" i="33"/>
  <c r="E18" i="33"/>
  <c r="E19" i="33"/>
  <c r="E20" i="33"/>
  <c r="I16" i="33"/>
  <c r="I13" i="33"/>
  <c r="I17" i="33"/>
  <c r="I18" i="33"/>
  <c r="I19" i="33"/>
  <c r="I14" i="33"/>
  <c r="I20" i="33"/>
  <c r="I15" i="33"/>
  <c r="I22" i="33"/>
  <c r="G18" i="33"/>
  <c r="G19" i="33"/>
  <c r="G17" i="33"/>
  <c r="G14" i="33"/>
  <c r="G20" i="33"/>
  <c r="G15" i="33"/>
  <c r="G22" i="33"/>
  <c r="G16" i="33"/>
  <c r="G13" i="33"/>
  <c r="H77" i="32"/>
  <c r="F27" i="32"/>
  <c r="C27" i="32"/>
  <c r="D27" i="32"/>
  <c r="U159" i="54" l="1"/>
  <c r="U169" i="54" s="1"/>
  <c r="U170" i="54" s="1"/>
  <c r="U9" i="54" s="1"/>
  <c r="W98" i="54"/>
  <c r="W122" i="54"/>
  <c r="W156" i="54" s="1"/>
  <c r="W166" i="54" s="1"/>
  <c r="Z87" i="54"/>
  <c r="Z95" i="54" s="1"/>
  <c r="Z55" i="54" s="1"/>
  <c r="Z124" i="54" s="1"/>
  <c r="Y94" i="54"/>
  <c r="Z86" i="54"/>
  <c r="W117" i="54"/>
  <c r="W155" i="54"/>
  <c r="V165" i="54"/>
  <c r="Y157" i="54"/>
  <c r="Y167" i="54" s="1"/>
  <c r="Y135" i="54"/>
  <c r="X114" i="54"/>
  <c r="X120" i="54" s="1"/>
  <c r="X137" i="54" s="1"/>
  <c r="X138" i="54" s="1"/>
  <c r="X113" i="54"/>
  <c r="X119" i="54" s="1"/>
  <c r="Y91" i="54"/>
  <c r="Y112" i="54"/>
  <c r="V147" i="54"/>
  <c r="V126" i="54" s="1"/>
  <c r="X96" i="54"/>
  <c r="X93" i="54"/>
  <c r="C26" i="33"/>
  <c r="E45" i="35" s="1"/>
  <c r="F45" i="35" s="1"/>
  <c r="C25" i="33"/>
  <c r="E42" i="56" s="1"/>
  <c r="C21" i="33"/>
  <c r="C20" i="33"/>
  <c r="C19" i="33"/>
  <c r="E40" i="35" s="1"/>
  <c r="C18" i="33"/>
  <c r="C16" i="33"/>
  <c r="C14" i="33"/>
  <c r="C17" i="33"/>
  <c r="C22" i="33"/>
  <c r="C13" i="33"/>
  <c r="C15" i="33"/>
  <c r="E27" i="32"/>
  <c r="E44" i="35" l="1"/>
  <c r="E43" i="56"/>
  <c r="F43" i="56" s="1"/>
  <c r="J43" i="56" s="1"/>
  <c r="U160" i="54"/>
  <c r="X122" i="54"/>
  <c r="X156" i="54" s="1"/>
  <c r="X166" i="54" s="1"/>
  <c r="X98" i="54"/>
  <c r="Y96" i="54"/>
  <c r="Y93" i="54"/>
  <c r="W147" i="54"/>
  <c r="W126" i="54" s="1"/>
  <c r="W127" i="54" s="1"/>
  <c r="W159" i="54" s="1"/>
  <c r="W169" i="54" s="1"/>
  <c r="Z91" i="54"/>
  <c r="Z112" i="54"/>
  <c r="W165" i="54"/>
  <c r="Z135" i="54"/>
  <c r="Z157" i="54"/>
  <c r="Z167" i="54" s="1"/>
  <c r="V127" i="54"/>
  <c r="V129" i="54" s="1"/>
  <c r="V142" i="54" s="1"/>
  <c r="V141" i="54" s="1"/>
  <c r="V144" i="54" s="1"/>
  <c r="V145" i="54" s="1"/>
  <c r="X117" i="54"/>
  <c r="X155" i="54"/>
  <c r="Y114" i="54"/>
  <c r="Y120" i="54" s="1"/>
  <c r="Y137" i="54" s="1"/>
  <c r="Y138" i="54" s="1"/>
  <c r="Y113" i="54"/>
  <c r="Y119" i="54" s="1"/>
  <c r="AA87" i="54"/>
  <c r="AA95" i="54" s="1"/>
  <c r="AA55" i="54" s="1"/>
  <c r="AA124" i="54" s="1"/>
  <c r="AA86" i="54"/>
  <c r="Z94" i="54"/>
  <c r="L45" i="35"/>
  <c r="E40" i="56"/>
  <c r="F40" i="56" s="1"/>
  <c r="H40" i="56" s="1"/>
  <c r="E42" i="35"/>
  <c r="F42" i="35" s="1"/>
  <c r="E43" i="35"/>
  <c r="F43" i="35" s="1"/>
  <c r="E41" i="56"/>
  <c r="F41" i="56" s="1"/>
  <c r="F40" i="35"/>
  <c r="E38" i="56"/>
  <c r="F38" i="56" s="1"/>
  <c r="E38" i="35"/>
  <c r="F38" i="35" s="1"/>
  <c r="E36" i="56"/>
  <c r="F36" i="56" s="1"/>
  <c r="G36" i="56" s="1"/>
  <c r="E39" i="35"/>
  <c r="F39" i="35" s="1"/>
  <c r="G39" i="35" s="1"/>
  <c r="E37" i="56"/>
  <c r="F37" i="56" s="1"/>
  <c r="E41" i="35"/>
  <c r="F41" i="35" s="1"/>
  <c r="H41" i="35" s="1"/>
  <c r="E39" i="56"/>
  <c r="F39" i="56" s="1"/>
  <c r="E32" i="35"/>
  <c r="E30" i="56"/>
  <c r="E37" i="35"/>
  <c r="E35" i="56"/>
  <c r="E31" i="35"/>
  <c r="E29" i="56"/>
  <c r="E26" i="35"/>
  <c r="F26" i="35" s="1"/>
  <c r="E24" i="56"/>
  <c r="F24" i="56" s="1"/>
  <c r="J16" i="35"/>
  <c r="K16" i="35"/>
  <c r="L16" i="35"/>
  <c r="A2" i="28"/>
  <c r="A1" i="28"/>
  <c r="K43" i="56" l="1"/>
  <c r="I43" i="56"/>
  <c r="X147" i="54"/>
  <c r="X126" i="54" s="1"/>
  <c r="X127" i="54" s="1"/>
  <c r="X129" i="54" s="1"/>
  <c r="X142" i="54" s="1"/>
  <c r="X141" i="54" s="1"/>
  <c r="X144" i="54" s="1"/>
  <c r="X145" i="54" s="1"/>
  <c r="W160" i="54"/>
  <c r="W129" i="54"/>
  <c r="W142" i="54" s="1"/>
  <c r="W141" i="54" s="1"/>
  <c r="W144" i="54" s="1"/>
  <c r="W145" i="54" s="1"/>
  <c r="AA91" i="54"/>
  <c r="AA93" i="54" s="1"/>
  <c r="AA122" i="54" s="1"/>
  <c r="AA156" i="54" s="1"/>
  <c r="AA166" i="54" s="1"/>
  <c r="AA112" i="54"/>
  <c r="Y155" i="54"/>
  <c r="Y117" i="54"/>
  <c r="X165" i="54"/>
  <c r="Z114" i="54"/>
  <c r="Z120" i="54" s="1"/>
  <c r="Z137" i="54" s="1"/>
  <c r="Z138" i="54" s="1"/>
  <c r="Z113" i="54"/>
  <c r="Z119" i="54" s="1"/>
  <c r="AA94" i="54"/>
  <c r="AB86" i="54"/>
  <c r="AB87" i="54"/>
  <c r="AB95" i="54" s="1"/>
  <c r="AB55" i="54" s="1"/>
  <c r="AB124" i="54" s="1"/>
  <c r="Z96" i="54"/>
  <c r="E96" i="54" s="1"/>
  <c r="Z93" i="54"/>
  <c r="Y122" i="54"/>
  <c r="Y156" i="54" s="1"/>
  <c r="Y166" i="54" s="1"/>
  <c r="Y98" i="54"/>
  <c r="AA135" i="54"/>
  <c r="AA157" i="54"/>
  <c r="AA167" i="54" s="1"/>
  <c r="V159" i="54"/>
  <c r="W170" i="54"/>
  <c r="W9" i="54" s="1"/>
  <c r="F20" i="35"/>
  <c r="H20" i="35" s="1"/>
  <c r="K42" i="35"/>
  <c r="I43" i="35"/>
  <c r="K41" i="35"/>
  <c r="I42" i="35"/>
  <c r="K39" i="35"/>
  <c r="I40" i="35"/>
  <c r="I39" i="35"/>
  <c r="I38" i="35"/>
  <c r="K26" i="35"/>
  <c r="I45" i="35"/>
  <c r="K40" i="35"/>
  <c r="I41" i="35"/>
  <c r="K38" i="35"/>
  <c r="K45" i="35"/>
  <c r="K43" i="35"/>
  <c r="I26" i="35"/>
  <c r="J43" i="35"/>
  <c r="J39" i="35"/>
  <c r="J26" i="35"/>
  <c r="J42" i="35"/>
  <c r="J41" i="35"/>
  <c r="J38" i="35"/>
  <c r="J45" i="35"/>
  <c r="J40" i="35"/>
  <c r="G42" i="35"/>
  <c r="L42" i="35"/>
  <c r="H42" i="35"/>
  <c r="I40" i="56"/>
  <c r="J40" i="56"/>
  <c r="G40" i="56"/>
  <c r="K40" i="56"/>
  <c r="L38" i="35"/>
  <c r="G38" i="35"/>
  <c r="L40" i="35"/>
  <c r="L43" i="35"/>
  <c r="L41" i="35"/>
  <c r="G41" i="35"/>
  <c r="G40" i="35"/>
  <c r="H40" i="35"/>
  <c r="H38" i="35"/>
  <c r="H39" i="35"/>
  <c r="J37" i="56"/>
  <c r="I37" i="56"/>
  <c r="H37" i="56"/>
  <c r="K37" i="56"/>
  <c r="G37" i="56"/>
  <c r="I36" i="56"/>
  <c r="K36" i="56"/>
  <c r="H36" i="56"/>
  <c r="J36" i="56"/>
  <c r="L39" i="35"/>
  <c r="H38" i="56"/>
  <c r="G38" i="56"/>
  <c r="J38" i="56"/>
  <c r="I38" i="56"/>
  <c r="K38" i="56"/>
  <c r="I39" i="56"/>
  <c r="K39" i="56"/>
  <c r="H39" i="56"/>
  <c r="J39" i="56"/>
  <c r="G39" i="56"/>
  <c r="K41" i="56"/>
  <c r="I41" i="56"/>
  <c r="J41" i="56"/>
  <c r="J24" i="56"/>
  <c r="I24" i="56"/>
  <c r="K24" i="56"/>
  <c r="L26" i="35"/>
  <c r="X159" i="54" l="1"/>
  <c r="X169" i="54" s="1"/>
  <c r="X170" i="54" s="1"/>
  <c r="X9" i="54" s="1"/>
  <c r="Z98" i="54"/>
  <c r="E98" i="54" s="1"/>
  <c r="Z122" i="54"/>
  <c r="Z156" i="54" s="1"/>
  <c r="Z166" i="54" s="1"/>
  <c r="AB112" i="54"/>
  <c r="AB91" i="54"/>
  <c r="AB93" i="54" s="1"/>
  <c r="AB122" i="54" s="1"/>
  <c r="AB156" i="54" s="1"/>
  <c r="AB166" i="54" s="1"/>
  <c r="AA113" i="54"/>
  <c r="AA119" i="54" s="1"/>
  <c r="AA114" i="54"/>
  <c r="AA120" i="54" s="1"/>
  <c r="AA137" i="54" s="1"/>
  <c r="AA138" i="54" s="1"/>
  <c r="Z117" i="54"/>
  <c r="Z155" i="54"/>
  <c r="Y147" i="54"/>
  <c r="Y126" i="54" s="1"/>
  <c r="AB135" i="54"/>
  <c r="AB157" i="54"/>
  <c r="AB167" i="54" s="1"/>
  <c r="V169" i="54"/>
  <c r="V170" i="54" s="1"/>
  <c r="V9" i="54" s="1"/>
  <c r="V160" i="54"/>
  <c r="AC86" i="54"/>
  <c r="AC87" i="54"/>
  <c r="AC95" i="54" s="1"/>
  <c r="AC55" i="54" s="1"/>
  <c r="AC124" i="54" s="1"/>
  <c r="AB94" i="54"/>
  <c r="Y165" i="54"/>
  <c r="G42" i="56"/>
  <c r="G45" i="56" s="1"/>
  <c r="G48" i="56" s="1"/>
  <c r="G44" i="35"/>
  <c r="G47" i="35" s="1"/>
  <c r="G50" i="35" s="1"/>
  <c r="L28" i="35"/>
  <c r="J28" i="35"/>
  <c r="K28" i="35"/>
  <c r="I28" i="35"/>
  <c r="J26" i="56"/>
  <c r="I26" i="56"/>
  <c r="K26" i="56"/>
  <c r="X160" i="54" l="1"/>
  <c r="AA147" i="54"/>
  <c r="AA126" i="54" s="1"/>
  <c r="AA127" i="54" s="1"/>
  <c r="AA159" i="54" s="1"/>
  <c r="AA169" i="54" s="1"/>
  <c r="Z147" i="54"/>
  <c r="Z126" i="54" s="1"/>
  <c r="Z127" i="54" s="1"/>
  <c r="Z159" i="54" s="1"/>
  <c r="Z169" i="54" s="1"/>
  <c r="AC135" i="54"/>
  <c r="AC157" i="54"/>
  <c r="AC167" i="54" s="1"/>
  <c r="AB113" i="54"/>
  <c r="AB119" i="54" s="1"/>
  <c r="AB114" i="54"/>
  <c r="AB120" i="54" s="1"/>
  <c r="AB137" i="54" s="1"/>
  <c r="AB138" i="54" s="1"/>
  <c r="AC112" i="54"/>
  <c r="AC91" i="54"/>
  <c r="AC93" i="54" s="1"/>
  <c r="AC122" i="54" s="1"/>
  <c r="AC156" i="54" s="1"/>
  <c r="AC166" i="54" s="1"/>
  <c r="Y127" i="54"/>
  <c r="Y129" i="54" s="1"/>
  <c r="Y142" i="54" s="1"/>
  <c r="Y141" i="54" s="1"/>
  <c r="Y144" i="54" s="1"/>
  <c r="Y145" i="54" s="1"/>
  <c r="AD87" i="54"/>
  <c r="AD95" i="54" s="1"/>
  <c r="AD55" i="54" s="1"/>
  <c r="AD124" i="54" s="1"/>
  <c r="AD86" i="54"/>
  <c r="AC94" i="54"/>
  <c r="Z165" i="54"/>
  <c r="AA117" i="54"/>
  <c r="AA155" i="54"/>
  <c r="AA129" i="54" l="1"/>
  <c r="AA142" i="54" s="1"/>
  <c r="AA141" i="54" s="1"/>
  <c r="AA144" i="54" s="1"/>
  <c r="AA145" i="54" s="1"/>
  <c r="Z160" i="54"/>
  <c r="Z170" i="54"/>
  <c r="Z9" i="54" s="1"/>
  <c r="Z129" i="54"/>
  <c r="Z142" i="54" s="1"/>
  <c r="Z141" i="54" s="1"/>
  <c r="Z144" i="54" s="1"/>
  <c r="Z145" i="54" s="1"/>
  <c r="AD157" i="54"/>
  <c r="AD167" i="54" s="1"/>
  <c r="AD135" i="54"/>
  <c r="AC114" i="54"/>
  <c r="AC120" i="54" s="1"/>
  <c r="AC137" i="54" s="1"/>
  <c r="AC138" i="54" s="1"/>
  <c r="AC113" i="54"/>
  <c r="AC119" i="54" s="1"/>
  <c r="AD112" i="54"/>
  <c r="AD91" i="54"/>
  <c r="AD93" i="54" s="1"/>
  <c r="AD122" i="54" s="1"/>
  <c r="AD156" i="54" s="1"/>
  <c r="AD166" i="54" s="1"/>
  <c r="AB117" i="54"/>
  <c r="AB147" i="54"/>
  <c r="AB126" i="54" s="1"/>
  <c r="AB127" i="54" s="1"/>
  <c r="AB159" i="54" s="1"/>
  <c r="AB169" i="54" s="1"/>
  <c r="AB155" i="54"/>
  <c r="AD94" i="54"/>
  <c r="AE86" i="54"/>
  <c r="AE87" i="54"/>
  <c r="AE95" i="54" s="1"/>
  <c r="AE55" i="54" s="1"/>
  <c r="AE124" i="54" s="1"/>
  <c r="AA165" i="54"/>
  <c r="AA170" i="54" s="1"/>
  <c r="AA9" i="54" s="1"/>
  <c r="AA160" i="54"/>
  <c r="Y159" i="54"/>
  <c r="AB129" i="54" l="1"/>
  <c r="AB142" i="54" s="1"/>
  <c r="AB141" i="54" s="1"/>
  <c r="AB144" i="54" s="1"/>
  <c r="AB145" i="54" s="1"/>
  <c r="Y169" i="54"/>
  <c r="Y170" i="54" s="1"/>
  <c r="Y9" i="54" s="1"/>
  <c r="Y160" i="54"/>
  <c r="AF86" i="54"/>
  <c r="AF87" i="54"/>
  <c r="AF95" i="54" s="1"/>
  <c r="AF55" i="54" s="1"/>
  <c r="AF124" i="54" s="1"/>
  <c r="AE94" i="54"/>
  <c r="AC117" i="54"/>
  <c r="AC147" i="54"/>
  <c r="AC126" i="54" s="1"/>
  <c r="AC127" i="54" s="1"/>
  <c r="AC159" i="54" s="1"/>
  <c r="AC169" i="54" s="1"/>
  <c r="AC155" i="54"/>
  <c r="AE91" i="54"/>
  <c r="AE93" i="54" s="1"/>
  <c r="AE122" i="54" s="1"/>
  <c r="AE156" i="54" s="1"/>
  <c r="AE166" i="54" s="1"/>
  <c r="AE112" i="54"/>
  <c r="AE135" i="54"/>
  <c r="AE157" i="54"/>
  <c r="AE167" i="54" s="1"/>
  <c r="AB165" i="54"/>
  <c r="AB170" i="54" s="1"/>
  <c r="AB9" i="54" s="1"/>
  <c r="AB160" i="54"/>
  <c r="AD113" i="54"/>
  <c r="AD119" i="54" s="1"/>
  <c r="AD114" i="54"/>
  <c r="AD120" i="54" s="1"/>
  <c r="AD137" i="54" s="1"/>
  <c r="AD138" i="54" s="1"/>
  <c r="AD147" i="54" l="1"/>
  <c r="AD126" i="54" s="1"/>
  <c r="AD127" i="54" s="1"/>
  <c r="AD159" i="54" s="1"/>
  <c r="AD169" i="54" s="1"/>
  <c r="AC129" i="54"/>
  <c r="AC142" i="54" s="1"/>
  <c r="AC141" i="54" s="1"/>
  <c r="AC144" i="54" s="1"/>
  <c r="AC145" i="54" s="1"/>
  <c r="AG87" i="54"/>
  <c r="AG95" i="54" s="1"/>
  <c r="AG55" i="54" s="1"/>
  <c r="AG124" i="54" s="1"/>
  <c r="AG86" i="54"/>
  <c r="AF94" i="54"/>
  <c r="AD155" i="54"/>
  <c r="AD117" i="54"/>
  <c r="AC165" i="54"/>
  <c r="AC170" i="54" s="1"/>
  <c r="AC9" i="54" s="1"/>
  <c r="AC160" i="54"/>
  <c r="AF91" i="54"/>
  <c r="AF93" i="54" s="1"/>
  <c r="AF122" i="54" s="1"/>
  <c r="AF156" i="54" s="1"/>
  <c r="AF166" i="54" s="1"/>
  <c r="AF112" i="54"/>
  <c r="AE114" i="54"/>
  <c r="AE120" i="54" s="1"/>
  <c r="AE137" i="54" s="1"/>
  <c r="AE138" i="54" s="1"/>
  <c r="AE113" i="54"/>
  <c r="AE119" i="54" s="1"/>
  <c r="AF135" i="54"/>
  <c r="AF157" i="54"/>
  <c r="AF167" i="54" s="1"/>
  <c r="AD129" i="54" l="1"/>
  <c r="AD142" i="54" s="1"/>
  <c r="AD141" i="54" s="1"/>
  <c r="AD144" i="54" s="1"/>
  <c r="AD145" i="54" s="1"/>
  <c r="AE147" i="54"/>
  <c r="AE126" i="54" s="1"/>
  <c r="AE127" i="54" s="1"/>
  <c r="AE129" i="54" s="1"/>
  <c r="AE142" i="54" s="1"/>
  <c r="AE141" i="54" s="1"/>
  <c r="AE144" i="54" s="1"/>
  <c r="AE145" i="54" s="1"/>
  <c r="AG112" i="54"/>
  <c r="AG91" i="54"/>
  <c r="AG93" i="54" s="1"/>
  <c r="AG122" i="54" s="1"/>
  <c r="AG156" i="54" s="1"/>
  <c r="AG166" i="54" s="1"/>
  <c r="AH86" i="54"/>
  <c r="AH87" i="54"/>
  <c r="AH95" i="54" s="1"/>
  <c r="AH55" i="54" s="1"/>
  <c r="AH124" i="54" s="1"/>
  <c r="AG94" i="54"/>
  <c r="AD165" i="54"/>
  <c r="AD170" i="54" s="1"/>
  <c r="AD9" i="54" s="1"/>
  <c r="AD160" i="54"/>
  <c r="AF113" i="54"/>
  <c r="AF119" i="54" s="1"/>
  <c r="AF114" i="54"/>
  <c r="AF120" i="54" s="1"/>
  <c r="AF137" i="54" s="1"/>
  <c r="AF138" i="54" s="1"/>
  <c r="AE155" i="54"/>
  <c r="AE117" i="54"/>
  <c r="AG135" i="54"/>
  <c r="AG157" i="54"/>
  <c r="AG167" i="54" s="1"/>
  <c r="AF147" i="54" l="1"/>
  <c r="AF126" i="54" s="1"/>
  <c r="AF127" i="54" s="1"/>
  <c r="AH91" i="54"/>
  <c r="AH93" i="54" s="1"/>
  <c r="AH122" i="54" s="1"/>
  <c r="AH156" i="54" s="1"/>
  <c r="AH166" i="54" s="1"/>
  <c r="AH112" i="54"/>
  <c r="AH135" i="54"/>
  <c r="AH157" i="54"/>
  <c r="AH167" i="54" s="1"/>
  <c r="AI86" i="54"/>
  <c r="AI87" i="54"/>
  <c r="AI95" i="54" s="1"/>
  <c r="AI55" i="54" s="1"/>
  <c r="AI124" i="54" s="1"/>
  <c r="AH94" i="54"/>
  <c r="AE159" i="54"/>
  <c r="AE169" i="54" s="1"/>
  <c r="AG114" i="54"/>
  <c r="AG120" i="54" s="1"/>
  <c r="AG137" i="54" s="1"/>
  <c r="AG138" i="54" s="1"/>
  <c r="AG113" i="54"/>
  <c r="AG119" i="54" s="1"/>
  <c r="AF155" i="54"/>
  <c r="AF117" i="54"/>
  <c r="AE165" i="54"/>
  <c r="C6" i="6"/>
  <c r="B1" i="6"/>
  <c r="B2" i="6"/>
  <c r="B1" i="5"/>
  <c r="B2" i="5"/>
  <c r="E5" i="5"/>
  <c r="E6" i="5"/>
  <c r="AF129" i="54" l="1"/>
  <c r="AF142" i="54" s="1"/>
  <c r="AF141" i="54" s="1"/>
  <c r="AF144" i="54" s="1"/>
  <c r="AF145" i="54" s="1"/>
  <c r="AF159" i="54"/>
  <c r="AF169" i="54" s="1"/>
  <c r="AE170" i="54"/>
  <c r="AE9" i="54" s="1"/>
  <c r="AE160" i="54"/>
  <c r="AG147" i="54"/>
  <c r="AG126" i="54" s="1"/>
  <c r="AG155" i="54"/>
  <c r="AG117" i="54"/>
  <c r="AI157" i="54"/>
  <c r="AI167" i="54" s="1"/>
  <c r="AI135" i="54"/>
  <c r="AH113" i="54"/>
  <c r="AH119" i="54" s="1"/>
  <c r="AH114" i="54"/>
  <c r="AH120" i="54" s="1"/>
  <c r="AH137" i="54" s="1"/>
  <c r="AH138" i="54" s="1"/>
  <c r="AJ87" i="54"/>
  <c r="AJ95" i="54" s="1"/>
  <c r="AJ55" i="54" s="1"/>
  <c r="AJ124" i="54" s="1"/>
  <c r="AJ86" i="54"/>
  <c r="AI94" i="54"/>
  <c r="AF165" i="54"/>
  <c r="AI112" i="54"/>
  <c r="AI91" i="54"/>
  <c r="AI93" i="54" s="1"/>
  <c r="AI122" i="54" s="1"/>
  <c r="AI156" i="54" s="1"/>
  <c r="AI166" i="54" s="1"/>
  <c r="B28" i="5"/>
  <c r="B31" i="5"/>
  <c r="B32" i="5"/>
  <c r="B18" i="5"/>
  <c r="B19" i="5"/>
  <c r="B15" i="5"/>
  <c r="B17" i="5"/>
  <c r="B48" i="5"/>
  <c r="B49" i="5"/>
  <c r="B46" i="5"/>
  <c r="B47" i="5"/>
  <c r="B42" i="5"/>
  <c r="B45" i="5"/>
  <c r="B40" i="5"/>
  <c r="B41" i="5"/>
  <c r="B36" i="5"/>
  <c r="B39" i="5"/>
  <c r="B34" i="5"/>
  <c r="B35" i="5"/>
  <c r="B30" i="5"/>
  <c r="B33" i="5"/>
  <c r="B27" i="5"/>
  <c r="B29" i="5"/>
  <c r="B25" i="5"/>
  <c r="B26" i="5"/>
  <c r="B23" i="5"/>
  <c r="B24" i="5"/>
  <c r="B21" i="5"/>
  <c r="B22" i="5"/>
  <c r="B11" i="5"/>
  <c r="B12" i="5"/>
  <c r="B9" i="5"/>
  <c r="B10" i="5"/>
  <c r="B6" i="5"/>
  <c r="B5" i="5"/>
  <c r="AF160" i="54" l="1"/>
  <c r="AH147" i="54"/>
  <c r="AH126" i="54" s="1"/>
  <c r="AH127" i="54" s="1"/>
  <c r="AH129" i="54" s="1"/>
  <c r="AH142" i="54" s="1"/>
  <c r="AH141" i="54" s="1"/>
  <c r="AH144" i="54" s="1"/>
  <c r="AH145" i="54" s="1"/>
  <c r="AF170" i="54"/>
  <c r="AF9" i="54" s="1"/>
  <c r="AG127" i="54"/>
  <c r="AG129" i="54" s="1"/>
  <c r="AG142" i="54" s="1"/>
  <c r="AG141" i="54" s="1"/>
  <c r="AG144" i="54" s="1"/>
  <c r="AG145" i="54" s="1"/>
  <c r="AJ91" i="54"/>
  <c r="AJ93" i="54" s="1"/>
  <c r="AJ122" i="54" s="1"/>
  <c r="AJ156" i="54" s="1"/>
  <c r="AJ166" i="54" s="1"/>
  <c r="AJ112" i="54"/>
  <c r="AH117" i="54"/>
  <c r="AH155" i="54"/>
  <c r="AG165" i="54"/>
  <c r="AK86" i="54"/>
  <c r="AK87" i="54"/>
  <c r="AK95" i="54" s="1"/>
  <c r="AK55" i="54" s="1"/>
  <c r="AK124" i="54" s="1"/>
  <c r="AJ94" i="54"/>
  <c r="AJ157" i="54"/>
  <c r="AJ167" i="54" s="1"/>
  <c r="AJ135" i="54"/>
  <c r="AI113" i="54"/>
  <c r="AI119" i="54" s="1"/>
  <c r="AI114" i="54"/>
  <c r="AI120" i="54" s="1"/>
  <c r="AI137" i="54" s="1"/>
  <c r="AI138" i="54" s="1"/>
  <c r="AH159" i="54" l="1"/>
  <c r="AH169" i="54" s="1"/>
  <c r="AI147" i="54"/>
  <c r="AI126" i="54" s="1"/>
  <c r="AI127" i="54" s="1"/>
  <c r="AI129" i="54" s="1"/>
  <c r="AI142" i="54" s="1"/>
  <c r="AI141" i="54" s="1"/>
  <c r="AI144" i="54" s="1"/>
  <c r="AI145" i="54" s="1"/>
  <c r="AG159" i="54"/>
  <c r="AG169" i="54" s="1"/>
  <c r="AG170" i="54" s="1"/>
  <c r="AG9" i="54" s="1"/>
  <c r="AK94" i="54"/>
  <c r="AL86" i="54"/>
  <c r="AL87" i="54"/>
  <c r="AL95" i="54" s="1"/>
  <c r="AL55" i="54" s="1"/>
  <c r="AL124" i="54" s="1"/>
  <c r="AJ113" i="54"/>
  <c r="AJ119" i="54" s="1"/>
  <c r="AJ114" i="54"/>
  <c r="AJ120" i="54" s="1"/>
  <c r="AJ137" i="54" s="1"/>
  <c r="AJ138" i="54" s="1"/>
  <c r="AK112" i="54"/>
  <c r="AK91" i="54"/>
  <c r="AK93" i="54" s="1"/>
  <c r="AK122" i="54" s="1"/>
  <c r="AK156" i="54" s="1"/>
  <c r="AK166" i="54" s="1"/>
  <c r="AH165" i="54"/>
  <c r="AI117" i="54"/>
  <c r="AI155" i="54"/>
  <c r="AK135" i="54"/>
  <c r="AK157" i="54"/>
  <c r="AK167" i="54" s="1"/>
  <c r="AJ147" i="54" l="1"/>
  <c r="AJ126" i="54" s="1"/>
  <c r="AJ127" i="54" s="1"/>
  <c r="AJ129" i="54" s="1"/>
  <c r="AJ142" i="54" s="1"/>
  <c r="AJ141" i="54" s="1"/>
  <c r="AJ144" i="54" s="1"/>
  <c r="AJ145" i="54" s="1"/>
  <c r="AH160" i="54"/>
  <c r="AH170" i="54"/>
  <c r="AH9" i="54" s="1"/>
  <c r="AI159" i="54"/>
  <c r="AI169" i="54" s="1"/>
  <c r="AG160" i="54"/>
  <c r="AI165" i="54"/>
  <c r="AJ117" i="54"/>
  <c r="AJ155" i="54"/>
  <c r="AL112" i="54"/>
  <c r="AL91" i="54"/>
  <c r="AL93" i="54" s="1"/>
  <c r="AL122" i="54" s="1"/>
  <c r="AL156" i="54" s="1"/>
  <c r="AL166" i="54" s="1"/>
  <c r="AK113" i="54"/>
  <c r="AK119" i="54" s="1"/>
  <c r="AK114" i="54"/>
  <c r="AK120" i="54" s="1"/>
  <c r="AK137" i="54" s="1"/>
  <c r="AK138" i="54" s="1"/>
  <c r="AL157" i="54"/>
  <c r="AL167" i="54" s="1"/>
  <c r="AL135" i="54"/>
  <c r="AM87" i="54"/>
  <c r="AM95" i="54" s="1"/>
  <c r="AM55" i="54" s="1"/>
  <c r="AM124" i="54" s="1"/>
  <c r="AL94" i="54"/>
  <c r="AM86" i="54"/>
  <c r="AM94" i="54" s="1"/>
  <c r="AI160" i="54" l="1"/>
  <c r="AI170" i="54"/>
  <c r="AI9" i="54" s="1"/>
  <c r="AJ159" i="54"/>
  <c r="AJ169" i="54" s="1"/>
  <c r="AM91" i="54"/>
  <c r="AM93" i="54" s="1"/>
  <c r="AM122" i="54" s="1"/>
  <c r="AM156" i="54" s="1"/>
  <c r="AM166" i="54" s="1"/>
  <c r="AM112" i="54"/>
  <c r="AL113" i="54"/>
  <c r="AL119" i="54" s="1"/>
  <c r="AL114" i="54"/>
  <c r="AL120" i="54" s="1"/>
  <c r="AL137" i="54" s="1"/>
  <c r="AL138" i="54" s="1"/>
  <c r="AM157" i="54"/>
  <c r="AM167" i="54" s="1"/>
  <c r="AM135" i="54"/>
  <c r="AJ165" i="54"/>
  <c r="AK155" i="54"/>
  <c r="AK117" i="54"/>
  <c r="AK147" i="54"/>
  <c r="AK126" i="54" s="1"/>
  <c r="D30" i="56"/>
  <c r="D32" i="35"/>
  <c r="AL147" i="54" l="1"/>
  <c r="AL126" i="54" s="1"/>
  <c r="AL127" i="54" s="1"/>
  <c r="AL159" i="54" s="1"/>
  <c r="AL169" i="54" s="1"/>
  <c r="AJ160" i="54"/>
  <c r="AJ170" i="54"/>
  <c r="AJ9" i="54" s="1"/>
  <c r="AK127" i="54"/>
  <c r="AK129" i="54" s="1"/>
  <c r="AK142" i="54" s="1"/>
  <c r="AK141" i="54" s="1"/>
  <c r="AK144" i="54" s="1"/>
  <c r="AK145" i="54" s="1"/>
  <c r="AM113" i="54"/>
  <c r="AM119" i="54" s="1"/>
  <c r="AM114" i="54"/>
  <c r="AM120" i="54" s="1"/>
  <c r="AM137" i="54" s="1"/>
  <c r="AM138" i="54" s="1"/>
  <c r="AK165" i="54"/>
  <c r="AL155" i="54"/>
  <c r="AL117" i="54"/>
  <c r="AL129" i="54" l="1"/>
  <c r="AL142" i="54" s="1"/>
  <c r="AL141" i="54" s="1"/>
  <c r="AL144" i="54" s="1"/>
  <c r="AL145" i="54" s="1"/>
  <c r="AK159" i="54"/>
  <c r="AL165" i="54"/>
  <c r="AL170" i="54" s="1"/>
  <c r="AL9" i="54" s="1"/>
  <c r="AL160" i="54"/>
  <c r="AM155" i="54"/>
  <c r="AM117" i="54"/>
  <c r="AM147" i="54"/>
  <c r="AM126" i="54" s="1"/>
  <c r="AM127" i="54" s="1"/>
  <c r="AM159" i="54" s="1"/>
  <c r="AM169" i="54" s="1"/>
  <c r="AK169" i="54" l="1"/>
  <c r="AK170" i="54" s="1"/>
  <c r="AK9" i="54" s="1"/>
  <c r="AK160" i="54"/>
  <c r="AM165" i="54"/>
  <c r="AM170" i="54" s="1"/>
  <c r="AM9" i="54" s="1"/>
  <c r="AM160" i="54"/>
  <c r="AM129" i="54"/>
  <c r="AM142" i="54" s="1"/>
  <c r="AM141" i="54" s="1"/>
  <c r="AM144" i="54" s="1"/>
  <c r="AM145" i="54" s="1"/>
  <c r="F11" i="54" l="1"/>
  <c r="AO9" i="54"/>
  <c r="F28" i="54" l="1"/>
  <c r="F29" i="54"/>
  <c r="D31" i="35" l="1"/>
  <c r="D29" i="56"/>
  <c r="C29" i="41" l="1"/>
  <c r="H21" i="56" l="1"/>
  <c r="H42" i="56" s="1"/>
  <c r="H45" i="56" l="1"/>
  <c r="H48" i="56" l="1"/>
  <c r="F30" i="56" l="1"/>
  <c r="K30" i="56" l="1"/>
  <c r="I30" i="56"/>
  <c r="J30" i="56"/>
  <c r="F32" i="35" l="1"/>
  <c r="I32" i="35" l="1"/>
  <c r="K32" i="35"/>
  <c r="J32" i="35"/>
  <c r="L32" i="35"/>
  <c r="F29" i="56" l="1"/>
  <c r="F31" i="35"/>
  <c r="I31" i="35" l="1"/>
  <c r="K31" i="35"/>
  <c r="J31" i="35"/>
  <c r="L31" i="35"/>
  <c r="J29" i="56"/>
  <c r="K29" i="56"/>
  <c r="I29" i="56"/>
  <c r="I32" i="56" l="1"/>
  <c r="K32" i="56"/>
  <c r="J32" i="56"/>
  <c r="L34" i="35"/>
  <c r="K34" i="35"/>
  <c r="I34" i="35"/>
  <c r="J34" i="35"/>
  <c r="E21" i="35" l="1"/>
  <c r="D21" i="35" l="1"/>
  <c r="F21" i="35" s="1"/>
  <c r="K21" i="35" s="1"/>
  <c r="L21" i="35" l="1"/>
  <c r="H21" i="35"/>
  <c r="H23" i="35" s="1"/>
  <c r="H44" i="35" s="1"/>
  <c r="H47" i="35" s="1"/>
  <c r="H50" i="35" s="1"/>
  <c r="E19" i="35" l="1"/>
  <c r="D35" i="56" l="1"/>
  <c r="D37" i="35"/>
  <c r="F35" i="56" l="1"/>
  <c r="J35" i="56" s="1"/>
  <c r="D19" i="35" l="1"/>
  <c r="I35" i="56"/>
  <c r="I45" i="56" s="1"/>
  <c r="I48" i="56" s="1"/>
  <c r="K35" i="56"/>
  <c r="K45" i="56" s="1"/>
  <c r="K48" i="56" s="1"/>
  <c r="J45" i="56"/>
  <c r="J48" i="56" s="1"/>
  <c r="F19" i="35" l="1"/>
  <c r="I19" i="35" l="1"/>
  <c r="I23" i="35" s="1"/>
  <c r="J19" i="35"/>
  <c r="J23" i="35" s="1"/>
  <c r="K19" i="35"/>
  <c r="K23" i="35" s="1"/>
  <c r="L19" i="35"/>
  <c r="L23" i="35" s="1"/>
  <c r="F37" i="35" l="1"/>
  <c r="J37" i="35" l="1"/>
  <c r="L37" i="35"/>
  <c r="I37" i="35"/>
  <c r="K37" i="35"/>
  <c r="K47" i="35" l="1"/>
  <c r="K50" i="35" s="1"/>
  <c r="L47" i="35"/>
  <c r="L50" i="35" s="1"/>
  <c r="I47" i="35"/>
  <c r="I50" i="35" s="1"/>
  <c r="J47" i="35"/>
  <c r="J50" i="35" s="1"/>
</calcChain>
</file>

<file path=xl/sharedStrings.xml><?xml version="1.0" encoding="utf-8"?>
<sst xmlns="http://schemas.openxmlformats.org/spreadsheetml/2006/main" count="6627" uniqueCount="1332">
  <si>
    <t>Notes</t>
  </si>
  <si>
    <t>Source</t>
  </si>
  <si>
    <t>Model Inputs</t>
  </si>
  <si>
    <t>Model Calculations</t>
  </si>
  <si>
    <t>Model Outputs</t>
  </si>
  <si>
    <t>Model Administration</t>
  </si>
  <si>
    <t>Description</t>
  </si>
  <si>
    <t>File Name:</t>
  </si>
  <si>
    <t>Model Name:</t>
  </si>
  <si>
    <t>NB: calculated cells have multiple formats for aesthetics of outputs</t>
  </si>
  <si>
    <t>Calculated values - generally based off other calculated cells</t>
  </si>
  <si>
    <t>Calculated values - generally based off inputs</t>
  </si>
  <si>
    <t>cells linked from other sheets or workbooks</t>
  </si>
  <si>
    <t>Cells for note entry</t>
  </si>
  <si>
    <t>Cell for user input (drop down selection)</t>
  </si>
  <si>
    <t>Cells for user input</t>
  </si>
  <si>
    <t>Cell Format Conventions</t>
  </si>
  <si>
    <t>Base Year</t>
  </si>
  <si>
    <t>Rounding</t>
  </si>
  <si>
    <t>Public Lighting Model</t>
  </si>
  <si>
    <t>Brackets</t>
  </si>
  <si>
    <t>Columns</t>
  </si>
  <si>
    <t>Cable Faults</t>
  </si>
  <si>
    <t>PE Cell Failure</t>
  </si>
  <si>
    <t>Cleaning</t>
  </si>
  <si>
    <t>Admin and Systems</t>
  </si>
  <si>
    <t>Asset Management</t>
  </si>
  <si>
    <t>Inputs</t>
  </si>
  <si>
    <t>Labour</t>
  </si>
  <si>
    <t>Materials</t>
  </si>
  <si>
    <t>Inspections per year</t>
  </si>
  <si>
    <t>Assumptions</t>
  </si>
  <si>
    <t>expected average number of annual inspections</t>
  </si>
  <si>
    <t>Opening Inspection Pool</t>
  </si>
  <si>
    <t>Closing Inspection Pool</t>
  </si>
  <si>
    <t>Increase In Inspection Pool</t>
  </si>
  <si>
    <t>Increase in Inspection Pool</t>
  </si>
  <si>
    <t>Calculations</t>
  </si>
  <si>
    <t>Output</t>
  </si>
  <si>
    <t>Inspections</t>
  </si>
  <si>
    <t>Columns reaching Inspection Age per year</t>
  </si>
  <si>
    <t>Return to Inspection Pool</t>
  </si>
  <si>
    <t>$</t>
  </si>
  <si>
    <t>%</t>
  </si>
  <si>
    <t>Year</t>
  </si>
  <si>
    <t>Inspection cycle after 20 y.o</t>
  </si>
  <si>
    <t>Guaranteed Service Level</t>
  </si>
  <si>
    <t>Total Lights</t>
  </si>
  <si>
    <t>SLO</t>
  </si>
  <si>
    <t>SLUOS</t>
  </si>
  <si>
    <t>HID</t>
  </si>
  <si>
    <t>PLC</t>
  </si>
  <si>
    <t>CLER</t>
  </si>
  <si>
    <t>TFI</t>
  </si>
  <si>
    <t>SAPN</t>
  </si>
  <si>
    <t>GSL</t>
  </si>
  <si>
    <t>Units</t>
  </si>
  <si>
    <t>#</t>
  </si>
  <si>
    <t># pa.</t>
  </si>
  <si>
    <t>Cable Fault - SLO</t>
  </si>
  <si>
    <t>Total GSL Paid</t>
  </si>
  <si>
    <t>Total columns requiring Inspection (&gt;20 years old)</t>
  </si>
  <si>
    <t>Inspection Interval</t>
  </si>
  <si>
    <t>Yrs.</t>
  </si>
  <si>
    <t>Total SLO</t>
  </si>
  <si>
    <t>Total Columns</t>
  </si>
  <si>
    <t>Greater than 20 yo.</t>
  </si>
  <si>
    <t>Cable Fault</t>
  </si>
  <si>
    <t>OPEX</t>
  </si>
  <si>
    <t>CAPEX</t>
  </si>
  <si>
    <t>Tariff</t>
  </si>
  <si>
    <t>Lamp Type</t>
  </si>
  <si>
    <t>Customer Type</t>
  </si>
  <si>
    <t>F40</t>
  </si>
  <si>
    <t>S50</t>
  </si>
  <si>
    <t>S150</t>
  </si>
  <si>
    <t>LED17</t>
  </si>
  <si>
    <t>F42</t>
  </si>
  <si>
    <t>ENERGY</t>
  </si>
  <si>
    <t>M125</t>
  </si>
  <si>
    <t>M80</t>
  </si>
  <si>
    <t>L90</t>
  </si>
  <si>
    <t>S100</t>
  </si>
  <si>
    <t>DO NOT BILL</t>
  </si>
  <si>
    <t>M400 F</t>
  </si>
  <si>
    <t>M1000 F</t>
  </si>
  <si>
    <t>LED29</t>
  </si>
  <si>
    <t>L18</t>
  </si>
  <si>
    <t>M50</t>
  </si>
  <si>
    <t>DO NOT BILL - TBC</t>
  </si>
  <si>
    <t>S360 F</t>
  </si>
  <si>
    <t>MH100</t>
  </si>
  <si>
    <t>M400</t>
  </si>
  <si>
    <t>L26</t>
  </si>
  <si>
    <t>LED200</t>
  </si>
  <si>
    <t>L55</t>
  </si>
  <si>
    <t>L135</t>
  </si>
  <si>
    <t>LED22</t>
  </si>
  <si>
    <t>S250</t>
  </si>
  <si>
    <t>M250</t>
  </si>
  <si>
    <t>M250 F</t>
  </si>
  <si>
    <t>LED105</t>
  </si>
  <si>
    <t>S400</t>
  </si>
  <si>
    <t>SLO REPORTING</t>
  </si>
  <si>
    <t>METERED</t>
  </si>
  <si>
    <t>LED198</t>
  </si>
  <si>
    <t>F40X2</t>
  </si>
  <si>
    <t>F20X2</t>
  </si>
  <si>
    <t>S70</t>
  </si>
  <si>
    <t>S400 F</t>
  </si>
  <si>
    <t>F40X4</t>
  </si>
  <si>
    <t>LED46</t>
  </si>
  <si>
    <t>F20</t>
  </si>
  <si>
    <t>M100</t>
  </si>
  <si>
    <t>LED88</t>
  </si>
  <si>
    <t>MH150</t>
  </si>
  <si>
    <t>LED70</t>
  </si>
  <si>
    <t>F14X2</t>
  </si>
  <si>
    <t>MH70</t>
  </si>
  <si>
    <t>Not SAPN Responsibilty</t>
  </si>
  <si>
    <t>MH250</t>
  </si>
  <si>
    <t>LED150</t>
  </si>
  <si>
    <t>LED90</t>
  </si>
  <si>
    <t>LED72</t>
  </si>
  <si>
    <t>LED117</t>
  </si>
  <si>
    <t>MH50</t>
  </si>
  <si>
    <t>LED43</t>
  </si>
  <si>
    <t>LED34</t>
  </si>
  <si>
    <t>MH400</t>
  </si>
  <si>
    <t>M400X2</t>
  </si>
  <si>
    <t>I500 F</t>
  </si>
  <si>
    <t>MH125</t>
  </si>
  <si>
    <t>LED35</t>
  </si>
  <si>
    <t>F32</t>
  </si>
  <si>
    <t>M70</t>
  </si>
  <si>
    <t>F8X2</t>
  </si>
  <si>
    <t>I1000 F</t>
  </si>
  <si>
    <t>CCTV</t>
  </si>
  <si>
    <t>LED39</t>
  </si>
  <si>
    <t>LED26</t>
  </si>
  <si>
    <t>I100</t>
  </si>
  <si>
    <t>LED158</t>
  </si>
  <si>
    <t>LED298</t>
  </si>
  <si>
    <t>LED178</t>
  </si>
  <si>
    <t>LED20</t>
  </si>
  <si>
    <t>F11X2</t>
  </si>
  <si>
    <t>LED175</t>
  </si>
  <si>
    <t>LED28</t>
  </si>
  <si>
    <t>DIC35</t>
  </si>
  <si>
    <t>LED79</t>
  </si>
  <si>
    <t>DENRL</t>
  </si>
  <si>
    <t>DEROL</t>
  </si>
  <si>
    <t>NAVBR</t>
  </si>
  <si>
    <t>M80 F</t>
  </si>
  <si>
    <t>I750 F</t>
  </si>
  <si>
    <t>I1500 F</t>
  </si>
  <si>
    <t>I150 F</t>
  </si>
  <si>
    <t>M750 F</t>
  </si>
  <si>
    <t>I60</t>
  </si>
  <si>
    <t>UNKNOWN</t>
  </si>
  <si>
    <t>LED80</t>
  </si>
  <si>
    <t>LED</t>
  </si>
  <si>
    <t>Customers</t>
  </si>
  <si>
    <t>Tariffs</t>
  </si>
  <si>
    <t>cf-42</t>
  </si>
  <si>
    <t>S-LP18</t>
  </si>
  <si>
    <t>S-LP90</t>
  </si>
  <si>
    <t>S-HP100</t>
  </si>
  <si>
    <t>S-HP150</t>
  </si>
  <si>
    <t>S-HP250</t>
  </si>
  <si>
    <t>S-HP360f</t>
  </si>
  <si>
    <t>S-HP50</t>
  </si>
  <si>
    <t>F-40</t>
  </si>
  <si>
    <t>MV-80</t>
  </si>
  <si>
    <t>Base Light</t>
  </si>
  <si>
    <t>Fluorescent 40</t>
  </si>
  <si>
    <t>Mercury 80</t>
  </si>
  <si>
    <t>Sodium 50</t>
  </si>
  <si>
    <t>Fluorescent 42</t>
  </si>
  <si>
    <t>CF-42</t>
  </si>
  <si>
    <t>Sodium 18</t>
  </si>
  <si>
    <t>Sodium 100</t>
  </si>
  <si>
    <t>Sodium 150</t>
  </si>
  <si>
    <t>Sodium 250</t>
  </si>
  <si>
    <t>Sodium 90</t>
  </si>
  <si>
    <t>Sodium Flood 360</t>
  </si>
  <si>
    <t>Failure Rate</t>
  </si>
  <si>
    <t>LED Conversion</t>
  </si>
  <si>
    <t>LED-V</t>
  </si>
  <si>
    <t>HID - P Conversions pa.</t>
  </si>
  <si>
    <t>HID - V Conversions pa.</t>
  </si>
  <si>
    <t>Conversion Cost</t>
  </si>
  <si>
    <t>MV80+</t>
  </si>
  <si>
    <t>MV-80+</t>
  </si>
  <si>
    <t>Lamp</t>
  </si>
  <si>
    <t>PE Cell</t>
  </si>
  <si>
    <t>Luminaire</t>
  </si>
  <si>
    <t>Population</t>
  </si>
  <si>
    <t>System status</t>
  </si>
  <si>
    <t>HID-P</t>
  </si>
  <si>
    <t>HID-V</t>
  </si>
  <si>
    <t>HID-F</t>
  </si>
  <si>
    <t>LED-P</t>
  </si>
  <si>
    <t>F2X20</t>
  </si>
  <si>
    <t>F2X40</t>
  </si>
  <si>
    <t>F2X8</t>
  </si>
  <si>
    <t>F4X40</t>
  </si>
  <si>
    <t>LED18</t>
  </si>
  <si>
    <t>M400 F COST</t>
  </si>
  <si>
    <t>M400 F SACON</t>
  </si>
  <si>
    <t>LED RIBBON SPAN</t>
  </si>
  <si>
    <t>SOLAR</t>
  </si>
  <si>
    <t>T5</t>
  </si>
  <si>
    <t>S1000 F</t>
  </si>
  <si>
    <t>LP</t>
  </si>
  <si>
    <t>Misc. Other</t>
  </si>
  <si>
    <t>Total</t>
  </si>
  <si>
    <t>Imported from "SLO Notification" Model</t>
  </si>
  <si>
    <t>2018</t>
  </si>
  <si>
    <t>Base Lamp</t>
  </si>
  <si>
    <t>Imported from "Equipment Data" Model</t>
  </si>
  <si>
    <t>Avail and Inst</t>
  </si>
  <si>
    <t>Council and DPTI</t>
  </si>
  <si>
    <t>All</t>
  </si>
  <si>
    <t>SLOs Equipment Only</t>
  </si>
  <si>
    <t>Total SLO Equipment</t>
  </si>
  <si>
    <t>Notes:</t>
  </si>
  <si>
    <t>Total Equipment population for relevant SLO tariff</t>
  </si>
  <si>
    <t>Total SLO / Total Population</t>
  </si>
  <si>
    <t>Labour Costs</t>
  </si>
  <si>
    <t>HID/LED Road Cat</t>
  </si>
  <si>
    <t>Total Cost</t>
  </si>
  <si>
    <t>SLO (OPEX)</t>
  </si>
  <si>
    <t>On Costs</t>
  </si>
  <si>
    <t>Total Tariff</t>
  </si>
  <si>
    <t>SLO reporting Tool</t>
  </si>
  <si>
    <t>GIS Maintenance</t>
  </si>
  <si>
    <t>Customer Management</t>
  </si>
  <si>
    <t>TFI Future Replacement</t>
  </si>
  <si>
    <t>Bulk HID Lamp Program</t>
  </si>
  <si>
    <t>SAP Maintenance</t>
  </si>
  <si>
    <t>Michael Shinnic</t>
  </si>
  <si>
    <t>Fitting</t>
  </si>
  <si>
    <t>Tuan Ho</t>
  </si>
  <si>
    <t>Total Labour</t>
  </si>
  <si>
    <t>SAPN_SLUOS</t>
  </si>
  <si>
    <t>From LED Conversion Sheet</t>
  </si>
  <si>
    <t>Converted to LED</t>
  </si>
  <si>
    <t>Fitting $</t>
  </si>
  <si>
    <t>Allocation</t>
  </si>
  <si>
    <t>Expense Allocation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</si>
  <si>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</si>
  <si>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</si>
  <si>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</si>
  <si>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</si>
  <si>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</si>
  <si>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</si>
  <si>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</si>
  <si>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</si>
  <si>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</si>
  <si>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</si>
  <si>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Subset from Equipment Data Table</t>
  </si>
  <si>
    <t>Sumif - End Row</t>
  </si>
  <si>
    <t>Sumif - Start Row</t>
  </si>
  <si>
    <t>SLO Cable Faults</t>
  </si>
  <si>
    <t>Damage Code</t>
  </si>
  <si>
    <t>CableFault</t>
  </si>
  <si>
    <t>2015</t>
  </si>
  <si>
    <t>2016</t>
  </si>
  <si>
    <t>2017</t>
  </si>
  <si>
    <t>Average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</si>
  <si>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</si>
  <si>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</si>
  <si>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</si>
  <si>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</si>
  <si>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</si>
  <si>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</si>
  <si>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</si>
  <si>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</si>
  <si>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</si>
  <si>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</si>
  <si>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</si>
  <si>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</si>
  <si>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Metro</t>
  </si>
  <si>
    <t>Regional</t>
  </si>
  <si>
    <t>Tom Walker</t>
  </si>
  <si>
    <t>Kets Vongphachan</t>
  </si>
  <si>
    <t>Vicki Skidmore</t>
  </si>
  <si>
    <t>Mark Vinall</t>
  </si>
  <si>
    <t>Shane Venning</t>
  </si>
  <si>
    <t>Total Materials</t>
  </si>
  <si>
    <t>Total Material Cost</t>
  </si>
  <si>
    <t>Total Labour Cost</t>
  </si>
  <si>
    <t>Materials Cost</t>
  </si>
  <si>
    <t>SLO Fitting Change</t>
  </si>
  <si>
    <t>Closing HID Lights</t>
  </si>
  <si>
    <t>Opening HID</t>
  </si>
  <si>
    <t>converted to LED through LED Conversion Program</t>
  </si>
  <si>
    <t>SLO damage identified as fitting changed</t>
  </si>
  <si>
    <t>HID - P Cat</t>
  </si>
  <si>
    <t>Total HID - P Cat</t>
  </si>
  <si>
    <t>HID - V Cat</t>
  </si>
  <si>
    <t>Total HID - V Cat</t>
  </si>
  <si>
    <t>LED Conversions</t>
  </si>
  <si>
    <t>Date Range</t>
  </si>
  <si>
    <t>to</t>
  </si>
  <si>
    <t>SAPN, SLUOS, TFI</t>
  </si>
  <si>
    <t>DPTI and Council</t>
  </si>
  <si>
    <t>LED Conversions Equipment</t>
  </si>
  <si>
    <t>Labour SLO</t>
  </si>
  <si>
    <t>Labour Conversion</t>
  </si>
  <si>
    <t>LED -V</t>
  </si>
  <si>
    <t>LED - P</t>
  </si>
  <si>
    <t>HID - F</t>
  </si>
  <si>
    <t>CLER SLO</t>
  </si>
  <si>
    <t>Labour Other</t>
  </si>
  <si>
    <t>Equipment included in proactive LED Conversion</t>
  </si>
  <si>
    <t>LED Conversion from SLO "Fitting" Change</t>
  </si>
  <si>
    <t>SLO Faults (Excluding Fitting and Cable Faults)</t>
  </si>
  <si>
    <t>Equipment Related to SLO (Subset from Equipment Data Table)</t>
  </si>
  <si>
    <t>Lamp,PE &amp; Misc SLOs</t>
  </si>
  <si>
    <t>Single Light Out (Lamp, PE Cell and Misc. Other Damage Faults Only)</t>
  </si>
  <si>
    <t>SLO 'Damage Fault' Failure Rates</t>
  </si>
  <si>
    <t>SLO Average 'Damage Fault' Material Cost</t>
  </si>
  <si>
    <t>Single Light Out (Cable Faults)</t>
  </si>
  <si>
    <t>SLO (Cable Fault) Equipment Only</t>
  </si>
  <si>
    <t>Cable Fault Equipment</t>
  </si>
  <si>
    <t>SLUOS, PLC, SAPN, TFI (excludes CLER)</t>
  </si>
  <si>
    <t>PLC &amp; TFI</t>
  </si>
  <si>
    <t>Avg Cable Fault</t>
  </si>
  <si>
    <t>Cost</t>
  </si>
  <si>
    <t>Average Column Inspection Cost</t>
  </si>
  <si>
    <t>Column Inspection Assumptions</t>
  </si>
  <si>
    <t>Damage</t>
  </si>
  <si>
    <t>Repair Type</t>
  </si>
  <si>
    <t>Average Cost</t>
  </si>
  <si>
    <t>Internal Wiring</t>
  </si>
  <si>
    <t>Fix wiring</t>
  </si>
  <si>
    <t>Access Panel</t>
  </si>
  <si>
    <t>Replace Panel</t>
  </si>
  <si>
    <t>Column Leaning</t>
  </si>
  <si>
    <t>Fix column</t>
  </si>
  <si>
    <t>Above Ground Corrosion</t>
  </si>
  <si>
    <t>Replace Column</t>
  </si>
  <si>
    <t>Below Ground Corrosion</t>
  </si>
  <si>
    <t>Earthing damaged</t>
  </si>
  <si>
    <t>Fix Earthing</t>
  </si>
  <si>
    <t>High Earth Test</t>
  </si>
  <si>
    <t>Retest</t>
  </si>
  <si>
    <t>Age Columns enter inspection pool</t>
  </si>
  <si>
    <t>Failure Rate for Repair/Replace</t>
  </si>
  <si>
    <t>Opex/Capex</t>
  </si>
  <si>
    <t>Imported from Column Inspection Data workbook</t>
  </si>
  <si>
    <t>OPEX/CAPEX Allocation</t>
  </si>
  <si>
    <t>Inc. Labour</t>
  </si>
  <si>
    <t>Reactive Column Replacements</t>
  </si>
  <si>
    <t>HID to LED</t>
  </si>
  <si>
    <t>Cable Replacement</t>
  </si>
  <si>
    <t>Bulk Lamp</t>
  </si>
  <si>
    <t>Michael Shinnick</t>
  </si>
  <si>
    <t>Peter Ashenden</t>
  </si>
  <si>
    <t>DL2818</t>
  </si>
  <si>
    <t>DL2622</t>
  </si>
  <si>
    <t>Replacements</t>
  </si>
  <si>
    <t>Years</t>
  </si>
  <si>
    <t>Based on last 2 years actuals</t>
  </si>
  <si>
    <t>Store Code</t>
  </si>
  <si>
    <t>Avg p.a.</t>
  </si>
  <si>
    <t>$ / Unit</t>
  </si>
  <si>
    <t>Luminaire Capital</t>
  </si>
  <si>
    <t>Luminaire Operating</t>
  </si>
  <si>
    <t>Planned Cable Replacements</t>
  </si>
  <si>
    <t>km</t>
  </si>
  <si>
    <t>Cable Materials</t>
  </si>
  <si>
    <t>Cable Services</t>
  </si>
  <si>
    <t>Cable Labour</t>
  </si>
  <si>
    <t>per km</t>
  </si>
  <si>
    <t>Planned Column Replacements</t>
  </si>
  <si>
    <t>Column Materials</t>
  </si>
  <si>
    <t>Column Services</t>
  </si>
  <si>
    <t>Column Labour</t>
  </si>
  <si>
    <t>Metro Cable Replacements</t>
  </si>
  <si>
    <t>Regional Cable Replacements</t>
  </si>
  <si>
    <t>Forecast Metro Cable Replacements</t>
  </si>
  <si>
    <t>Forecast Regional Cable Replacements</t>
  </si>
  <si>
    <t>Average Material Cost per km</t>
  </si>
  <si>
    <t>Average Labour Cost Per km (Metro)</t>
  </si>
  <si>
    <t>Average Services Cost per km (Regional)</t>
  </si>
  <si>
    <t>Metro Column Replacements</t>
  </si>
  <si>
    <t>Regional Column Replacements</t>
  </si>
  <si>
    <t>Planned Bracket Replacements</t>
  </si>
  <si>
    <t>Metro Brackets Replacements</t>
  </si>
  <si>
    <t>Regional Brackets Replacements</t>
  </si>
  <si>
    <t>Brackets Materials</t>
  </si>
  <si>
    <t>Brackets Labour</t>
  </si>
  <si>
    <t>Brackets Services</t>
  </si>
  <si>
    <t>Forecast Metro Brackets Replacements</t>
  </si>
  <si>
    <t>Forecast Regional Brackets Replacements</t>
  </si>
  <si>
    <t>Average Material Cost per Brackets</t>
  </si>
  <si>
    <t>Average Labour Cost Per Brackets (Metro)</t>
  </si>
  <si>
    <t>Average Services Cost per Brackets (Regional)</t>
  </si>
  <si>
    <t>per. Bracket</t>
  </si>
  <si>
    <t>per. Column</t>
  </si>
  <si>
    <t>Materials Only. Labour included in LED conversion or SLO completed at some time.</t>
  </si>
  <si>
    <t>Total Planned Bracket Replacements</t>
  </si>
  <si>
    <t>Unplanned Bracket Replacements</t>
  </si>
  <si>
    <t>Unplanned Bracket Replacement (i.e. from SLO, LED Conversion)</t>
  </si>
  <si>
    <t>Street Lighting Equipment inclusive of:</t>
  </si>
  <si>
    <t>Light Column</t>
  </si>
  <si>
    <t>Post Top</t>
  </si>
  <si>
    <t>Stobie</t>
  </si>
  <si>
    <t>Grand Total</t>
  </si>
  <si>
    <t>Bracket on Stobie Pole</t>
  </si>
  <si>
    <t>Cables (Planned)</t>
  </si>
  <si>
    <t>Average Labour Cost Per Column (Metro)</t>
  </si>
  <si>
    <t>Average Services Cost per Column (Regional)</t>
  </si>
  <si>
    <t>Inputs from Asset Management Plan</t>
  </si>
  <si>
    <t>Services (Metro)</t>
  </si>
  <si>
    <t>Labour (Regional)</t>
  </si>
  <si>
    <t>LED O&amp;M Annuity</t>
  </si>
  <si>
    <t>CabeFault GSL</t>
  </si>
  <si>
    <t>CabeFault GSL $</t>
  </si>
  <si>
    <t>Fitting GSL</t>
  </si>
  <si>
    <t>Fitting GSL $</t>
  </si>
  <si>
    <t>Imported from "GSL_Data" Model</t>
  </si>
  <si>
    <t>GSL Payments for SLO 'Cable Fault'</t>
  </si>
  <si>
    <t>GSL Payments for SLO 'Fitting'</t>
  </si>
  <si>
    <t>GSL Payments for SLO 'Lamp', 'PE Cell' and 'Misc. Other' Summary</t>
  </si>
  <si>
    <t>Weighted Avg</t>
  </si>
  <si>
    <t>Cable Fault - GSL</t>
  </si>
  <si>
    <t>Cable Fault GSL Rate</t>
  </si>
  <si>
    <t>Number of GSL paid for Cable faults between 2015 and Aug 2018 (from GSL Data)</t>
  </si>
  <si>
    <t>Number of SLO Cable faults between 2015 and Aug 2018 (from SLO Data)</t>
  </si>
  <si>
    <t>GSL Data</t>
  </si>
  <si>
    <t>Fitting Faults</t>
  </si>
  <si>
    <t>Fitting Fault - SLO</t>
  </si>
  <si>
    <t>Fitting Fault - GSL</t>
  </si>
  <si>
    <t>Fitting Fault GSL Rate</t>
  </si>
  <si>
    <t>HDI-P</t>
  </si>
  <si>
    <t>HDI-V</t>
  </si>
  <si>
    <t>Other Faults</t>
  </si>
  <si>
    <t>Other GSL</t>
  </si>
  <si>
    <t>Other GSL $</t>
  </si>
  <si>
    <t>Lights</t>
  </si>
  <si>
    <t>Faults</t>
  </si>
  <si>
    <t>Paid</t>
  </si>
  <si>
    <t>Rate</t>
  </si>
  <si>
    <t>Payments</t>
  </si>
  <si>
    <t>Fittings</t>
  </si>
  <si>
    <t>SLO - Other Faults</t>
  </si>
  <si>
    <t>SLO - Fitting Replacements</t>
  </si>
  <si>
    <t>Forecast Cable Faults</t>
  </si>
  <si>
    <t>Total HID-P Lights</t>
  </si>
  <si>
    <t>Total HID-V Lights</t>
  </si>
  <si>
    <t>LED Lights</t>
  </si>
  <si>
    <t>SLO Rate</t>
  </si>
  <si>
    <t>Other Fault - SLO</t>
  </si>
  <si>
    <t>Other Fault - GSL</t>
  </si>
  <si>
    <t>Other Fault GSL Rate</t>
  </si>
  <si>
    <t># Paid</t>
  </si>
  <si>
    <t>GSL Rate</t>
  </si>
  <si>
    <t>Number of SLO Fittinge faults between 2015 and Aug 2018 (from SLO Data)</t>
  </si>
  <si>
    <t>Number of SLO Other faults between 2015 and Aug 2018 (from SLO Data)</t>
  </si>
  <si>
    <t>Number of GSL paid for Fiting faults Aug17 to Jul18 (from GSL Data)</t>
  </si>
  <si>
    <t>Number of GSL paid for Other faults Aug17 to Jul18 (from GSL Data)</t>
  </si>
  <si>
    <t>LED P Cat</t>
  </si>
  <si>
    <t>LED V Cat</t>
  </si>
  <si>
    <t>Luminaire Annuity</t>
  </si>
  <si>
    <t>Infrastructure Capital</t>
  </si>
  <si>
    <t>HID Only</t>
  </si>
  <si>
    <t>PT_Lamp</t>
  </si>
  <si>
    <t>PT F42</t>
  </si>
  <si>
    <t>PT S50</t>
  </si>
  <si>
    <t>PT M80</t>
  </si>
  <si>
    <t>PT S70</t>
  </si>
  <si>
    <t>PT M50</t>
  </si>
  <si>
    <t>PT M125</t>
  </si>
  <si>
    <t>PT LED17</t>
  </si>
  <si>
    <t>PT LED34</t>
  </si>
  <si>
    <t>PT S150</t>
  </si>
  <si>
    <t>PT L18</t>
  </si>
  <si>
    <t>PT S100</t>
  </si>
  <si>
    <t>PT MH100</t>
  </si>
  <si>
    <t>F40X3</t>
  </si>
  <si>
    <t>M125X3</t>
  </si>
  <si>
    <t>LED Only</t>
  </si>
  <si>
    <t>MV-80 PT</t>
  </si>
  <si>
    <t>S-HP50 PT</t>
  </si>
  <si>
    <t>S-HP Other</t>
  </si>
  <si>
    <t>cf-42 PT</t>
  </si>
  <si>
    <t>Sodium Other</t>
  </si>
  <si>
    <t>Fluorescent 42 post Top</t>
  </si>
  <si>
    <t>Mercury 80 Post Top</t>
  </si>
  <si>
    <t>Sodium 50 Post Top</t>
  </si>
  <si>
    <t>PT-Lamp: PT identifies Post Top Lamps.  Calculated on Equipment Data Sheet in the  Equipment Data workbook</t>
  </si>
  <si>
    <t>from LED Conversions</t>
  </si>
  <si>
    <t>HID - P (No LED Available)</t>
  </si>
  <si>
    <t>HID Lamp unavailable</t>
  </si>
  <si>
    <t>LED unAvailable</t>
  </si>
  <si>
    <t>Line Item</t>
  </si>
  <si>
    <t>Column Inspections/Repairs</t>
  </si>
  <si>
    <t>ENERGY_</t>
  </si>
  <si>
    <t>CLER_</t>
  </si>
  <si>
    <t>PLC_</t>
  </si>
  <si>
    <t>TFI_</t>
  </si>
  <si>
    <t>SAPN_</t>
  </si>
  <si>
    <t>SLUOS_</t>
  </si>
  <si>
    <t>METERED_</t>
  </si>
  <si>
    <t>$/Light</t>
  </si>
  <si>
    <t>Total Luminaire Capital</t>
  </si>
  <si>
    <t>Total Admin and Systems</t>
  </si>
  <si>
    <t>Column Replacements:</t>
  </si>
  <si>
    <t>Bracket Replacement:</t>
  </si>
  <si>
    <t>Based on Age Profile, Corrosion Zone (distance from coast)</t>
  </si>
  <si>
    <t>Lamp Change Period</t>
  </si>
  <si>
    <t>Misc. Materials</t>
  </si>
  <si>
    <t>Yrs</t>
  </si>
  <si>
    <t>PE Cell Change Period</t>
  </si>
  <si>
    <t>SLO misc. Avg Materials $</t>
  </si>
  <si>
    <t>For Applicable Tariffs and Customers for the period 1/8/2017 to 31/8/2018</t>
  </si>
  <si>
    <t>SLO Labour</t>
  </si>
  <si>
    <t>Base Lights</t>
  </si>
  <si>
    <t>OPEN TO SHOW DETAILED WORKINGS</t>
  </si>
  <si>
    <t>&gt;</t>
  </si>
  <si>
    <t>Annual Revenue Requirement (unsmoothed)***</t>
  </si>
  <si>
    <t>Net Tax Allowance</t>
  </si>
  <si>
    <t>EBSS Carryover and Other Adjustments</t>
  </si>
  <si>
    <t>Operating Expenditure</t>
  </si>
  <si>
    <t>Return of Capital (regulatory depreciation)</t>
  </si>
  <si>
    <t>Return on Capital</t>
  </si>
  <si>
    <t>YEAR</t>
  </si>
  <si>
    <t>Annual Revenue Requirement (unsmoothed)</t>
  </si>
  <si>
    <t>Building Block Components ($'000 Nominal)</t>
  </si>
  <si>
    <t>Revenue and Price Summary</t>
  </si>
  <si>
    <t>(Intermediate Tax Calculation)</t>
  </si>
  <si>
    <t>Value of Imputation Credits</t>
  </si>
  <si>
    <t>Tax Payable</t>
  </si>
  <si>
    <t xml:space="preserve"> - Tax Loss Carried Forward</t>
  </si>
  <si>
    <t xml:space="preserve"> - Pre-tax Income</t>
  </si>
  <si>
    <t>Taxable Income</t>
  </si>
  <si>
    <t>Tax Calculation</t>
  </si>
  <si>
    <t>Total Tax Expenses</t>
  </si>
  <si>
    <t xml:space="preserve"> - Interest</t>
  </si>
  <si>
    <t xml:space="preserve"> - Tax Depreciation</t>
  </si>
  <si>
    <t xml:space="preserve"> - Opex</t>
  </si>
  <si>
    <t>Tax Expenses</t>
  </si>
  <si>
    <t xml:space="preserve"> - capital contributions</t>
  </si>
  <si>
    <t>Additional tax income</t>
  </si>
  <si>
    <t>Building Block Subtotal</t>
  </si>
  <si>
    <t>Less Value of Imputation Credits</t>
  </si>
  <si>
    <t>Opex (includes carry-over amounts)</t>
  </si>
  <si>
    <t>Return of Asset (regulatory depreciation)</t>
  </si>
  <si>
    <t xml:space="preserve"> - Return on Debt</t>
  </si>
  <si>
    <t xml:space="preserve"> - Return on Equity</t>
  </si>
  <si>
    <t>Return on Asset</t>
  </si>
  <si>
    <t>Nominal Vanilla WACC</t>
  </si>
  <si>
    <t>Revenue Building Blocks</t>
  </si>
  <si>
    <t xml:space="preserve"> - Debt</t>
  </si>
  <si>
    <t xml:space="preserve"> - Equity</t>
  </si>
  <si>
    <t>(Nominal Value)</t>
  </si>
  <si>
    <t>RAB (start period)</t>
  </si>
  <si>
    <t>Post-Tax Building Block ($'000 Nominal)</t>
  </si>
  <si>
    <t>Cash Flow Analysis</t>
  </si>
  <si>
    <t>Residual Tax Values (end period)</t>
  </si>
  <si>
    <t>Additions from 2015</t>
  </si>
  <si>
    <t>Tax Depreciation</t>
  </si>
  <si>
    <t>Reg Depreciation</t>
  </si>
  <si>
    <t>Nominal Tax Values</t>
  </si>
  <si>
    <t>Real SL Depreciation</t>
  </si>
  <si>
    <t>Revaluation</t>
  </si>
  <si>
    <t>Inflated Nominal Residual RAB (start period)</t>
  </si>
  <si>
    <t>Nominal Residual RAB (end period)</t>
  </si>
  <si>
    <t>Nominal Regulatory Depreciation</t>
  </si>
  <si>
    <t>Nominal Straight-line Depreciation</t>
  </si>
  <si>
    <t>Inflation on Opening RAB</t>
  </si>
  <si>
    <t>Nominal Asset Values</t>
  </si>
  <si>
    <t>Real Residual RAB (start period)</t>
  </si>
  <si>
    <t>Real Residual RAB (end Period)</t>
  </si>
  <si>
    <t xml:space="preserve">Additions </t>
  </si>
  <si>
    <t>Additions from 2015 Initial Asset Base</t>
  </si>
  <si>
    <t>Real Straight-line Depreciation</t>
  </si>
  <si>
    <t>Real Asset Values</t>
  </si>
  <si>
    <t>Nominal Capex</t>
  </si>
  <si>
    <t>Real Capex</t>
  </si>
  <si>
    <t>Asset Roll Forward</t>
  </si>
  <si>
    <t>Inverse Cumulative Discount Factor</t>
  </si>
  <si>
    <t>Cumulative Discount Factor</t>
  </si>
  <si>
    <t>Time Varying Nominal Vanilla WACC</t>
  </si>
  <si>
    <t>Time Varying Return on Debt</t>
  </si>
  <si>
    <t>Time Varying WACC</t>
  </si>
  <si>
    <t>Cumulative Inflation Index (CPI end period)</t>
  </si>
  <si>
    <t>Inflation Assumption (CPI % increase)</t>
  </si>
  <si>
    <t>INFLATION - CPI %</t>
  </si>
  <si>
    <t>NPV</t>
  </si>
  <si>
    <t>PTRM - WORKINGS</t>
  </si>
  <si>
    <t>Debt Raising Costs - PTRM Workings</t>
  </si>
  <si>
    <t>Forecast Operating Expenditure</t>
  </si>
  <si>
    <t>Asset Cost - New LED</t>
  </si>
  <si>
    <t>Forecast Net Capital Expenditure - As incurred ($'000 Real Year 0)</t>
  </si>
  <si>
    <t>Regulatory Standard Lives</t>
  </si>
  <si>
    <t>Tax Standard Lives</t>
  </si>
  <si>
    <t>Depreciation Rate</t>
  </si>
  <si>
    <t>Tax Rate</t>
  </si>
  <si>
    <t xml:space="preserve">Inflation Rate </t>
  </si>
  <si>
    <t>Post-tax Nominal Return on Equity(pre-imp)</t>
  </si>
  <si>
    <t>Nominal Pre-Tax Cost of Debt</t>
  </si>
  <si>
    <t>Proportion of Debt Funding</t>
  </si>
  <si>
    <t>Real Vanilla WACC</t>
  </si>
  <si>
    <t>per AER decision</t>
  </si>
  <si>
    <t>Debt Raising Cost Benchmark</t>
  </si>
  <si>
    <t>WACC - SAPN</t>
  </si>
  <si>
    <t>Regulatory Assumptions &amp; Cost of Capital Parameters -As Per PTRM Reset RIN 2015-20RCP</t>
  </si>
  <si>
    <t>Forecast Capital Expenditure</t>
  </si>
  <si>
    <t xml:space="preserve">Key Assumptions </t>
  </si>
  <si>
    <t>Should be zero</t>
  </si>
  <si>
    <t>Average of Advance/Arrears</t>
  </si>
  <si>
    <t>NPV - Annuity</t>
  </si>
  <si>
    <t>Equivalent Annuity</t>
  </si>
  <si>
    <t>Annuity - 17 years in advance</t>
  </si>
  <si>
    <t>Annuity - 17 years in arrears</t>
  </si>
  <si>
    <t>NPV - PTRM Revenue</t>
  </si>
  <si>
    <t>PTRM Unsmoothed Revenue</t>
  </si>
  <si>
    <t>Discounted Cash flow and NPV</t>
  </si>
  <si>
    <t>Annuity Calculation for LED Luminaires</t>
  </si>
  <si>
    <t>*** Note - this row links to the top of this sheet as the "Annuity_Output"</t>
  </si>
  <si>
    <t>SLO Failure Rate</t>
  </si>
  <si>
    <t>LED Luminaire Annuity</t>
  </si>
  <si>
    <t>Materials On Costs</t>
  </si>
  <si>
    <t>LED Light</t>
  </si>
  <si>
    <t>Road Category</t>
  </si>
  <si>
    <t>Materials Luminaire $</t>
  </si>
  <si>
    <t>LED Operating and Maintenance</t>
  </si>
  <si>
    <t>Cable Repairs (SLO fault)</t>
  </si>
  <si>
    <t>SLO Faults - Lamp, PE Cell and Misc. Other</t>
  </si>
  <si>
    <t>Materials PE Cell $</t>
  </si>
  <si>
    <t>Fitting Failure</t>
  </si>
  <si>
    <t>P</t>
  </si>
  <si>
    <t>V</t>
  </si>
  <si>
    <t>Corporate Overheads</t>
  </si>
  <si>
    <t>previously reviewed and used for Ring Fencing</t>
  </si>
  <si>
    <t>Fitting Replacement</t>
  </si>
  <si>
    <t>Materials Fitting Replacement $</t>
  </si>
  <si>
    <t>Note:</t>
  </si>
  <si>
    <t>Labour includes Corporate Overhead Costs</t>
  </si>
  <si>
    <t>Materials Includes Stores on Cost and Corporate Overhead Cost</t>
  </si>
  <si>
    <t>Frequency Rate Cleaning Yrs.</t>
  </si>
  <si>
    <t>Testing</t>
  </si>
  <si>
    <t>Discount Rate (Real)</t>
  </si>
  <si>
    <t>Annuity (20 Years)</t>
  </si>
  <si>
    <t>Table Row</t>
  </si>
  <si>
    <t>Luminaire Annuity and LED Operating &amp; Maintenance</t>
  </si>
  <si>
    <t>HID BaseLights</t>
  </si>
  <si>
    <t>Cumulative Interest</t>
  </si>
  <si>
    <t>Cumulative Principal</t>
  </si>
  <si>
    <t>Principal</t>
  </si>
  <si>
    <t>Interest</t>
  </si>
  <si>
    <t xml:space="preserve">Payment </t>
  </si>
  <si>
    <t>Capital Spend</t>
  </si>
  <si>
    <r>
      <t xml:space="preserve">Nominal Interest Rate, </t>
    </r>
    <r>
      <rPr>
        <sz val="9.8000000000000007"/>
        <color rgb="FFFF0000"/>
        <rFont val="Trebuchet MS"/>
        <family val="2"/>
      </rPr>
      <t>No CPI escalation</t>
    </r>
  </si>
  <si>
    <t>PMT type: 0 = Arrears, 1 = Advance</t>
  </si>
  <si>
    <t>Annual - Payment in Advance</t>
  </si>
  <si>
    <t>Annual - Payment in Arrears</t>
  </si>
  <si>
    <t>Initial Payment  based on 'Real' schedule, plus annual CPI indexation, NOMINAL Cost of Debt, to achieve future NOMINAL value for capital spend</t>
  </si>
  <si>
    <t>Start tariff</t>
  </si>
  <si>
    <t xml:space="preserve">years </t>
  </si>
  <si>
    <t xml:space="preserve">Capital Value </t>
  </si>
  <si>
    <t>CPI</t>
  </si>
  <si>
    <t>Real Cost of Debt</t>
  </si>
  <si>
    <t>Rates</t>
  </si>
  <si>
    <t>Discount</t>
  </si>
  <si>
    <t>Nominal Cost of Debt</t>
  </si>
  <si>
    <t>p.a.</t>
  </si>
  <si>
    <t>Interest Rate</t>
  </si>
  <si>
    <t xml:space="preserve">OHM </t>
  </si>
  <si>
    <t>Technology</t>
  </si>
  <si>
    <t>TFI Annuity</t>
  </si>
  <si>
    <t>Costs</t>
  </si>
  <si>
    <t>Install Costs</t>
  </si>
  <si>
    <t>Total Infrastructure Capital</t>
  </si>
  <si>
    <t>Infrastructure Operating</t>
  </si>
  <si>
    <t>Total Infrastructure Operating</t>
  </si>
  <si>
    <t>LED Operating and Mainteninnce Annuity</t>
  </si>
  <si>
    <t>Lamp No Longer Avaiable</t>
  </si>
  <si>
    <t>Base Light Population (from LED Conversion Sht)</t>
  </si>
  <si>
    <t>HID Lamps no longer available</t>
  </si>
  <si>
    <t>inc. On Cost &amp; OH</t>
  </si>
  <si>
    <t>Repair / Replacement cost inc. labour + Materials + on-costs + OH</t>
  </si>
  <si>
    <t>Inc On Costs and Overheads</t>
  </si>
  <si>
    <t>All Costs are entered exclusive of On Costs and Overheads</t>
  </si>
  <si>
    <t>Inc. OH</t>
  </si>
  <si>
    <t>Inc. Oncosts &amp; OH</t>
  </si>
  <si>
    <t>Average SLO Material Cost per Light</t>
  </si>
  <si>
    <t>Lamp $/Light</t>
  </si>
  <si>
    <t>PE cell $/Light</t>
  </si>
  <si>
    <t>SLO misc. $/Light</t>
  </si>
  <si>
    <t>Labour $/Light</t>
  </si>
  <si>
    <t>Installation Cost inc. Oncosts &amp; OH</t>
  </si>
  <si>
    <t>Luminaire Materials inc. Oncosts &amp; OH</t>
  </si>
  <si>
    <t>Luminaire Labour inc. OH</t>
  </si>
  <si>
    <t>Total SLO Labour</t>
  </si>
  <si>
    <t>SLO 'Fitting' Labour</t>
  </si>
  <si>
    <t>LED Conversion Labour</t>
  </si>
  <si>
    <t>HID Light</t>
  </si>
  <si>
    <t>Luminaire Group</t>
  </si>
  <si>
    <t>Materials_Base Lamp</t>
  </si>
  <si>
    <t>HID Luminair Installation</t>
  </si>
  <si>
    <t>LED Luminair Installation</t>
  </si>
  <si>
    <t>Materials inc. On Costs &amp; OH</t>
  </si>
  <si>
    <t>PLC_TFI</t>
  </si>
  <si>
    <t>ETSA, PLC, SAPN, SLUOS, TFI</t>
  </si>
  <si>
    <t>CLER Only</t>
  </si>
  <si>
    <t>CLER SLOs</t>
  </si>
  <si>
    <t>HID Annuity</t>
  </si>
  <si>
    <t>HID to HID Luminaire Annuity</t>
  </si>
  <si>
    <t>Failure Rate 
yr 11-20</t>
  </si>
  <si>
    <t>Failure Rate 
yr 1-10</t>
  </si>
  <si>
    <t>Failure Rate PE Cell (yr. 1-10) %</t>
  </si>
  <si>
    <t>Failure Rate Fitting Replacement (yr. 1-10) %</t>
  </si>
  <si>
    <t>Frequency Rate Testing (yr. 1-10)</t>
  </si>
  <si>
    <t>Failure Rate PE Cell (yr. 11-20) %</t>
  </si>
  <si>
    <t>Failure Rate Fitting Replacement (yr. 11-20) %</t>
  </si>
  <si>
    <t>Frequency Rate Testing (yr. 11-20)</t>
  </si>
  <si>
    <t>Regional Loading</t>
  </si>
  <si>
    <t>Regional Adjustment</t>
  </si>
  <si>
    <t>Check</t>
  </si>
  <si>
    <t>Bulk Lamp Change</t>
  </si>
  <si>
    <t>Adj. Labour Rate</t>
  </si>
  <si>
    <t>(Lamp, PE Cell, Misc. Other)</t>
  </si>
  <si>
    <t>Total Regional Adjustment</t>
  </si>
  <si>
    <t>Avg. GSL Paid</t>
  </si>
  <si>
    <t>GSL's</t>
  </si>
  <si>
    <t>SLO Faults (CLER Only)</t>
  </si>
  <si>
    <t>GSL from Fitting SLO Faults</t>
  </si>
  <si>
    <t>From SLO and GSL Data</t>
  </si>
  <si>
    <t>SLO Data</t>
  </si>
  <si>
    <t>HID-P GSL</t>
  </si>
  <si>
    <t>HID-V GSL</t>
  </si>
  <si>
    <t>Average GSL Paid for Cable Fault</t>
  </si>
  <si>
    <t>Average GSL Paid for Fitting Fault</t>
  </si>
  <si>
    <t>AverageGSL Paid for Misc. Other Fault</t>
  </si>
  <si>
    <t>from AMP</t>
  </si>
  <si>
    <t>Annual Column Inspection forecast</t>
  </si>
  <si>
    <t>Actual</t>
  </si>
  <si>
    <t>Forecast</t>
  </si>
  <si>
    <t>inc. Oncosts + O/H</t>
  </si>
  <si>
    <t>2015 to 2018 Average</t>
  </si>
  <si>
    <t>inc. Oncosts + OH</t>
  </si>
  <si>
    <t>inc. Oncost &amp; OH</t>
  </si>
  <si>
    <t>Cable Fault Forecast</t>
  </si>
  <si>
    <t>Fitting Replacement (SLO Labour Cost)</t>
  </si>
  <si>
    <t xml:space="preserve"> &lt;= Luminaire Annuity Output</t>
  </si>
  <si>
    <t>&lt;= TFI Annuity Output</t>
  </si>
  <si>
    <t>&lt;= LED O&amp;M Annuity Output</t>
  </si>
  <si>
    <t>SLO "Lamp", "PE" and "Misc. Other" Damage Faults</t>
  </si>
  <si>
    <t>SLO "Fitting" Damage Faults and LED Conversions</t>
  </si>
  <si>
    <t>CLER Base Light Population</t>
  </si>
  <si>
    <t>Total Bulk Lamp Base Light Population</t>
  </si>
  <si>
    <t>HID Light Population (from LED Conversion Sht) + CLER HID Light Population</t>
  </si>
  <si>
    <t>Periodical change of Lamps</t>
  </si>
  <si>
    <t>"Labour $/Light" from "SLO_Cost_tbl"</t>
  </si>
  <si>
    <t>"Lamp $/Light" from "SLO_Cost_tbl"</t>
  </si>
  <si>
    <t>"PE cell $/Light" from "SLO_Cost_tbl"</t>
  </si>
  <si>
    <t>"SLO misc. $/Light" from "SLO_Cost_tbl"</t>
  </si>
  <si>
    <t>"SLO_Equipt_Tbl" on SLO Data Sht</t>
  </si>
  <si>
    <t>SLO Labour Cost component of 'Fitting' Replacement</t>
  </si>
  <si>
    <t>&lt;&lt;Input&gt;&gt;</t>
  </si>
  <si>
    <t>&lt;=Select HID Light</t>
  </si>
  <si>
    <t>&lt;=Select LED Light</t>
  </si>
  <si>
    <t>Data Storage Tables for "Update tariffs" Macro.</t>
  </si>
  <si>
    <t>Hidden Sheet</t>
  </si>
  <si>
    <t>Total Lights used for respective Tariff Line Items (Denominator)</t>
  </si>
  <si>
    <t>Column and Stobie Poles</t>
  </si>
  <si>
    <t>Imported Data</t>
  </si>
  <si>
    <t>&lt;&lt;Annuity Output&gt;&gt;</t>
  </si>
  <si>
    <t>&lt;Macro Input&gt;&gt;</t>
  </si>
  <si>
    <t>&lt;= Select</t>
  </si>
  <si>
    <t>Individual Tariff Detail</t>
  </si>
  <si>
    <t>Imported from Data Models</t>
  </si>
  <si>
    <t>HID Luminaire Annuity I/O Sheet</t>
  </si>
  <si>
    <t>LED O&amp;M Annuity I/O Sheet</t>
  </si>
  <si>
    <t>Annuity Calculation Sheet (Engine)</t>
  </si>
  <si>
    <t>Input Sheets</t>
  </si>
  <si>
    <t>Assumptions and Outputs</t>
  </si>
  <si>
    <t>Margin</t>
  </si>
  <si>
    <t>Elevation Charge</t>
  </si>
  <si>
    <t>Applied to total cost of CLER and EO Tariffs only</t>
  </si>
  <si>
    <t>per light</t>
  </si>
  <si>
    <t>Lights on Stobi Poles</t>
  </si>
  <si>
    <t>Applied to all lights on Stobi poles, distributed to all SAPN lights</t>
  </si>
  <si>
    <t>Field Services</t>
  </si>
  <si>
    <t>Network Management</t>
  </si>
  <si>
    <t>GSL from Lamp, PE Cell and Misc. Other SLO Faults</t>
  </si>
  <si>
    <t>Daniel Schipper</t>
  </si>
  <si>
    <t>Peter Rodda</t>
  </si>
  <si>
    <t>Andrew Jolly</t>
  </si>
  <si>
    <t>Most developments in depot towns hence cost is down</t>
  </si>
  <si>
    <t>Fitting cost is for a StreetLED</t>
  </si>
  <si>
    <t>Fitting cost is for a RoadLED</t>
  </si>
  <si>
    <t>Fitting cost is for a Kensington LED</t>
  </si>
  <si>
    <t>Name</t>
  </si>
  <si>
    <t>Sylvania StreetLED 14W</t>
  </si>
  <si>
    <t>Sylvania StreetLED 25W</t>
  </si>
  <si>
    <t>Sylvania StreetLED 18W</t>
  </si>
  <si>
    <t>Advanced Edge40 D350P 46W</t>
  </si>
  <si>
    <t>Pecan SAT-48S 44W</t>
  </si>
  <si>
    <t>Sylvania B2001 34W</t>
  </si>
  <si>
    <t>Pecan NXT-24S 450 35W</t>
  </si>
  <si>
    <t>Alt Ledway 30 D350 39W</t>
  </si>
  <si>
    <t>Alt Ledway 20 D350 26W</t>
  </si>
  <si>
    <t>Pecan NXT-12S 525 20W</t>
  </si>
  <si>
    <t>Pecan NXT-24S 350 29W</t>
  </si>
  <si>
    <t>Pecan SAT-96M 200W</t>
  </si>
  <si>
    <t>Aldridge LED 105W</t>
  </si>
  <si>
    <t>Aldridge LED 198W</t>
  </si>
  <si>
    <t>Alt Ledway 40 D700 88W</t>
  </si>
  <si>
    <t>Advanced Edge40 D525P 70W</t>
  </si>
  <si>
    <t>A1 Insights 150W</t>
  </si>
  <si>
    <t>Advanced Edge40 D700 88W</t>
  </si>
  <si>
    <t>Pecan SAT-48S 72W</t>
  </si>
  <si>
    <t>Pecan NXT-72M 117W</t>
  </si>
  <si>
    <t>Pecan NXT-72M 158W</t>
  </si>
  <si>
    <t>Aldridge ALS216 298W</t>
  </si>
  <si>
    <t>Pecan SAT-96M 178W</t>
  </si>
  <si>
    <t>Sylvania RoadLED 175W</t>
  </si>
  <si>
    <t>Pecan NXT-72M 350 78W</t>
  </si>
  <si>
    <t>Sylvania RoadLED 80W</t>
  </si>
  <si>
    <t>Fitting Warrantee Replacement</t>
  </si>
  <si>
    <t>Failure Rate Warrantee Period 
(yr. 1-10) %</t>
  </si>
  <si>
    <t>Failure Rate Warrantee Period
(yr. 11-20) %</t>
  </si>
  <si>
    <t>Fitting Failures (Warrantee)</t>
  </si>
  <si>
    <t>Warrantee Handling Cost $</t>
  </si>
  <si>
    <t>Compounded on top of Material On Costs. Applies to Luminaire OPEX and Infrustructure</t>
  </si>
  <si>
    <t>Compounded on top of Material On Costs. Applies to Luminaire CAPEX and Admin &amp; Systems</t>
  </si>
  <si>
    <t>IT Projects</t>
  </si>
  <si>
    <t>Total IT Projects</t>
  </si>
  <si>
    <t>Capital Forecast</t>
  </si>
  <si>
    <t>Services</t>
  </si>
  <si>
    <t>Reg Year</t>
  </si>
  <si>
    <t>Escalation from $Reg Year Nominal to $2019/20***June 2020 Dollars</t>
  </si>
  <si>
    <t>*** Values escalated from Regulatory Year Nominal (Ie average $December expenditure)</t>
  </si>
  <si>
    <t>to December 2017 Dollars, using 3 or 6 month lagged CPI, as used historically by the AER</t>
  </si>
  <si>
    <t>David Page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</si>
  <si>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</si>
  <si>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</si>
  <si>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</si>
  <si>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</si>
  <si>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</si>
  <si>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</si>
  <si>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</si>
  <si>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</si>
  <si>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</si>
  <si>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</si>
  <si>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</si>
  <si>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</si>
  <si>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</si>
  <si>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</si>
  <si>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</si>
  <si>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</si>
  <si>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</si>
  <si>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</si>
  <si>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</si>
  <si>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</si>
  <si>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Nominal to Real CPI Escalation</t>
  </si>
  <si>
    <t>Total Infrustructure</t>
  </si>
  <si>
    <t>Infrustructure</t>
  </si>
  <si>
    <t>Cost of Capital</t>
  </si>
  <si>
    <t>Return on Equity</t>
  </si>
  <si>
    <t>Inflation Rate</t>
  </si>
  <si>
    <t>Public Lighting Post 1999 Capex</t>
  </si>
  <si>
    <t>($2017/18)</t>
  </si>
  <si>
    <t>Real Input Cost Escalation</t>
  </si>
  <si>
    <t>($2020/21)</t>
  </si>
  <si>
    <t>Opening Regulated Asset Base for 2009-10 ($m Nominal)</t>
  </si>
  <si>
    <t>Opening Asset Value</t>
  </si>
  <si>
    <t>Remaining Life</t>
  </si>
  <si>
    <t>Standard Life</t>
  </si>
  <si>
    <t>Opening Tax Value</t>
  </si>
  <si>
    <t>Tax Remaining Life</t>
  </si>
  <si>
    <t>Tax Standard Life</t>
  </si>
  <si>
    <t>Actual Capital Expenditure – As Incurred ($m Nominal)</t>
  </si>
  <si>
    <t>Public Lighting 1999 RAB</t>
  </si>
  <si>
    <t>Base Financial Year</t>
  </si>
  <si>
    <t>2010-11</t>
  </si>
  <si>
    <t>($2018/19)</t>
  </si>
  <si>
    <t>($2019/20)</t>
  </si>
  <si>
    <t>CPI Escalation ($ Nominal)</t>
  </si>
  <si>
    <t>RAB Input Calculations</t>
  </si>
  <si>
    <t>2019-20</t>
  </si>
  <si>
    <t>Actual Customer Contributions – As Incurred ($m Nominal)</t>
  </si>
  <si>
    <t>Inflation and Rate of Return</t>
  </si>
  <si>
    <t>RAB Rounding</t>
  </si>
  <si>
    <t>RAB Outputs ($m)</t>
  </si>
  <si>
    <t>RAB Inputs ($m)</t>
  </si>
  <si>
    <t>PTRM Rounding</t>
  </si>
  <si>
    <t>Opening Regulatory Asset Base and Opening Tax Asset Base for 2020-21 ($m Nominal)</t>
  </si>
  <si>
    <t>Asset Class Name</t>
  </si>
  <si>
    <t>Assets Under Construction</t>
  </si>
  <si>
    <t>Base Regulatory Year</t>
  </si>
  <si>
    <t>Length of Regulatory Control Period (Year)</t>
  </si>
  <si>
    <t>2020-21</t>
  </si>
  <si>
    <t>Forecast Capital Expenditure – As Incurred ($m Real 2019-20)</t>
  </si>
  <si>
    <t>2021-22</t>
  </si>
  <si>
    <t>2022-23</t>
  </si>
  <si>
    <t>2023-24</t>
  </si>
  <si>
    <t>2024-25</t>
  </si>
  <si>
    <t>Forecast Customer Contributions – As Incurred ($m Real 2019-20)</t>
  </si>
  <si>
    <t>Tax</t>
  </si>
  <si>
    <t>Expected Corporate Tax Rate</t>
  </si>
  <si>
    <t>Tax Loss Carried Forward From Previous Period</t>
  </si>
  <si>
    <t>Obtain carried forward tax loss from tax accounts or company statutory accounts.</t>
  </si>
  <si>
    <t>Note from PTRM</t>
  </si>
  <si>
    <t>Value of Imputation Credits (gamma)</t>
  </si>
  <si>
    <t>2020-25</t>
  </si>
  <si>
    <t>f</t>
  </si>
  <si>
    <t>Re</t>
  </si>
  <si>
    <t>γ</t>
  </si>
  <si>
    <t>D/V</t>
  </si>
  <si>
    <t>Trailing Average Portfolio Return on Debt</t>
  </si>
  <si>
    <t>Revenue Adjustments</t>
  </si>
  <si>
    <t>Debt and Equity Raising Costs – Transaction Costs (per cent)</t>
  </si>
  <si>
    <t>Value</t>
  </si>
  <si>
    <t>Imputation Credit Payout Ratio</t>
  </si>
  <si>
    <t>Subsequent Equity Raising Costs</t>
  </si>
  <si>
    <t>Dividend Reinvestment Plan Costs</t>
  </si>
  <si>
    <t>Dividend Reinvestment Plan Take Up</t>
  </si>
  <si>
    <t>Debt Raising Costs</t>
  </si>
  <si>
    <t>ICPR</t>
  </si>
  <si>
    <t>SEO</t>
  </si>
  <si>
    <t>DRPC</t>
  </si>
  <si>
    <t>DRPT</t>
  </si>
  <si>
    <t>DRC</t>
  </si>
  <si>
    <t>Existing Values from PTRM</t>
  </si>
  <si>
    <t>Last Updated</t>
  </si>
  <si>
    <t>General Escalation (%Real)</t>
  </si>
  <si>
    <t>Distribution</t>
  </si>
  <si>
    <t>Average cable repair cost from Electel for past 12 months</t>
  </si>
  <si>
    <t>Inspection Service</t>
  </si>
  <si>
    <t>SLO attendance fee (Service/Labour Avg)</t>
  </si>
  <si>
    <t>Cable Repair Cost (Labour/Service Avg)</t>
  </si>
  <si>
    <t>inc Overheads, Labour/Service Weighted Avg</t>
  </si>
  <si>
    <t>Inc. FS OH</t>
  </si>
  <si>
    <t>Labour/Service Weighted Avg. Inc. FS OH</t>
  </si>
  <si>
    <t>$ inc FS OH</t>
  </si>
  <si>
    <t>inc. FS OH</t>
  </si>
  <si>
    <t>Bulk Lamps Changed</t>
  </si>
  <si>
    <r>
      <t xml:space="preserve">Annual Cost 
</t>
    </r>
    <r>
      <rPr>
        <i/>
        <sz val="9"/>
        <color theme="1"/>
        <rFont val="Calibri"/>
        <family val="2"/>
      </rPr>
      <t>($2017/18)</t>
    </r>
  </si>
  <si>
    <t xml:space="preserve">Field Worker Labour Rate </t>
  </si>
  <si>
    <t>Excluding Corporate Overheads</t>
  </si>
  <si>
    <t>Debbie Voltz</t>
  </si>
  <si>
    <t>Per SLO</t>
  </si>
  <si>
    <t>Labour ($2020/21)</t>
  </si>
  <si>
    <t>Weighted Average Labour/Service Rate</t>
  </si>
  <si>
    <t>Labour ($2017/18)</t>
  </si>
  <si>
    <t>Per Lamp</t>
  </si>
  <si>
    <t>Per Fault</t>
  </si>
  <si>
    <t>Per Change</t>
  </si>
  <si>
    <t>Hours per Service Calculation</t>
  </si>
  <si>
    <t>Per km</t>
  </si>
  <si>
    <t>Column Replacement</t>
  </si>
  <si>
    <t>Per Column</t>
  </si>
  <si>
    <t>Bracket Replacement</t>
  </si>
  <si>
    <t>Per Bracket</t>
  </si>
  <si>
    <t>Labour Rates</t>
  </si>
  <si>
    <t>Labour Hours</t>
  </si>
  <si>
    <t>From PTRM</t>
  </si>
  <si>
    <t>Average Material Cost per Column (773 x 20% + 674 x 80%)</t>
  </si>
  <si>
    <t>Estimated UnPlanned Column Replacements</t>
  </si>
  <si>
    <t>Imported from "Reactive Column Replacements Data" Model</t>
  </si>
  <si>
    <t>Annuity Period</t>
  </si>
  <si>
    <t>People per Unit</t>
  </si>
  <si>
    <t>Estimated 80% of Unplanned replacements are Metro</t>
  </si>
  <si>
    <t>Estimated 20% of Unplanned replacements are Regional</t>
  </si>
  <si>
    <t>Average Replacement p.a. from 2015 to 2017</t>
  </si>
  <si>
    <t>Repair Cost</t>
  </si>
  <si>
    <t>Asset Data Audit</t>
  </si>
  <si>
    <t xml:space="preserve">SV to Check re licencing </t>
  </si>
  <si>
    <t>Public Lighting Asset manager 1 FTE</t>
  </si>
  <si>
    <t>Technical Officer 1 FTE</t>
  </si>
  <si>
    <t>Customer engagement Resource 1 FTE</t>
  </si>
  <si>
    <t>15 hours/week - 780 hours/year</t>
  </si>
  <si>
    <t>Public Lighting SAP Assett data maintenance 0.3FTE</t>
  </si>
  <si>
    <t>BIS Oxford and DAE (Accumulated Escalation)</t>
  </si>
  <si>
    <t>From Column Inspections</t>
  </si>
  <si>
    <t>Total Column Replacements</t>
  </si>
  <si>
    <t>Total Cable Replacements</t>
  </si>
  <si>
    <t>Bracket Materials</t>
  </si>
  <si>
    <t>Benchmark</t>
  </si>
  <si>
    <t>Labour Split</t>
  </si>
  <si>
    <t>Non-Labour Split</t>
  </si>
  <si>
    <t>Labour/Services Rates</t>
  </si>
  <si>
    <t>Escalation to June 2020</t>
  </si>
  <si>
    <t>($'2017/18)</t>
  </si>
  <si>
    <t>excludes Replacement Columns included on "Column Replacement" Sheet</t>
  </si>
  <si>
    <t>Labour/Service Cost</t>
  </si>
  <si>
    <t>Total Cost Labour</t>
  </si>
  <si>
    <t>Labour/Services</t>
  </si>
  <si>
    <t>CPI Escalation ($Nominal)</t>
  </si>
  <si>
    <t>Real</t>
  </si>
  <si>
    <t>Nominal</t>
  </si>
  <si>
    <t>($'2018/19)</t>
  </si>
  <si>
    <t>($'2019/20)</t>
  </si>
  <si>
    <t>$June 2020</t>
  </si>
  <si>
    <t>Other (Traffic Mgt) $</t>
  </si>
  <si>
    <t>Fuse failure</t>
  </si>
  <si>
    <t>Fuse Failure Rate (yr. 1-10) %</t>
  </si>
  <si>
    <t>Fuse Failure Rate (yr. 11-20) %</t>
  </si>
  <si>
    <t>Materials Fuse $</t>
  </si>
  <si>
    <t>Lab/Serv</t>
  </si>
  <si>
    <t>Weighted Avg. Real Escalation of Labour and Services</t>
  </si>
  <si>
    <t>Labour/Services Cost Calculations ($2017/18)</t>
  </si>
  <si>
    <t>Lab/Serv $</t>
  </si>
  <si>
    <t>Lab/Serv inc. OH</t>
  </si>
  <si>
    <t>Grant Cox</t>
  </si>
  <si>
    <t>LED17_R</t>
  </si>
  <si>
    <t>LED150_R</t>
  </si>
  <si>
    <t>LED80_R</t>
  </si>
  <si>
    <t>Other Inc traffic Mgt + Regional Allowance</t>
  </si>
  <si>
    <t>Other = Regional Allowance</t>
  </si>
  <si>
    <t>Lab/Serv Cleaning $</t>
  </si>
  <si>
    <t>Lab/Serv Warrantee Period $</t>
  </si>
  <si>
    <t>Lab/Serv PE Cell $</t>
  </si>
  <si>
    <t>Lab/Serv Fitting Replacement $</t>
  </si>
  <si>
    <t>Lab/Serv Fuse $</t>
  </si>
  <si>
    <t>Lab/Serv Testing $</t>
  </si>
  <si>
    <t>Labour/Services Escalation</t>
  </si>
  <si>
    <t>Forecast Inflation Rate</t>
  </si>
  <si>
    <t>Davic Craig</t>
  </si>
  <si>
    <t>RFM 2015-20</t>
  </si>
  <si>
    <t>Actual CPI Inflation Rate</t>
  </si>
  <si>
    <t>Closing Regulatory Asset Base</t>
  </si>
  <si>
    <t>Weighted Average Remaining Asset Life - based on year-by-year tracked capex</t>
  </si>
  <si>
    <t>Opening Tax Asset Values</t>
  </si>
  <si>
    <t>Weighted Average Remaining Tax Asset Life - based on year-by-year tracked capex</t>
  </si>
  <si>
    <t>Building Block Components ($m Real 2019-20)</t>
  </si>
  <si>
    <t>($June '20)</t>
  </si>
  <si>
    <t>Initial Inspection of Column Cost</t>
  </si>
  <si>
    <t>Transferred to SLO</t>
  </si>
  <si>
    <t>Transferred to Bulk Lamp</t>
  </si>
  <si>
    <t>Cumulative CPI</t>
  </si>
  <si>
    <t>Post-tax Nominal Return on Equity</t>
  </si>
  <si>
    <t xml:space="preserve">Pre-tax Real WACC </t>
  </si>
  <si>
    <t>Handeling Fee / Materials</t>
  </si>
  <si>
    <t>2017/18 to June 2020</t>
  </si>
  <si>
    <t>Materials (Unplanned)</t>
  </si>
  <si>
    <t>Materials (Planned)</t>
  </si>
  <si>
    <t>inc. FS O/H</t>
  </si>
  <si>
    <t>inc. Oncosts + FS O/H</t>
  </si>
  <si>
    <t>2 year historical Average.  Labour Cost included in SLO</t>
  </si>
  <si>
    <t>Service Agreement for Metro LE Upgrades</t>
  </si>
  <si>
    <t>Avg Paid</t>
  </si>
  <si>
    <t>All inclusive</t>
  </si>
  <si>
    <t>Total Cost Column Inspections/Repairs</t>
  </si>
  <si>
    <t>Repair to Column (all inclusive)</t>
  </si>
  <si>
    <t>Total Cost Cable Replacements</t>
  </si>
  <si>
    <t>Total Cost Column Replacements</t>
  </si>
  <si>
    <t>Total Cost Bracket Replacemebts</t>
  </si>
  <si>
    <t>Inc. Oncosts &amp; FS O/H</t>
  </si>
  <si>
    <t>Total Cost Bulk Lamp Change</t>
  </si>
  <si>
    <t>Total Labour/Services</t>
  </si>
  <si>
    <t>Total Cost Cable Faults</t>
  </si>
  <si>
    <t>Total Cost SLO</t>
  </si>
  <si>
    <t>Building Block Components ($'000 Real 2017-18)</t>
  </si>
  <si>
    <t>Labour/Services/Other</t>
  </si>
  <si>
    <t>Includes Network Management OK</t>
  </si>
  <si>
    <t xml:space="preserve"> 2017/18 to June 2020</t>
  </si>
  <si>
    <t>PTRM 2020/21 to 25 Inputs ($m)</t>
  </si>
  <si>
    <t>PTRM 2020/21 to 25 Output ($m)</t>
  </si>
  <si>
    <t>PTRM 2018/19 to 20 Inputs ($m)</t>
  </si>
  <si>
    <t>2017-18</t>
  </si>
  <si>
    <t>PTRM 2018/19 to 20 Output ($m)</t>
  </si>
  <si>
    <t>2018-19</t>
  </si>
  <si>
    <t>David Craig</t>
  </si>
  <si>
    <t>GSL Volume</t>
  </si>
  <si>
    <t>Labour/Service/Other Cost</t>
  </si>
  <si>
    <t>PTRM 2020/21 to 25 Input Calculations</t>
  </si>
  <si>
    <t>PTRM 2018/19 to 20 Input Calculations</t>
  </si>
  <si>
    <t>($June '18)</t>
  </si>
  <si>
    <t>$June 2018</t>
  </si>
  <si>
    <t>to December 2020 Dollars, using 3 or 6 month lagged CPI, as used historically by the AER</t>
  </si>
  <si>
    <t>Opening Regulatory Asset Base and Opening Tax Asset Base for 2018-19 ($m Nominal)</t>
  </si>
  <si>
    <t>Forecast Capital Expenditure – As Incurred ($m Real 2017-18)</t>
  </si>
  <si>
    <t>Forecast Asset Disposal – as incurred ($m Real 2017-18)</t>
  </si>
  <si>
    <t>Building Block Components ($m Real 2017-18)</t>
  </si>
  <si>
    <t>Annual Revenue Requirement</t>
  </si>
  <si>
    <t>Price</t>
  </si>
  <si>
    <t>Purchase Year</t>
  </si>
  <si>
    <t>Volume</t>
  </si>
  <si>
    <t>Imported from "LED_PriceData" Model</t>
  </si>
  <si>
    <t>CPI to June'18</t>
  </si>
  <si>
    <t>LED60</t>
  </si>
  <si>
    <t>Total Volume</t>
  </si>
  <si>
    <t>Weighted Average Price ($June'18)</t>
  </si>
  <si>
    <t>HID Luminaire Annuity</t>
  </si>
  <si>
    <t>LED TFI Luminaire Annuity</t>
  </si>
  <si>
    <t>HID TFI Luminaire Annuity</t>
  </si>
  <si>
    <t>Select Category</t>
  </si>
  <si>
    <t>Update calculations using RAB and PTRM</t>
  </si>
  <si>
    <t>Update Each of the following calculations</t>
  </si>
  <si>
    <t>Enter new LED name</t>
  </si>
  <si>
    <t>Extended Waranty</t>
  </si>
  <si>
    <r>
      <t>LED Installation</t>
    </r>
    <r>
      <rPr>
        <sz val="11.5"/>
        <color theme="3"/>
        <rFont val="Calibri"/>
        <family val="2"/>
      </rPr>
      <t xml:space="preserve"> </t>
    </r>
    <r>
      <rPr>
        <sz val="10"/>
        <color theme="3"/>
        <rFont val="Calibri"/>
        <family val="2"/>
      </rPr>
      <t>(additional materials)</t>
    </r>
  </si>
  <si>
    <t>System Status</t>
  </si>
  <si>
    <t>Includes LED 17 and LED 14</t>
  </si>
  <si>
    <t>Includes LED 22 and LED 18</t>
  </si>
  <si>
    <t>Includes LED 29 and LED 25</t>
  </si>
  <si>
    <t>2015-20</t>
  </si>
  <si>
    <t>Select LED to be deleted</t>
  </si>
  <si>
    <t>Total Cost ($June '18)</t>
  </si>
  <si>
    <t>$June'18</t>
  </si>
  <si>
    <t>Post Top Kensington</t>
  </si>
  <si>
    <t>Annuity term</t>
  </si>
  <si>
    <t>Annuity Term</t>
  </si>
  <si>
    <t>Luminaire Annuity Input (Inc. Labour + Materials + On Costs and OH)</t>
  </si>
  <si>
    <t>Annuity Difference</t>
  </si>
  <si>
    <t>Annuity in advance Difference</t>
  </si>
  <si>
    <t>Materials, inc On Costs and OH</t>
  </si>
  <si>
    <t>Install, inc OH</t>
  </si>
  <si>
    <t>Lamp Failure Rate</t>
  </si>
  <si>
    <t>PE Cell Failure Rate</t>
  </si>
  <si>
    <t>Total PE Cells</t>
  </si>
  <si>
    <t>Total Lamp</t>
  </si>
  <si>
    <t>Lamps</t>
  </si>
  <si>
    <t>Total Stobi Poles</t>
  </si>
  <si>
    <t>$June 2019</t>
  </si>
  <si>
    <t>Indirect</t>
  </si>
  <si>
    <t>FY_19</t>
  </si>
  <si>
    <t>FY_20</t>
  </si>
  <si>
    <t>FY_21</t>
  </si>
  <si>
    <t>FY_22</t>
  </si>
  <si>
    <t>FY_23</t>
  </si>
  <si>
    <t>FY_24</t>
  </si>
  <si>
    <t>FY_25</t>
  </si>
  <si>
    <t>FY_26</t>
  </si>
  <si>
    <t>FY_27</t>
  </si>
  <si>
    <t>FY_28</t>
  </si>
  <si>
    <t>Select CPI $</t>
  </si>
  <si>
    <t>List of tariffs</t>
  </si>
  <si>
    <t>Lits of Financial Years</t>
  </si>
  <si>
    <t>CPI $opions available for selected FY Year</t>
  </si>
  <si>
    <t>30-Jun</t>
  </si>
  <si>
    <t>31-Dec</t>
  </si>
  <si>
    <t>Calendar Year</t>
  </si>
  <si>
    <t>Selected Financial Year</t>
  </si>
  <si>
    <t xml:space="preserve">Selected CPI Inflator </t>
  </si>
  <si>
    <t>CPI Index</t>
  </si>
  <si>
    <t>Total Stobie poles</t>
  </si>
  <si>
    <t>Admin and System Costs</t>
  </si>
  <si>
    <t>Real Labour Escalation</t>
  </si>
  <si>
    <t xml:space="preserve"> </t>
  </si>
  <si>
    <t>CPI $</t>
  </si>
  <si>
    <t>2017/18 to $CPI</t>
  </si>
  <si>
    <t>1997/98</t>
  </si>
  <si>
    <t>Select Tariff Year (Real Input Cost Escalation)</t>
  </si>
  <si>
    <t>Total Cost including O/H</t>
  </si>
  <si>
    <t>Total Luminaire Operating</t>
  </si>
  <si>
    <t>Adjusted for new tender pricing 13/12 TW</t>
  </si>
  <si>
    <t>Adjusted for new tender pricing 13/12 TW (previous $288)</t>
  </si>
  <si>
    <t>Sylvania RoadLED 60W</t>
  </si>
  <si>
    <t>Kensington</t>
  </si>
  <si>
    <t>LED23</t>
  </si>
  <si>
    <t>Bourke Hill 22W LED</t>
  </si>
  <si>
    <t>LED155</t>
  </si>
  <si>
    <t>Parkville 155W</t>
  </si>
  <si>
    <t>LED81</t>
  </si>
  <si>
    <t>Parkville 80W</t>
  </si>
  <si>
    <t>LED101</t>
  </si>
  <si>
    <t>Parkville 100W</t>
  </si>
  <si>
    <t>Columns (Materials)</t>
  </si>
  <si>
    <t>Column Inspections</t>
  </si>
  <si>
    <t>SLO (exc Cable Faults)</t>
  </si>
  <si>
    <t>Total OPEX</t>
  </si>
  <si>
    <t>Capital Expenditure</t>
  </si>
  <si>
    <t>Planned</t>
  </si>
  <si>
    <t>Column Replacements</t>
  </si>
  <si>
    <t>Brackets Replacement</t>
  </si>
  <si>
    <t>Total Planned</t>
  </si>
  <si>
    <t>Total Unplanned</t>
  </si>
  <si>
    <t>Total CAPEX</t>
  </si>
  <si>
    <t>Total LED Conversions</t>
  </si>
  <si>
    <t>Closing LED Lights</t>
  </si>
  <si>
    <t>Unplanned</t>
  </si>
  <si>
    <t>Opening LED</t>
  </si>
  <si>
    <t>From</t>
  </si>
  <si>
    <t>To</t>
  </si>
  <si>
    <t>Total Planned LED Conversions</t>
  </si>
  <si>
    <t>Total Unplanned LED Conversions</t>
  </si>
  <si>
    <t>Total LED Conversion CAPEX</t>
  </si>
  <si>
    <t>Transferred to PTRM Integration</t>
  </si>
  <si>
    <t>Transferred to Total Exp</t>
  </si>
  <si>
    <t>Luminairs</t>
  </si>
  <si>
    <t>Subtotal Unplanned</t>
  </si>
  <si>
    <t>Cable Replacements</t>
  </si>
  <si>
    <t>Bracket Replacements</t>
  </si>
  <si>
    <t>SLO - Lamp</t>
  </si>
  <si>
    <t>SLO - PE Cell</t>
  </si>
  <si>
    <t>SLO - Misc. Other</t>
  </si>
  <si>
    <t>Lights (PLC, SAPN, SLUOS, TFI)</t>
  </si>
  <si>
    <t>Lights (CLER)</t>
  </si>
  <si>
    <t>PLC, SAPN, SLUOS, TFI</t>
  </si>
  <si>
    <t>Parts + Labour + Oncosts + O/H</t>
  </si>
  <si>
    <t>Total Cost SLO (Exc Cable Faults)</t>
  </si>
  <si>
    <t>Total Cost HID SLO (Exc Cable Faults)</t>
  </si>
  <si>
    <t>Total SLO Faults</t>
  </si>
  <si>
    <t>Test</t>
  </si>
  <si>
    <t>Increase in Population</t>
  </si>
  <si>
    <t>CLER HID to LED</t>
  </si>
  <si>
    <t>Failure Rate Warrantee Period</t>
  </si>
  <si>
    <t>Fitting Total</t>
  </si>
  <si>
    <t>PE Cell Total</t>
  </si>
  <si>
    <t>Fuse</t>
  </si>
  <si>
    <t>Fuse Total</t>
  </si>
  <si>
    <t>Total LED SLO (Exc Cable Faults)</t>
  </si>
  <si>
    <t>LED Cleaning &amp; Testing</t>
  </si>
  <si>
    <t>Cleaning &amp; Testing</t>
  </si>
  <si>
    <t>LED SLO</t>
  </si>
  <si>
    <t>Total Activity</t>
  </si>
  <si>
    <t>LED Cleaning &amp; Test</t>
  </si>
  <si>
    <t>Total LED Operaing and Maintenance</t>
  </si>
  <si>
    <t>Fuse failure (Misc. Other)</t>
  </si>
  <si>
    <t>Total Clean and Test</t>
  </si>
  <si>
    <t>Total Cost Clean and Test</t>
  </si>
  <si>
    <t>Capital Spend on Public Lighting</t>
  </si>
  <si>
    <t>SLO Notifications</t>
  </si>
  <si>
    <t>Operating Spend on Public Lighting</t>
  </si>
  <si>
    <t>Total Expenditure (CAPEX and OPEX)</t>
  </si>
  <si>
    <t>Total Capital Expenditure</t>
  </si>
  <si>
    <t>Total Operating Expenditure</t>
  </si>
  <si>
    <t>Total SLO Notifications</t>
  </si>
  <si>
    <t>Summary of All HID Tariffs</t>
  </si>
  <si>
    <t>Summary of All LED Tariffs</t>
  </si>
  <si>
    <t>Calculations for CAPEX Forecast</t>
  </si>
  <si>
    <t>Calculations for SLO Forecast</t>
  </si>
  <si>
    <t>Sample Size</t>
  </si>
  <si>
    <t xml:space="preserve">Service Cost </t>
  </si>
  <si>
    <t>Email 17/01/2019 Updated actual average cost</t>
  </si>
  <si>
    <t>Email 17/01/2019 Updated actual average</t>
  </si>
  <si>
    <t>Updated</t>
  </si>
  <si>
    <t>Total Columns + Post Tops identified from Equipment Data</t>
  </si>
  <si>
    <t>Assume failure rates will drop after oldest / high corrosion zone areas inspected. Transferred to Column Replacements Sht</t>
  </si>
  <si>
    <t>Assume failure rates will drop after oldest / high corrosion zone areas inspected. Also expect that multiple defects per asset being raised that a column replacement would rectify.</t>
  </si>
  <si>
    <t>Imported from 'ColumnInspection_Data' workbook</t>
  </si>
  <si>
    <t>LED/HID</t>
  </si>
  <si>
    <t>Transferred to 'SLO LED OPEX' sheet</t>
  </si>
  <si>
    <t>Luminaire (SLO)</t>
  </si>
  <si>
    <t>SLO Fitting Failure</t>
  </si>
  <si>
    <t>LED Conversion Labour Cost</t>
  </si>
  <si>
    <t>SLO Labour Cost</t>
  </si>
  <si>
    <t>Closing HID - V Cat Lights</t>
  </si>
  <si>
    <t>Total Conversion Cost HID - V Cat</t>
  </si>
  <si>
    <t>SLO Productivity Adjustment</t>
  </si>
  <si>
    <t>Debbi Voltz</t>
  </si>
  <si>
    <t>forecast increase in travel time</t>
  </si>
  <si>
    <t>Includes SLO Productivity Adjustment (increased travel time)</t>
  </si>
  <si>
    <t>Applies to Total Exp, Capex and Opex Sheets</t>
  </si>
  <si>
    <t>Use of Pole Charge</t>
  </si>
  <si>
    <t>Equity Raising costs</t>
  </si>
  <si>
    <t>Total Capex</t>
  </si>
  <si>
    <t>Lamp Materials $</t>
  </si>
  <si>
    <t>PE Cell Materials $</t>
  </si>
  <si>
    <t>Overview</t>
  </si>
  <si>
    <t>Total Exp</t>
  </si>
  <si>
    <t/>
  </si>
  <si>
    <t>CAPEX Graph</t>
  </si>
  <si>
    <t>OPEX Graph</t>
  </si>
  <si>
    <t>SLO Summary</t>
  </si>
  <si>
    <t>PTRM Integration</t>
  </si>
  <si>
    <t>2011-12</t>
  </si>
  <si>
    <t>2012-13</t>
  </si>
  <si>
    <t>2013-14</t>
  </si>
  <si>
    <t>2014-15</t>
  </si>
  <si>
    <t>2015-16</t>
  </si>
  <si>
    <t>2016-17</t>
  </si>
  <si>
    <t xml:space="preserve">Total </t>
  </si>
  <si>
    <t>Total Conversion Cost F-40</t>
  </si>
  <si>
    <t>Total Conversion Cost MV-80</t>
  </si>
  <si>
    <t>Total Conversion Cost S-HP50 PT</t>
  </si>
  <si>
    <t>Total Conversion Cost S-HP Other</t>
  </si>
  <si>
    <t>Total Conversion Cost CF-42</t>
  </si>
  <si>
    <t>Total Conversion Cost S-LP18</t>
  </si>
  <si>
    <t>Total Conversion Cost Total HID - P Cat</t>
  </si>
  <si>
    <t>Total Conversion Cost S-HP100</t>
  </si>
  <si>
    <t>Total Conversion Cost S-HP150</t>
  </si>
  <si>
    <t>Total Conversion Cost S-HP250</t>
  </si>
  <si>
    <t>Total Conversion Cost S-LP90</t>
  </si>
  <si>
    <t>Total Conversion Cost MV-80+</t>
  </si>
  <si>
    <t>LED CAPEX</t>
  </si>
  <si>
    <t>Total Lights F-40</t>
  </si>
  <si>
    <t>Total SLO Cost F-40</t>
  </si>
  <si>
    <t>Total Lights MV-80</t>
  </si>
  <si>
    <t>Total SLO Cost MV-80</t>
  </si>
  <si>
    <t>Total Lights S-HP50</t>
  </si>
  <si>
    <t>Total SLO Cost S-HP50</t>
  </si>
  <si>
    <t>Total Lights S-HP50 PT</t>
  </si>
  <si>
    <t>Total SLO Cost S-HP50 PT</t>
  </si>
  <si>
    <t>Total Lights S-HP Other</t>
  </si>
  <si>
    <t>Total SLO Cost S-HP Other</t>
  </si>
  <si>
    <t>Total Lights CF-42</t>
  </si>
  <si>
    <t>Total SLO Cost CF-42</t>
  </si>
  <si>
    <t>Total Lights cf-42 PT</t>
  </si>
  <si>
    <t>Total SLO Cost cf-42 PT</t>
  </si>
  <si>
    <t>Total Lights S-LP18</t>
  </si>
  <si>
    <t>Total SLO Cost S-LP18</t>
  </si>
  <si>
    <t>Total Lights S-HP100</t>
  </si>
  <si>
    <t>Total SLO Cost S-HP100</t>
  </si>
  <si>
    <t>Total Lights S-HP150</t>
  </si>
  <si>
    <t>Total SLO Cost S-HP150</t>
  </si>
  <si>
    <t>Total Lights S-HP250</t>
  </si>
  <si>
    <t>Total SLO Cost S-HP250</t>
  </si>
  <si>
    <t>Total Lights S-LP90</t>
  </si>
  <si>
    <t>Total SLO Cost S-LP90</t>
  </si>
  <si>
    <t>Total Lights MV-80+</t>
  </si>
  <si>
    <t>Total SLO Cost MV-80+</t>
  </si>
  <si>
    <t>Total Lights MV-80 PT</t>
  </si>
  <si>
    <t>Total SLO Cost MV-80 PT</t>
  </si>
  <si>
    <t>Total Lights S-HP360f</t>
  </si>
  <si>
    <t>Total SLO Cost S-HP360f</t>
  </si>
  <si>
    <t>SLO HID OPEX</t>
  </si>
  <si>
    <t>Total SLO - Misc. Other</t>
  </si>
  <si>
    <t>Total SLO - PE Cell</t>
  </si>
  <si>
    <t>Total SLO - Lamp</t>
  </si>
  <si>
    <t>SLO LED OPEX</t>
  </si>
  <si>
    <t>TFI_Annuity_Calcs</t>
  </si>
  <si>
    <t>Real Input Cost Escalation 2020/21</t>
  </si>
  <si>
    <t>2017 to $June 2020</t>
  </si>
  <si>
    <t>($June 2020)</t>
  </si>
  <si>
    <t>LED Annuity</t>
  </si>
  <si>
    <t>Luminaire_Annuity</t>
  </si>
  <si>
    <t>HID_Annuity</t>
  </si>
  <si>
    <t>Global Assumptions</t>
  </si>
  <si>
    <t>SLO Costs</t>
  </si>
  <si>
    <t>AMP</t>
  </si>
  <si>
    <t>LED_PriceData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</si>
</sst>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1">
    <numFmt numFmtId="6" formatCode="&quot;$&quot;#,##0;[Red]\-&quot;$&quot;#,##0"/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Red]&quot;Error&quot;;[Red]&quot;Error&quot;;&quot;[OK]&quot;"/>
    <numFmt numFmtId="165" formatCode="[Red]&quot;◄ Error&quot;;[Red]&quot;◄ Error&quot;;&quot;◄ [OK]&quot;"/>
    <numFmt numFmtId="166" formatCode="[Red]&quot;Error ►&quot;;[Red]&quot;Error ►&quot;;&quot;[OK] ►&quot;"/>
    <numFmt numFmtId="167" formatCode="[Red]&quot;▲ Error&quot;;[Red]&quot;▲ Error&quot;;&quot;▲ OK&quot;"/>
    <numFmt numFmtId="168" formatCode="[Red]&quot;▲_x000a_Error&quot;;[Red]&quot;▲_x000a_Error&quot;;&quot;▲_x000a_[OK]&quot;"/>
    <numFmt numFmtId="169" formatCode="#,##0_ ;[Red]\-#,##0;&quot;-&quot;"/>
    <numFmt numFmtId="170" formatCode="[Red]&quot;◄ Required&quot;;[Red]&quot;◄ Required&quot;;&quot;&quot;"/>
    <numFmt numFmtId="171" formatCode="_-* #,##0_-;\-* #,##0_-;_-* &quot;-&quot;??_-;_-@_-"/>
    <numFmt numFmtId="172" formatCode="_-* #,##0_-;[Red]\-* #,##0_-;_-* &quot;-&quot;_-;_-@_-"/>
    <numFmt numFmtId="173" formatCode="_-&quot;$&quot;\ #,##0_-;[Red]\-&quot;$&quot;\ #,##0_-;\ &quot;-&quot;_-;_-@_-"/>
    <numFmt numFmtId="174" formatCode="_-&quot;$&quot;\ #,##0.00_-;[Red]\-&quot;$&quot;\ #,##0.00_-;\ &quot;-&quot;_-;_-@_-"/>
    <numFmt numFmtId="175" formatCode="_-\ #,##0_-;[Red]\-\ #,##0_-;_-* &quot;-&quot;_-;_-@_-"/>
    <numFmt numFmtId="176" formatCode="_-&quot;$&quot;* #,##0_-;\-&quot;$&quot;* #,##0_-;_-&quot;$&quot;* &quot;-&quot;??_-;_-@_-"/>
    <numFmt numFmtId="177" formatCode="#,##0_ &quot; Yrs.&quot;;[Red]\-#,##0\ "/>
    <numFmt numFmtId="178" formatCode="#,##0.000\ ;\(#,##0.000\)"/>
    <numFmt numFmtId="179" formatCode="_-* #,##0.000_-;\-* #,##0.000_-;_-* &quot;-&quot;??_-;_-@_-"/>
    <numFmt numFmtId="180" formatCode="_-* #,##0.000_-;\-* #,##0.000_-;_-* &quot;-&quot;???_-;_-@_-"/>
    <numFmt numFmtId="181" formatCode="_-* #,##0.00000_-;\-* #,##0.00000_-;_-* &quot;-&quot;???_-;_-@_-"/>
    <numFmt numFmtId="182" formatCode="#,##0.000;\(#,##0.000\)"/>
    <numFmt numFmtId="183" formatCode="_-* #,##0.00000_-;\-* #,##0.00000_-;_-* &quot;-&quot;??_-;_-@_-"/>
    <numFmt numFmtId="184" formatCode="_-* #,##0.0000_-;\-* #,##0.0000_-;_-* &quot;-&quot;??_-;_-@_-"/>
    <numFmt numFmtId="185" formatCode="0.0%"/>
    <numFmt numFmtId="186" formatCode=";;;"/>
    <numFmt numFmtId="187" formatCode="0.000%"/>
    <numFmt numFmtId="188" formatCode="_(* #,##0.00_);_(* \(#,##0.00\);_(* &quot;-&quot;??_);_(@_)"/>
    <numFmt numFmtId="189" formatCode="#,##0;\(#,##0\)"/>
    <numFmt numFmtId="190" formatCode="#,##0.00;\(#,##0.00\)"/>
    <numFmt numFmtId="191" formatCode="yyyy"/>
    <numFmt numFmtId="192" formatCode="#,##0.000000;\(#,##0.000000\)"/>
    <numFmt numFmtId="193" formatCode="#,##0.000000"/>
    <numFmt numFmtId="194" formatCode="_-&quot;$&quot;* #,##0.000_-;\-&quot;$&quot;* #,##0.000_-;_-&quot;$&quot;* &quot;-&quot;??_-;_-@_-"/>
    <numFmt numFmtId="195" formatCode="_-* #,##0.00_-;[Red]\-* #,##0.00_-;_-* &quot;-&quot;_-;_-@_-"/>
    <numFmt numFmtId="196" formatCode="#,##0.00_ ;[Red]\-#,##0.00;&quot;-&quot;"/>
    <numFmt numFmtId="197" formatCode="0.00_ ;[Red]\-0.00;&quot;-&quot;"/>
    <numFmt numFmtId="198" formatCode="0.000"/>
    <numFmt numFmtId="199" formatCode="_-* #,##0.0_-;[Red]\-* #,##0.0_-;_-* &quot;-&quot;_-;_-@_-"/>
    <numFmt numFmtId="200" formatCode="0_ ;[Red]\-0;&quot;-&quot;"/>
    <numFmt numFmtId="201" formatCode="0.000000000"/>
    <numFmt numFmtId="202" formatCode="0.0000000%"/>
    <numFmt numFmtId="203" formatCode="0%;&quot;-&quot;;&quot;-&quot;"/>
    <numFmt numFmtId="204" formatCode="0.0%;&quot;-&quot;;&quot;-&quot;"/>
    <numFmt numFmtId="205" formatCode="0.0"/>
    <numFmt numFmtId="206" formatCode="0.0000%"/>
    <numFmt numFmtId="207" formatCode="_-&quot;$&quot;\ #,##0.0_-;[Red]\-&quot;$&quot;\ #,##0.0_-;\ &quot;-&quot;_-;_-@_-"/>
    <numFmt numFmtId="208" formatCode="0%\ &quot;(Sample Size)&quot;"/>
    <numFmt numFmtId="209" formatCode="#,##0.00_ ;[Red]\-#,##0.00\ "/>
  </numFmts>
  <fonts count="107" x14ac:knownFonts="1">
    <font>
      <sz val="9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Trebuchet MS"/>
      <family val="2"/>
    </font>
    <font>
      <b/>
      <sz val="9"/>
      <color rgb="FF969696"/>
      <name val="Calibri"/>
      <family val="2"/>
    </font>
    <font>
      <b/>
      <sz val="9"/>
      <color rgb="FF969696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9"/>
      <color theme="3"/>
      <name val="Calibri"/>
      <family val="2"/>
      <scheme val="minor"/>
    </font>
    <font>
      <sz val="8"/>
      <color rgb="FF3F3F76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rgb="FF3F3F3F"/>
      <name val="Calibri"/>
      <family val="2"/>
      <scheme val="minor"/>
    </font>
    <font>
      <b/>
      <sz val="8"/>
      <color theme="6"/>
      <name val="Calibri"/>
      <family val="2"/>
      <scheme val="minor"/>
    </font>
    <font>
      <b/>
      <sz val="8"/>
      <color rgb="FF969696"/>
      <name val="Calibri"/>
      <family val="2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rgb="FF7F7F7F"/>
      <name val="Calibri"/>
      <family val="2"/>
      <scheme val="minor"/>
    </font>
    <font>
      <i/>
      <sz val="9"/>
      <color rgb="FF7F7F7F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8"/>
      <color rgb="FFFA7D0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</font>
    <font>
      <sz val="10"/>
      <color theme="0"/>
      <name val="Trebuchet MS"/>
      <family val="2"/>
    </font>
    <font>
      <sz val="10"/>
      <color rgb="FFFA7D00"/>
      <name val="Trebuchet MS"/>
      <family val="2"/>
    </font>
    <font>
      <b/>
      <sz val="10"/>
      <color rgb="FF00B050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2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3"/>
      <color theme="2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1"/>
      <name val="Century Gothic"/>
      <family val="2"/>
    </font>
    <font>
      <sz val="9"/>
      <color rgb="FFFA7D00"/>
      <name val="Calibri"/>
      <family val="2"/>
      <scheme val="minor"/>
    </font>
    <font>
      <b/>
      <sz val="9"/>
      <color theme="0"/>
      <name val="Trebuchet MS"/>
      <family val="2"/>
    </font>
    <font>
      <sz val="10"/>
      <color rgb="FFFF0000"/>
      <name val="Century Gothic"/>
      <family val="2"/>
    </font>
    <font>
      <sz val="9.8000000000000007"/>
      <color rgb="FFFF0000"/>
      <name val="Trebuchet MS"/>
      <family val="2"/>
    </font>
    <font>
      <sz val="14"/>
      <color theme="1"/>
      <name val="Century Gothic"/>
      <family val="2"/>
    </font>
    <font>
      <sz val="10"/>
      <color rgb="FF00B0F0"/>
      <name val="Century Gothic"/>
      <family val="2"/>
    </font>
    <font>
      <sz val="10"/>
      <color theme="1"/>
      <name val="Century Gothic"/>
      <family val="2"/>
    </font>
    <font>
      <b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sz val="10"/>
      <color theme="1"/>
      <name val="Trebuchet MS"/>
      <family val="2"/>
    </font>
    <font>
      <sz val="9"/>
      <color theme="1"/>
      <name val="Calibri"/>
      <family val="2"/>
      <scheme val="minor"/>
    </font>
    <font>
      <sz val="9"/>
      <color theme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6100"/>
      <name val="Trebuchet MS"/>
      <family val="2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</font>
    <font>
      <sz val="9"/>
      <color theme="0" tint="-4.9989318521683403E-2"/>
      <name val="Calibri"/>
      <family val="2"/>
      <scheme val="minor"/>
    </font>
    <font>
      <sz val="8"/>
      <color rgb="FF969696"/>
      <name val="Calibri"/>
      <family val="2"/>
    </font>
    <font>
      <sz val="9"/>
      <color rgb="FF969696"/>
      <name val="Calibri"/>
      <family val="2"/>
    </font>
    <font>
      <sz val="10"/>
      <color rgb="FFFA7D00"/>
      <name val="Calibri"/>
      <family val="2"/>
      <scheme val="minor"/>
    </font>
    <font>
      <sz val="11.5"/>
      <color theme="3"/>
      <name val="Calibri"/>
      <family val="2"/>
    </font>
    <font>
      <sz val="10"/>
      <color theme="3"/>
      <name val="Calibri"/>
      <family val="2"/>
    </font>
    <font>
      <u/>
      <sz val="9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3F3F76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A7D00"/>
      <name val="Calibri"/>
      <family val="2"/>
      <scheme val="minor"/>
    </font>
    <font>
      <sz val="9"/>
      <name val="Calibri"/>
      <family val="2"/>
      <scheme val="minor"/>
    </font>
    <font>
      <b/>
      <i/>
      <sz val="8"/>
      <color theme="1"/>
      <name val="Calibri"/>
      <family val="2"/>
    </font>
    <font>
      <b/>
      <i/>
      <sz val="9"/>
      <color theme="1"/>
      <name val="Calibri"/>
      <family val="2"/>
    </font>
    <font>
      <sz val="8.5"/>
      <color rgb="FFFA7D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lightGray"/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1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4"/>
      </top>
      <bottom style="double">
        <color theme="4"/>
      </bottom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3743705557422"/>
      </right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medium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 style="thin">
        <color theme="0" tint="-0.14996795556505021"/>
      </left>
      <right style="medium">
        <color theme="0" tint="-0.14996795556505021"/>
      </right>
      <top style="thin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/>
      <right/>
      <top style="medium">
        <color theme="0" tint="-0.14996795556505021"/>
      </top>
      <bottom style="thin">
        <color theme="4"/>
      </bottom>
      <diagonal/>
    </border>
    <border>
      <left style="thin">
        <color rgb="FF7F7F7F"/>
      </left>
      <right/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</borders>
  <cellStyleXfs count="43">
    <xf numFmtId="0" fontId="0" fillId="0" borderId="0"/>
    <xf numFmtId="9" fontId="6" fillId="0" borderId="0" applyFon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7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43" fillId="2" borderId="4" applyNumberFormat="0" applyAlignment="0">
      <protection locked="0"/>
    </xf>
    <xf numFmtId="0" fontId="25" fillId="3" borderId="5" applyNumberFormat="0" applyAlignment="0"/>
    <xf numFmtId="2" fontId="106" fillId="3" borderId="4" applyAlignment="0"/>
    <xf numFmtId="0" fontId="24" fillId="11" borderId="6" applyNumberFormat="0" applyAlignment="0">
      <protection locked="0"/>
    </xf>
    <xf numFmtId="0" fontId="36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14" fillId="4" borderId="0" applyNumberFormat="0" applyBorder="0" applyAlignment="0" applyProtection="0"/>
    <xf numFmtId="0" fontId="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164" fontId="16" fillId="0" borderId="0">
      <alignment horizontal="left" vertical="center"/>
    </xf>
    <xf numFmtId="165" fontId="16" fillId="0" borderId="0">
      <alignment horizontal="left" vertical="center"/>
    </xf>
    <xf numFmtId="166" fontId="17" fillId="0" borderId="0">
      <alignment horizontal="right" vertical="center"/>
    </xf>
    <xf numFmtId="167" fontId="16" fillId="0" borderId="0">
      <alignment horizontal="center" vertical="top" wrapText="1"/>
    </xf>
    <xf numFmtId="168" fontId="16" fillId="0" borderId="0">
      <alignment horizontal="center" vertical="top" wrapText="1"/>
    </xf>
    <xf numFmtId="0" fontId="21" fillId="0" borderId="0"/>
    <xf numFmtId="0" fontId="22" fillId="0" borderId="0" applyNumberFormat="0" applyFill="0" applyBorder="0" applyAlignment="0" applyProtection="0"/>
    <xf numFmtId="0" fontId="23" fillId="10" borderId="4" applyNumberFormat="0" applyAlignment="0">
      <protection locked="0"/>
    </xf>
    <xf numFmtId="169" fontId="11" fillId="0" borderId="0" applyFont="0" applyFill="0" applyBorder="0" applyAlignment="0" applyProtection="0"/>
    <xf numFmtId="0" fontId="26" fillId="12" borderId="10" applyNumberFormat="0" applyAlignment="0"/>
    <xf numFmtId="170" fontId="27" fillId="0" borderId="0">
      <alignment horizontal="left" vertical="center"/>
    </xf>
    <xf numFmtId="0" fontId="11" fillId="0" borderId="0" applyNumberFormat="0" applyFill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47" fillId="18" borderId="0" applyNumberFormat="0" applyBorder="0" applyAlignment="0" applyProtection="0"/>
    <xf numFmtId="0" fontId="15" fillId="21" borderId="47" applyNumberFormat="0" applyAlignment="0" applyProtection="0"/>
    <xf numFmtId="0" fontId="2" fillId="32" borderId="0" applyNumberFormat="0" applyBorder="0" applyAlignment="0" applyProtection="0"/>
    <xf numFmtId="0" fontId="87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5" borderId="0" applyNumberFormat="0" applyBorder="0" applyAlignment="0" applyProtection="0"/>
    <xf numFmtId="43" fontId="11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1" fillId="32" borderId="0" applyNumberFormat="0" applyBorder="0" applyAlignment="0" applyProtection="0"/>
  </cellStyleXfs>
  <cellXfs count="826">
    <xf numFmtId="0" fontId="0" fillId="0" borderId="0" xfId="0"/>
    <xf numFmtId="0" fontId="10" fillId="4" borderId="0" xfId="12" applyFont="1"/>
    <xf numFmtId="0" fontId="10" fillId="4" borderId="0" xfId="12" quotePrefix="1" applyFont="1" applyBorder="1" applyAlignment="1">
      <alignment horizontal="left"/>
    </xf>
    <xf numFmtId="0" fontId="10" fillId="4" borderId="0" xfId="12" applyFont="1" applyBorder="1" applyAlignment="1">
      <alignment horizontal="right" vertical="center"/>
    </xf>
    <xf numFmtId="0" fontId="19" fillId="0" borderId="2" xfId="3"/>
    <xf numFmtId="0" fontId="20" fillId="0" borderId="0" xfId="5"/>
    <xf numFmtId="0" fontId="36" fillId="0" borderId="0" xfId="10"/>
    <xf numFmtId="2" fontId="106" fillId="3" borderId="4" xfId="8"/>
    <xf numFmtId="0" fontId="0" fillId="11" borderId="9" xfId="9" applyFont="1" applyBorder="1">
      <protection locked="0"/>
    </xf>
    <xf numFmtId="0" fontId="43" fillId="2" borderId="4" xfId="6">
      <protection locked="0"/>
    </xf>
    <xf numFmtId="0" fontId="7" fillId="0" borderId="3" xfId="4"/>
    <xf numFmtId="0" fontId="11" fillId="0" borderId="0" xfId="0" applyFont="1"/>
    <xf numFmtId="0" fontId="22" fillId="0" borderId="0" xfId="24" applyFont="1"/>
    <xf numFmtId="0" fontId="0" fillId="0" borderId="0" xfId="0" applyFont="1"/>
    <xf numFmtId="0" fontId="20" fillId="0" borderId="0" xfId="5" applyFont="1"/>
    <xf numFmtId="0" fontId="28" fillId="9" borderId="0" xfId="17" applyFont="1"/>
    <xf numFmtId="0" fontId="14" fillId="6" borderId="0" xfId="14" applyFont="1"/>
    <xf numFmtId="0" fontId="14" fillId="7" borderId="0" xfId="15" applyFont="1"/>
    <xf numFmtId="0" fontId="28" fillId="8" borderId="0" xfId="16" applyFont="1"/>
    <xf numFmtId="0" fontId="19" fillId="0" borderId="2" xfId="3" applyFont="1"/>
    <xf numFmtId="0" fontId="18" fillId="0" borderId="1" xfId="2" applyFont="1"/>
    <xf numFmtId="0" fontId="43" fillId="2" borderId="4" xfId="6" applyProtection="1">
      <protection locked="0"/>
    </xf>
    <xf numFmtId="0" fontId="20" fillId="0" borderId="0" xfId="5" applyAlignment="1"/>
    <xf numFmtId="0" fontId="18" fillId="0" borderId="1" xfId="2"/>
    <xf numFmtId="0" fontId="14" fillId="4" borderId="0" xfId="12" applyAlignment="1">
      <alignment horizontal="left" vertical="top"/>
    </xf>
    <xf numFmtId="0" fontId="0" fillId="0" borderId="0" xfId="29" applyFont="1"/>
    <xf numFmtId="0" fontId="26" fillId="12" borderId="10" xfId="27"/>
    <xf numFmtId="0" fontId="25" fillId="3" borderId="5" xfId="7"/>
    <xf numFmtId="0" fontId="24" fillId="11" borderId="6" xfId="9">
      <protection locked="0"/>
    </xf>
    <xf numFmtId="0" fontId="23" fillId="10" borderId="4" xfId="25">
      <protection locked="0"/>
    </xf>
    <xf numFmtId="0" fontId="29" fillId="0" borderId="0" xfId="0" applyFont="1"/>
    <xf numFmtId="0" fontId="18" fillId="0" borderId="0" xfId="2" applyBorder="1"/>
    <xf numFmtId="0" fontId="20" fillId="0" borderId="0" xfId="2" applyFont="1" applyBorder="1"/>
    <xf numFmtId="0" fontId="7" fillId="0" borderId="0" xfId="2" applyFont="1" applyBorder="1"/>
    <xf numFmtId="0" fontId="30" fillId="0" borderId="0" xfId="0" applyFont="1"/>
    <xf numFmtId="0" fontId="8" fillId="4" borderId="0" xfId="12" applyFont="1"/>
    <xf numFmtId="0" fontId="7" fillId="0" borderId="0" xfId="4" applyBorder="1"/>
    <xf numFmtId="172" fontId="0" fillId="0" borderId="0" xfId="31" applyFont="1"/>
    <xf numFmtId="0" fontId="31" fillId="0" borderId="0" xfId="0" applyFont="1"/>
    <xf numFmtId="0" fontId="31" fillId="0" borderId="0" xfId="0" applyFont="1" applyFill="1" applyBorder="1"/>
    <xf numFmtId="172" fontId="23" fillId="2" borderId="4" xfId="31" applyFont="1" applyFill="1" applyBorder="1" applyProtection="1">
      <protection locked="0"/>
    </xf>
    <xf numFmtId="41" fontId="0" fillId="0" borderId="0" xfId="0" applyNumberFormat="1"/>
    <xf numFmtId="9" fontId="43" fillId="2" borderId="4" xfId="6" applyNumberFormat="1">
      <protection locked="0"/>
    </xf>
    <xf numFmtId="0" fontId="10" fillId="6" borderId="0" xfId="14" applyFont="1" applyBorder="1" applyAlignment="1">
      <alignment horizontal="right" vertical="center"/>
    </xf>
    <xf numFmtId="172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ont="1" applyFill="1" applyBorder="1"/>
    <xf numFmtId="0" fontId="36" fillId="0" borderId="0" xfId="10" applyAlignment="1">
      <alignment horizontal="center"/>
    </xf>
    <xf numFmtId="0" fontId="36" fillId="0" borderId="3" xfId="10" applyBorder="1" applyAlignment="1">
      <alignment horizontal="center"/>
    </xf>
    <xf numFmtId="0" fontId="35" fillId="0" borderId="0" xfId="10" applyFont="1" applyAlignment="1">
      <alignment horizontal="center"/>
    </xf>
    <xf numFmtId="0" fontId="35" fillId="0" borderId="3" xfId="10" applyFont="1" applyBorder="1" applyAlignment="1">
      <alignment horizontal="center"/>
    </xf>
    <xf numFmtId="0" fontId="35" fillId="0" borderId="0" xfId="10" applyFont="1" applyFill="1" applyBorder="1" applyAlignment="1">
      <alignment horizontal="center"/>
    </xf>
    <xf numFmtId="173" fontId="0" fillId="0" borderId="0" xfId="32" applyFont="1"/>
    <xf numFmtId="0" fontId="36" fillId="0" borderId="0" xfId="10" applyBorder="1" applyAlignment="1">
      <alignment horizontal="center"/>
    </xf>
    <xf numFmtId="0" fontId="37" fillId="0" borderId="0" xfId="0" applyFont="1"/>
    <xf numFmtId="0" fontId="37" fillId="0" borderId="0" xfId="0" applyFont="1" applyFill="1" applyBorder="1"/>
    <xf numFmtId="172" fontId="106" fillId="3" borderId="4" xfId="8" applyNumberFormat="1"/>
    <xf numFmtId="0" fontId="0" fillId="0" borderId="0" xfId="0"/>
    <xf numFmtId="0" fontId="0" fillId="0" borderId="0" xfId="0" applyAlignment="1">
      <alignment horizontal="left" indent="1"/>
    </xf>
    <xf numFmtId="0" fontId="36" fillId="0" borderId="2" xfId="10" applyBorder="1"/>
    <xf numFmtId="0" fontId="0" fillId="0" borderId="0" xfId="0" applyAlignment="1">
      <alignment horizontal="center"/>
    </xf>
    <xf numFmtId="0" fontId="39" fillId="0" borderId="0" xfId="0" applyFont="1"/>
    <xf numFmtId="0" fontId="40" fillId="0" borderId="0" xfId="0" applyFont="1"/>
    <xf numFmtId="0" fontId="0" fillId="0" borderId="0" xfId="0" applyFill="1"/>
    <xf numFmtId="0" fontId="23" fillId="10" borderId="0" xfId="25" applyBorder="1">
      <protection locked="0"/>
    </xf>
    <xf numFmtId="0" fontId="14" fillId="9" borderId="11" xfId="17" applyBorder="1"/>
    <xf numFmtId="0" fontId="0" fillId="0" borderId="0" xfId="0" applyFill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4" fillId="9" borderId="15" xfId="17" applyBorder="1"/>
    <xf numFmtId="0" fontId="14" fillId="9" borderId="16" xfId="17" applyBorder="1"/>
    <xf numFmtId="9" fontId="4" fillId="0" borderId="17" xfId="1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9" fontId="4" fillId="0" borderId="18" xfId="1" applyFont="1" applyBorder="1" applyAlignment="1">
      <alignment horizontal="center"/>
    </xf>
    <xf numFmtId="0" fontId="14" fillId="4" borderId="0" xfId="12"/>
    <xf numFmtId="0" fontId="41" fillId="0" borderId="0" xfId="0" applyFont="1"/>
    <xf numFmtId="0" fontId="13" fillId="0" borderId="0" xfId="0" applyFont="1"/>
    <xf numFmtId="0" fontId="14" fillId="4" borderId="0" xfId="12" applyBorder="1" applyAlignment="1">
      <alignment horizontal="right"/>
    </xf>
    <xf numFmtId="0" fontId="36" fillId="0" borderId="0" xfId="10" applyBorder="1"/>
    <xf numFmtId="0" fontId="0" fillId="0" borderId="0" xfId="0" applyFill="1"/>
    <xf numFmtId="172" fontId="0" fillId="0" borderId="0" xfId="31" applyNumberFormat="1" applyFont="1"/>
    <xf numFmtId="0" fontId="32" fillId="16" borderId="8" xfId="11" applyFill="1" applyBorder="1"/>
    <xf numFmtId="0" fontId="11" fillId="0" borderId="0" xfId="0" applyFont="1" applyAlignment="1">
      <alignment horizontal="center"/>
    </xf>
    <xf numFmtId="0" fontId="42" fillId="16" borderId="8" xfId="11" applyFont="1" applyFill="1" applyBorder="1" applyAlignment="1">
      <alignment horizontal="center"/>
    </xf>
    <xf numFmtId="173" fontId="32" fillId="16" borderId="8" xfId="32" applyFont="1" applyFill="1" applyBorder="1"/>
    <xf numFmtId="173" fontId="32" fillId="14" borderId="7" xfId="32" applyFont="1" applyFill="1" applyBorder="1"/>
    <xf numFmtId="0" fontId="32" fillId="17" borderId="7" xfId="11" applyFill="1" applyBorder="1"/>
    <xf numFmtId="0" fontId="42" fillId="17" borderId="7" xfId="11" applyFont="1" applyFill="1" applyBorder="1" applyAlignment="1">
      <alignment horizontal="center"/>
    </xf>
    <xf numFmtId="173" fontId="32" fillId="17" borderId="7" xfId="32" applyFont="1" applyFill="1" applyBorder="1"/>
    <xf numFmtId="172" fontId="0" fillId="0" borderId="0" xfId="31" applyFont="1" applyAlignment="1">
      <alignment horizontal="right"/>
    </xf>
    <xf numFmtId="172" fontId="0" fillId="14" borderId="0" xfId="31" applyFont="1" applyFill="1" applyAlignment="1">
      <alignment horizontal="right"/>
    </xf>
    <xf numFmtId="172" fontId="0" fillId="17" borderId="0" xfId="31" applyFont="1" applyFill="1" applyAlignment="1">
      <alignment horizontal="right"/>
    </xf>
    <xf numFmtId="172" fontId="0" fillId="0" borderId="0" xfId="0" applyNumberFormat="1" applyAlignment="1">
      <alignment horizontal="right"/>
    </xf>
    <xf numFmtId="172" fontId="0" fillId="17" borderId="0" xfId="0" applyNumberFormat="1" applyFill="1" applyAlignment="1">
      <alignment horizontal="right"/>
    </xf>
    <xf numFmtId="172" fontId="0" fillId="14" borderId="0" xfId="0" applyNumberFormat="1" applyFill="1" applyAlignment="1">
      <alignment horizontal="right"/>
    </xf>
    <xf numFmtId="174" fontId="43" fillId="2" borderId="4" xfId="6" applyNumberFormat="1" applyAlignment="1">
      <alignment horizontal="center" vertical="center"/>
      <protection locked="0"/>
    </xf>
    <xf numFmtId="0" fontId="32" fillId="17" borderId="8" xfId="11" applyFill="1" applyBorder="1"/>
    <xf numFmtId="172" fontId="32" fillId="16" borderId="8" xfId="11" applyNumberFormat="1" applyFill="1" applyBorder="1"/>
    <xf numFmtId="44" fontId="106" fillId="3" borderId="4" xfId="8" applyNumberFormat="1"/>
    <xf numFmtId="173" fontId="32" fillId="17" borderId="8" xfId="32" applyFont="1" applyFill="1" applyBorder="1"/>
    <xf numFmtId="173" fontId="32" fillId="14" borderId="7" xfId="32" applyFont="1" applyFill="1" applyBorder="1" applyProtection="1">
      <protection locked="0"/>
    </xf>
    <xf numFmtId="172" fontId="32" fillId="14" borderId="7" xfId="31" applyFont="1" applyFill="1" applyBorder="1"/>
    <xf numFmtId="9" fontId="0" fillId="14" borderId="0" xfId="1" applyFont="1" applyFill="1" applyAlignment="1">
      <alignment horizontal="center"/>
    </xf>
    <xf numFmtId="172" fontId="0" fillId="0" borderId="0" xfId="31" applyFont="1" applyAlignment="1">
      <alignment horizontal="center"/>
    </xf>
    <xf numFmtId="172" fontId="0" fillId="0" borderId="0" xfId="3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2" fontId="0" fillId="0" borderId="0" xfId="3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6" fillId="0" borderId="0" xfId="10" applyAlignment="1">
      <alignment horizontal="right"/>
    </xf>
    <xf numFmtId="0" fontId="33" fillId="0" borderId="0" xfId="0" applyFont="1"/>
    <xf numFmtId="0" fontId="32" fillId="0" borderId="0" xfId="11" applyFill="1" applyBorder="1"/>
    <xf numFmtId="172" fontId="32" fillId="0" borderId="0" xfId="31" applyFont="1" applyBorder="1"/>
    <xf numFmtId="44" fontId="0" fillId="0" borderId="0" xfId="0" applyNumberFormat="1"/>
    <xf numFmtId="173" fontId="0" fillId="0" borderId="0" xfId="32" applyFont="1" applyAlignment="1">
      <alignment horizontal="right"/>
    </xf>
    <xf numFmtId="174" fontId="4" fillId="0" borderId="0" xfId="32" applyNumberFormat="1" applyFont="1" applyFill="1" applyAlignment="1">
      <alignment horizontal="center" vertical="center"/>
    </xf>
    <xf numFmtId="174" fontId="4" fillId="0" borderId="18" xfId="32" applyNumberFormat="1" applyFont="1" applyFill="1" applyBorder="1" applyAlignment="1">
      <alignment horizontal="center" vertical="center"/>
    </xf>
    <xf numFmtId="9" fontId="0" fillId="0" borderId="0" xfId="1" applyFont="1"/>
    <xf numFmtId="175" fontId="0" fillId="0" borderId="0" xfId="31" applyNumberFormat="1" applyFont="1"/>
    <xf numFmtId="0" fontId="32" fillId="14" borderId="8" xfId="11" applyFill="1" applyBorder="1"/>
    <xf numFmtId="172" fontId="32" fillId="14" borderId="8" xfId="11" applyNumberFormat="1" applyFill="1" applyBorder="1"/>
    <xf numFmtId="0" fontId="31" fillId="14" borderId="0" xfId="0" applyFont="1" applyFill="1"/>
    <xf numFmtId="172" fontId="44" fillId="0" borderId="0" xfId="0" applyNumberFormat="1" applyFont="1"/>
    <xf numFmtId="1" fontId="0" fillId="0" borderId="0" xfId="31" applyNumberFormat="1" applyFont="1" applyAlignment="1">
      <alignment horizontal="center"/>
    </xf>
    <xf numFmtId="1" fontId="44" fillId="0" borderId="0" xfId="0" applyNumberFormat="1" applyFont="1" applyAlignment="1">
      <alignment horizontal="center"/>
    </xf>
    <xf numFmtId="14" fontId="0" fillId="0" borderId="0" xfId="0" applyNumberFormat="1"/>
    <xf numFmtId="0" fontId="28" fillId="15" borderId="22" xfId="0" applyFont="1" applyFill="1" applyBorder="1"/>
    <xf numFmtId="0" fontId="28" fillId="15" borderId="23" xfId="0" applyFont="1" applyFill="1" applyBorder="1"/>
    <xf numFmtId="172" fontId="32" fillId="16" borderId="8" xfId="31" applyFont="1" applyFill="1" applyBorder="1"/>
    <xf numFmtId="6" fontId="106" fillId="3" borderId="4" xfId="8" applyNumberFormat="1"/>
    <xf numFmtId="6" fontId="32" fillId="16" borderId="8" xfId="11" applyNumberFormat="1" applyFill="1" applyBorder="1"/>
    <xf numFmtId="9" fontId="0" fillId="0" borderId="0" xfId="1" applyFont="1" applyAlignment="1">
      <alignment horizontal="center"/>
    </xf>
    <xf numFmtId="6" fontId="32" fillId="0" borderId="7" xfId="11" applyNumberFormat="1"/>
    <xf numFmtId="172" fontId="0" fillId="0" borderId="0" xfId="0" applyNumberFormat="1" applyFont="1"/>
    <xf numFmtId="176" fontId="0" fillId="0" borderId="0" xfId="33" applyNumberFormat="1" applyFont="1" applyAlignment="1">
      <alignment horizontal="center"/>
    </xf>
    <xf numFmtId="0" fontId="0" fillId="0" borderId="0" xfId="0" applyAlignment="1">
      <alignment horizontal="left"/>
    </xf>
    <xf numFmtId="0" fontId="36" fillId="0" borderId="3" xfId="10" applyBorder="1"/>
    <xf numFmtId="176" fontId="0" fillId="0" borderId="0" xfId="0" applyNumberFormat="1"/>
    <xf numFmtId="0" fontId="0" fillId="0" borderId="0" xfId="0" applyFill="1" applyBorder="1"/>
    <xf numFmtId="9" fontId="38" fillId="3" borderId="4" xfId="1" applyFont="1" applyFill="1" applyBorder="1" applyAlignment="1">
      <alignment horizontal="center"/>
    </xf>
    <xf numFmtId="171" fontId="0" fillId="0" borderId="0" xfId="0" applyNumberFormat="1"/>
    <xf numFmtId="176" fontId="38" fillId="3" borderId="4" xfId="33" applyNumberFormat="1" applyFont="1" applyFill="1" applyBorder="1"/>
    <xf numFmtId="0" fontId="45" fillId="0" borderId="0" xfId="4" applyFont="1" applyBorder="1"/>
    <xf numFmtId="173" fontId="0" fillId="0" borderId="0" xfId="32" applyFont="1" applyAlignment="1">
      <alignment horizontal="center"/>
    </xf>
    <xf numFmtId="1" fontId="0" fillId="0" borderId="0" xfId="0" applyNumberFormat="1"/>
    <xf numFmtId="0" fontId="43" fillId="2" borderId="4" xfId="6" applyAlignment="1">
      <alignment horizontal="center"/>
      <protection locked="0"/>
    </xf>
    <xf numFmtId="0" fontId="36" fillId="0" borderId="0" xfId="10" applyFill="1" applyBorder="1" applyAlignment="1">
      <alignment horizontal="center"/>
    </xf>
    <xf numFmtId="170" fontId="36" fillId="0" borderId="0" xfId="10" applyNumberFormat="1" applyAlignment="1">
      <alignment horizontal="left" vertical="center"/>
    </xf>
    <xf numFmtId="173" fontId="106" fillId="3" borderId="4" xfId="8" applyNumberFormat="1"/>
    <xf numFmtId="0" fontId="36" fillId="16" borderId="8" xfId="10" applyFill="1" applyBorder="1" applyAlignment="1">
      <alignment horizontal="center"/>
    </xf>
    <xf numFmtId="172" fontId="38" fillId="3" borderId="4" xfId="31" applyFont="1" applyFill="1" applyBorder="1"/>
    <xf numFmtId="0" fontId="20" fillId="0" borderId="0" xfId="5" applyAlignment="1">
      <alignment vertical="top"/>
    </xf>
    <xf numFmtId="0" fontId="0" fillId="0" borderId="0" xfId="0" applyAlignment="1">
      <alignment vertical="top"/>
    </xf>
    <xf numFmtId="0" fontId="12" fillId="0" borderId="0" xfId="0" applyFont="1"/>
    <xf numFmtId="14" fontId="0" fillId="0" borderId="0" xfId="0" applyNumberFormat="1" applyAlignment="1">
      <alignment horizontal="center" vertical="center"/>
    </xf>
    <xf numFmtId="9" fontId="38" fillId="3" borderId="4" xfId="1" applyFont="1" applyFill="1" applyBorder="1"/>
    <xf numFmtId="0" fontId="41" fillId="0" borderId="0" xfId="0" applyFont="1" applyFill="1" applyBorder="1"/>
    <xf numFmtId="0" fontId="35" fillId="0" borderId="0" xfId="10" applyFont="1" applyAlignment="1">
      <alignment horizontal="left"/>
    </xf>
    <xf numFmtId="43" fontId="0" fillId="0" borderId="0" xfId="0" applyNumberFormat="1"/>
    <xf numFmtId="9" fontId="106" fillId="3" borderId="4" xfId="8" applyNumberFormat="1"/>
    <xf numFmtId="172" fontId="46" fillId="16" borderId="8" xfId="11" applyNumberFormat="1" applyFont="1" applyFill="1" applyBorder="1"/>
    <xf numFmtId="0" fontId="31" fillId="0" borderId="0" xfId="0" applyFont="1" applyAlignment="1">
      <alignment horizontal="right"/>
    </xf>
    <xf numFmtId="172" fontId="44" fillId="0" borderId="0" xfId="31" applyFont="1" applyAlignment="1">
      <alignment horizontal="right"/>
    </xf>
    <xf numFmtId="172" fontId="44" fillId="14" borderId="0" xfId="31" applyNumberFormat="1" applyFont="1" applyFill="1" applyAlignment="1">
      <alignment horizontal="right"/>
    </xf>
    <xf numFmtId="9" fontId="44" fillId="14" borderId="0" xfId="1" applyFont="1" applyFill="1" applyAlignment="1">
      <alignment horizontal="center"/>
    </xf>
    <xf numFmtId="173" fontId="44" fillId="0" borderId="0" xfId="0" applyNumberFormat="1" applyFont="1"/>
    <xf numFmtId="0" fontId="0" fillId="0" borderId="0" xfId="0" applyAlignment="1">
      <alignment horizontal="right" vertical="center" wrapText="1"/>
    </xf>
    <xf numFmtId="0" fontId="32" fillId="16" borderId="0" xfId="11" applyFill="1" applyBorder="1"/>
    <xf numFmtId="172" fontId="32" fillId="16" borderId="0" xfId="11" applyNumberFormat="1" applyFill="1" applyBorder="1"/>
    <xf numFmtId="0" fontId="0" fillId="11" borderId="0" xfId="9" applyFont="1" applyBorder="1">
      <protection locked="0"/>
    </xf>
    <xf numFmtId="172" fontId="0" fillId="0" borderId="0" xfId="31" applyFont="1" applyAlignment="1">
      <alignment horizontal="left"/>
    </xf>
    <xf numFmtId="0" fontId="10" fillId="4" borderId="28" xfId="12" applyFont="1" applyBorder="1" applyAlignment="1">
      <alignment horizontal="center"/>
    </xf>
    <xf numFmtId="0" fontId="10" fillId="4" borderId="27" xfId="12" applyFont="1" applyBorder="1" applyAlignment="1">
      <alignment horizontal="center"/>
    </xf>
    <xf numFmtId="0" fontId="10" fillId="4" borderId="29" xfId="12" applyFont="1" applyBorder="1" applyAlignment="1">
      <alignment horizontal="center"/>
    </xf>
    <xf numFmtId="0" fontId="10" fillId="4" borderId="29" xfId="12" applyFont="1" applyBorder="1" applyAlignment="1">
      <alignment horizontal="left" indent="1"/>
    </xf>
    <xf numFmtId="0" fontId="10" fillId="4" borderId="34" xfId="12" applyFont="1" applyBorder="1" applyAlignment="1">
      <alignment horizontal="center"/>
    </xf>
    <xf numFmtId="0" fontId="31" fillId="0" borderId="0" xfId="0" applyFont="1" applyAlignment="1">
      <alignment horizontal="right" indent="1"/>
    </xf>
    <xf numFmtId="0" fontId="10" fillId="18" borderId="25" xfId="34" applyFont="1" applyBorder="1" applyAlignment="1">
      <alignment horizontal="center"/>
    </xf>
    <xf numFmtId="0" fontId="10" fillId="18" borderId="26" xfId="34" applyFont="1" applyBorder="1" applyAlignment="1">
      <alignment horizontal="center"/>
    </xf>
    <xf numFmtId="0" fontId="18" fillId="0" borderId="0" xfId="2" applyFont="1" applyBorder="1"/>
    <xf numFmtId="0" fontId="34" fillId="0" borderId="0" xfId="0" applyFont="1"/>
    <xf numFmtId="0" fontId="23" fillId="10" borderId="4" xfId="25" applyFont="1" applyAlignment="1">
      <alignment horizontal="left" indent="1"/>
      <protection locked="0"/>
    </xf>
    <xf numFmtId="0" fontId="34" fillId="0" borderId="0" xfId="0" applyFont="1" applyBorder="1"/>
    <xf numFmtId="0" fontId="34" fillId="0" borderId="35" xfId="0" applyFont="1" applyBorder="1" applyAlignment="1">
      <alignment horizontal="right" indent="2"/>
    </xf>
    <xf numFmtId="0" fontId="34" fillId="0" borderId="32" xfId="0" applyFont="1" applyBorder="1" applyAlignment="1">
      <alignment horizontal="right" indent="2"/>
    </xf>
    <xf numFmtId="0" fontId="34" fillId="0" borderId="30" xfId="0" applyFont="1" applyBorder="1" applyAlignment="1">
      <alignment horizontal="right" indent="2"/>
    </xf>
    <xf numFmtId="0" fontId="34" fillId="0" borderId="37" xfId="0" applyFont="1" applyBorder="1" applyAlignment="1">
      <alignment horizontal="right" indent="2"/>
    </xf>
    <xf numFmtId="172" fontId="36" fillId="0" borderId="32" xfId="10" applyNumberFormat="1" applyFont="1" applyFill="1" applyBorder="1" applyAlignment="1">
      <alignment horizontal="right" indent="2"/>
    </xf>
    <xf numFmtId="174" fontId="36" fillId="0" borderId="37" xfId="10" applyNumberFormat="1" applyFont="1" applyBorder="1" applyAlignment="1">
      <alignment horizontal="right" indent="2"/>
    </xf>
    <xf numFmtId="174" fontId="38" fillId="3" borderId="0" xfId="8" applyNumberFormat="1" applyFont="1" applyBorder="1"/>
    <xf numFmtId="172" fontId="36" fillId="0" borderId="32" xfId="10" applyNumberFormat="1" applyFont="1" applyBorder="1" applyAlignment="1">
      <alignment horizontal="right" indent="2"/>
    </xf>
    <xf numFmtId="0" fontId="36" fillId="0" borderId="37" xfId="10" applyFont="1" applyBorder="1" applyAlignment="1">
      <alignment horizontal="right" indent="2"/>
    </xf>
    <xf numFmtId="172" fontId="36" fillId="19" borderId="32" xfId="10" applyNumberFormat="1" applyFont="1" applyFill="1" applyBorder="1" applyAlignment="1">
      <alignment horizontal="right" indent="2"/>
    </xf>
    <xf numFmtId="172" fontId="36" fillId="19" borderId="37" xfId="10" applyNumberFormat="1" applyFont="1" applyFill="1" applyBorder="1" applyAlignment="1">
      <alignment horizontal="right" indent="2"/>
    </xf>
    <xf numFmtId="174" fontId="34" fillId="0" borderId="0" xfId="32" applyNumberFormat="1" applyFont="1" applyBorder="1"/>
    <xf numFmtId="0" fontId="34" fillId="0" borderId="0" xfId="0" applyFont="1" applyFill="1"/>
    <xf numFmtId="0" fontId="34" fillId="0" borderId="0" xfId="0" applyFont="1" applyAlignment="1">
      <alignment horizontal="center"/>
    </xf>
    <xf numFmtId="0" fontId="31" fillId="0" borderId="7" xfId="11" applyFont="1"/>
    <xf numFmtId="173" fontId="31" fillId="20" borderId="36" xfId="32" applyFont="1" applyFill="1" applyBorder="1" applyAlignment="1">
      <alignment horizontal="right" indent="2"/>
    </xf>
    <xf numFmtId="0" fontId="31" fillId="20" borderId="33" xfId="11" applyFont="1" applyFill="1" applyBorder="1" applyAlignment="1">
      <alignment horizontal="right" indent="2"/>
    </xf>
    <xf numFmtId="0" fontId="31" fillId="20" borderId="31" xfId="11" applyFont="1" applyFill="1" applyBorder="1" applyAlignment="1">
      <alignment horizontal="right" indent="2"/>
    </xf>
    <xf numFmtId="0" fontId="24" fillId="11" borderId="38" xfId="9" applyBorder="1">
      <protection locked="0"/>
    </xf>
    <xf numFmtId="0" fontId="24" fillId="11" borderId="24" xfId="9" applyBorder="1">
      <protection locked="0"/>
    </xf>
    <xf numFmtId="0" fontId="24" fillId="11" borderId="9" xfId="9" applyBorder="1">
      <protection locked="0"/>
    </xf>
    <xf numFmtId="177" fontId="43" fillId="2" borderId="4" xfId="31" applyNumberFormat="1" applyFont="1" applyFill="1" applyBorder="1" applyAlignment="1" applyProtection="1">
      <alignment horizontal="center"/>
      <protection locked="0"/>
    </xf>
    <xf numFmtId="177" fontId="0" fillId="0" borderId="0" xfId="31" applyNumberFormat="1" applyFont="1" applyAlignment="1">
      <alignment horizontal="center"/>
    </xf>
    <xf numFmtId="174" fontId="43" fillId="2" borderId="4" xfId="32" applyNumberFormat="1" applyFont="1" applyFill="1" applyBorder="1" applyAlignment="1" applyProtection="1">
      <alignment horizontal="center"/>
      <protection locked="0"/>
    </xf>
    <xf numFmtId="174" fontId="0" fillId="0" borderId="0" xfId="32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174" fontId="0" fillId="0" borderId="0" xfId="32" applyNumberFormat="1" applyFont="1" applyAlignment="1">
      <alignment horizontal="center" vertical="center"/>
    </xf>
    <xf numFmtId="0" fontId="36" fillId="0" borderId="0" xfId="10" applyAlignment="1">
      <alignment horizontal="center" vertical="center" wrapText="1"/>
    </xf>
    <xf numFmtId="172" fontId="24" fillId="11" borderId="9" xfId="9" applyNumberFormat="1" applyBorder="1">
      <protection locked="0"/>
    </xf>
    <xf numFmtId="173" fontId="43" fillId="2" borderId="4" xfId="6" applyNumberFormat="1" applyBorder="1" applyAlignment="1">
      <alignment horizontal="center" vertical="center"/>
      <protection locked="0"/>
    </xf>
    <xf numFmtId="0" fontId="14" fillId="9" borderId="44" xfId="17" applyBorder="1"/>
    <xf numFmtId="0" fontId="14" fillId="9" borderId="46" xfId="17" applyBorder="1"/>
    <xf numFmtId="0" fontId="0" fillId="11" borderId="9" xfId="9" applyFont="1" applyBorder="1">
      <protection locked="0"/>
    </xf>
    <xf numFmtId="178" fontId="29" fillId="0" borderId="0" xfId="0" applyNumberFormat="1" applyFont="1"/>
    <xf numFmtId="0" fontId="29" fillId="0" borderId="0" xfId="0" applyFont="1" applyAlignment="1">
      <alignment horizontal="right"/>
    </xf>
    <xf numFmtId="179" fontId="29" fillId="0" borderId="0" xfId="0" applyNumberFormat="1" applyFont="1"/>
    <xf numFmtId="43" fontId="29" fillId="0" borderId="0" xfId="0" applyNumberFormat="1" applyFont="1"/>
    <xf numFmtId="0" fontId="49" fillId="0" borderId="0" xfId="0" applyFont="1"/>
    <xf numFmtId="180" fontId="13" fillId="22" borderId="0" xfId="0" applyNumberFormat="1" applyFont="1" applyFill="1"/>
    <xf numFmtId="0" fontId="29" fillId="22" borderId="0" xfId="0" applyFont="1" applyFill="1"/>
    <xf numFmtId="0" fontId="13" fillId="22" borderId="0" xfId="0" applyFont="1" applyFill="1"/>
    <xf numFmtId="0" fontId="50" fillId="23" borderId="0" xfId="0" applyFont="1" applyFill="1" applyAlignment="1">
      <alignment horizontal="center"/>
    </xf>
    <xf numFmtId="0" fontId="50" fillId="23" borderId="0" xfId="0" applyFont="1" applyFill="1"/>
    <xf numFmtId="0" fontId="51" fillId="24" borderId="0" xfId="0" applyFont="1" applyFill="1"/>
    <xf numFmtId="0" fontId="51" fillId="24" borderId="0" xfId="0" applyFont="1" applyFill="1" applyAlignment="1">
      <alignment horizontal="center"/>
    </xf>
    <xf numFmtId="0" fontId="52" fillId="24" borderId="2" xfId="3" applyFont="1" applyFill="1"/>
    <xf numFmtId="180" fontId="13" fillId="0" borderId="0" xfId="0" applyNumberFormat="1" applyFont="1"/>
    <xf numFmtId="181" fontId="13" fillId="0" borderId="0" xfId="0" applyNumberFormat="1" applyFont="1"/>
    <xf numFmtId="180" fontId="29" fillId="0" borderId="0" xfId="0" applyNumberFormat="1" applyFont="1"/>
    <xf numFmtId="181" fontId="29" fillId="0" borderId="0" xfId="0" applyNumberFormat="1" applyFont="1"/>
    <xf numFmtId="180" fontId="29" fillId="25" borderId="0" xfId="0" applyNumberFormat="1" applyFont="1" applyFill="1"/>
    <xf numFmtId="181" fontId="29" fillId="25" borderId="0" xfId="0" applyNumberFormat="1" applyFont="1" applyFill="1"/>
    <xf numFmtId="0" fontId="51" fillId="26" borderId="0" xfId="0" applyFont="1" applyFill="1"/>
    <xf numFmtId="0" fontId="51" fillId="26" borderId="0" xfId="0" applyFont="1" applyFill="1" applyAlignment="1">
      <alignment horizontal="center"/>
    </xf>
    <xf numFmtId="0" fontId="53" fillId="26" borderId="2" xfId="3" applyFont="1" applyFill="1"/>
    <xf numFmtId="178" fontId="29" fillId="27" borderId="0" xfId="0" applyNumberFormat="1" applyFont="1" applyFill="1"/>
    <xf numFmtId="178" fontId="29" fillId="0" borderId="0" xfId="0" applyNumberFormat="1" applyFont="1" applyBorder="1"/>
    <xf numFmtId="178" fontId="29" fillId="0" borderId="48" xfId="0" applyNumberFormat="1" applyFont="1" applyBorder="1"/>
    <xf numFmtId="43" fontId="48" fillId="3" borderId="4" xfId="8" applyNumberFormat="1" applyFont="1"/>
    <xf numFmtId="178" fontId="29" fillId="27" borderId="0" xfId="0" applyNumberFormat="1" applyFont="1" applyFill="1" applyBorder="1"/>
    <xf numFmtId="10" fontId="48" fillId="3" borderId="4" xfId="8" applyNumberFormat="1" applyFont="1"/>
    <xf numFmtId="178" fontId="29" fillId="0" borderId="49" xfId="0" applyNumberFormat="1" applyFont="1" applyBorder="1"/>
    <xf numFmtId="178" fontId="29" fillId="0" borderId="50" xfId="0" applyNumberFormat="1" applyFont="1" applyBorder="1"/>
    <xf numFmtId="180" fontId="13" fillId="0" borderId="0" xfId="0" applyNumberFormat="1" applyFont="1" applyBorder="1"/>
    <xf numFmtId="180" fontId="13" fillId="0" borderId="48" xfId="0" applyNumberFormat="1" applyFont="1" applyBorder="1"/>
    <xf numFmtId="180" fontId="29" fillId="0" borderId="0" xfId="0" applyNumberFormat="1" applyFont="1" applyBorder="1"/>
    <xf numFmtId="180" fontId="29" fillId="0" borderId="48" xfId="0" applyNumberFormat="1" applyFont="1" applyBorder="1"/>
    <xf numFmtId="180" fontId="29" fillId="0" borderId="49" xfId="0" applyNumberFormat="1" applyFont="1" applyBorder="1"/>
    <xf numFmtId="180" fontId="29" fillId="0" borderId="50" xfId="0" applyNumberFormat="1" applyFont="1" applyBorder="1"/>
    <xf numFmtId="180" fontId="13" fillId="0" borderId="49" xfId="0" applyNumberFormat="1" applyFont="1" applyBorder="1"/>
    <xf numFmtId="180" fontId="13" fillId="0" borderId="50" xfId="0" applyNumberFormat="1" applyFont="1" applyBorder="1"/>
    <xf numFmtId="182" fontId="29" fillId="0" borderId="0" xfId="0" applyNumberFormat="1" applyFont="1" applyBorder="1"/>
    <xf numFmtId="182" fontId="29" fillId="0" borderId="48" xfId="0" applyNumberFormat="1" applyFont="1" applyBorder="1"/>
    <xf numFmtId="43" fontId="29" fillId="0" borderId="49" xfId="0" applyNumberFormat="1" applyFont="1" applyBorder="1"/>
    <xf numFmtId="10" fontId="48" fillId="3" borderId="4" xfId="8" applyNumberFormat="1" applyFont="1" applyAlignment="1">
      <alignment horizontal="center"/>
    </xf>
    <xf numFmtId="183" fontId="29" fillId="0" borderId="0" xfId="0" applyNumberFormat="1" applyFont="1"/>
    <xf numFmtId="0" fontId="54" fillId="0" borderId="0" xfId="0" applyFont="1"/>
    <xf numFmtId="179" fontId="55" fillId="28" borderId="0" xfId="0" applyNumberFormat="1" applyFont="1" applyFill="1"/>
    <xf numFmtId="0" fontId="55" fillId="28" borderId="0" xfId="0" applyFont="1" applyFill="1"/>
    <xf numFmtId="0" fontId="56" fillId="28" borderId="0" xfId="0" applyFont="1" applyFill="1" applyAlignment="1">
      <alignment horizontal="right"/>
    </xf>
    <xf numFmtId="179" fontId="56" fillId="28" borderId="0" xfId="0" applyNumberFormat="1" applyFont="1" applyFill="1" applyAlignment="1">
      <alignment horizontal="right"/>
    </xf>
    <xf numFmtId="0" fontId="56" fillId="29" borderId="51" xfId="0" applyFont="1" applyFill="1" applyBorder="1" applyAlignment="1">
      <alignment horizontal="right"/>
    </xf>
    <xf numFmtId="0" fontId="57" fillId="28" borderId="0" xfId="0" applyFont="1" applyFill="1" applyAlignment="1">
      <alignment horizontal="left"/>
    </xf>
    <xf numFmtId="0" fontId="58" fillId="28" borderId="52" xfId="0" applyFont="1" applyFill="1" applyBorder="1" applyAlignment="1">
      <alignment vertical="center" textRotation="255"/>
    </xf>
    <xf numFmtId="0" fontId="57" fillId="28" borderId="0" xfId="0" applyFont="1" applyFill="1" applyAlignment="1">
      <alignment horizontal="right"/>
    </xf>
    <xf numFmtId="0" fontId="56" fillId="28" borderId="41" xfId="0" applyFont="1" applyFill="1" applyBorder="1" applyAlignment="1">
      <alignment horizontal="right"/>
    </xf>
    <xf numFmtId="0" fontId="58" fillId="28" borderId="41" xfId="0" applyFont="1" applyFill="1" applyBorder="1" applyAlignment="1">
      <alignment vertical="center" textRotation="255"/>
    </xf>
    <xf numFmtId="179" fontId="56" fillId="28" borderId="53" xfId="0" applyNumberFormat="1" applyFont="1" applyFill="1" applyBorder="1" applyAlignment="1">
      <alignment horizontal="right"/>
    </xf>
    <xf numFmtId="171" fontId="55" fillId="0" borderId="53" xfId="0" applyNumberFormat="1" applyFont="1" applyFill="1" applyBorder="1"/>
    <xf numFmtId="0" fontId="58" fillId="28" borderId="53" xfId="0" applyFont="1" applyFill="1" applyBorder="1" applyAlignment="1">
      <alignment horizontal="right"/>
    </xf>
    <xf numFmtId="0" fontId="58" fillId="28" borderId="0" xfId="0" applyFont="1" applyFill="1" applyAlignment="1">
      <alignment horizontal="right"/>
    </xf>
    <xf numFmtId="2" fontId="29" fillId="0" borderId="11" xfId="0" applyNumberFormat="1" applyFont="1" applyFill="1" applyBorder="1"/>
    <xf numFmtId="2" fontId="13" fillId="0" borderId="0" xfId="0" applyNumberFormat="1" applyFont="1" applyFill="1"/>
    <xf numFmtId="0" fontId="59" fillId="0" borderId="2" xfId="3" applyFont="1" applyFill="1"/>
    <xf numFmtId="2" fontId="29" fillId="0" borderId="0" xfId="0" applyNumberFormat="1" applyFont="1" applyFill="1"/>
    <xf numFmtId="2" fontId="29" fillId="0" borderId="0" xfId="0" applyNumberFormat="1" applyFont="1"/>
    <xf numFmtId="184" fontId="29" fillId="0" borderId="0" xfId="0" applyNumberFormat="1" applyFont="1"/>
    <xf numFmtId="0" fontId="43" fillId="2" borderId="4" xfId="6" applyAlignment="1">
      <alignment horizontal="right"/>
      <protection locked="0"/>
    </xf>
    <xf numFmtId="179" fontId="13" fillId="0" borderId="0" xfId="0" applyNumberFormat="1" applyFont="1"/>
    <xf numFmtId="17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3" fillId="0" borderId="0" xfId="0" applyFont="1" applyFill="1"/>
    <xf numFmtId="0" fontId="50" fillId="0" borderId="0" xfId="0" applyFont="1" applyFill="1" applyAlignment="1">
      <alignment horizontal="center"/>
    </xf>
    <xf numFmtId="0" fontId="50" fillId="0" borderId="0" xfId="0" applyFont="1" applyFill="1"/>
    <xf numFmtId="185" fontId="29" fillId="0" borderId="0" xfId="0" applyNumberFormat="1" applyFont="1"/>
    <xf numFmtId="9" fontId="29" fillId="0" borderId="0" xfId="0" applyNumberFormat="1" applyFont="1"/>
    <xf numFmtId="10" fontId="29" fillId="0" borderId="0" xfId="0" applyNumberFormat="1" applyFont="1"/>
    <xf numFmtId="185" fontId="29" fillId="0" borderId="0" xfId="0" applyNumberFormat="1" applyFont="1"/>
    <xf numFmtId="0" fontId="60" fillId="23" borderId="0" xfId="0" applyFont="1" applyFill="1" applyAlignment="1">
      <alignment horizontal="center"/>
    </xf>
    <xf numFmtId="0" fontId="60" fillId="23" borderId="0" xfId="0" applyFont="1" applyFill="1"/>
    <xf numFmtId="0" fontId="6" fillId="13" borderId="0" xfId="0" applyFont="1" applyFill="1" applyAlignment="1">
      <alignment horizontal="center"/>
    </xf>
    <xf numFmtId="186" fontId="29" fillId="0" borderId="0" xfId="0" applyNumberFormat="1" applyFont="1" applyFill="1"/>
    <xf numFmtId="0" fontId="29" fillId="30" borderId="0" xfId="0" applyFont="1" applyFill="1"/>
    <xf numFmtId="0" fontId="61" fillId="30" borderId="0" xfId="0" applyFont="1" applyFill="1"/>
    <xf numFmtId="186" fontId="29" fillId="30" borderId="0" xfId="0" applyNumberFormat="1" applyFont="1" applyFill="1"/>
    <xf numFmtId="179" fontId="30" fillId="0" borderId="53" xfId="0" applyNumberFormat="1" applyFont="1" applyBorder="1"/>
    <xf numFmtId="179" fontId="30" fillId="0" borderId="53" xfId="0" applyNumberFormat="1" applyFont="1" applyBorder="1" applyAlignment="1">
      <alignment horizontal="right"/>
    </xf>
    <xf numFmtId="0" fontId="29" fillId="0" borderId="53" xfId="0" applyFont="1" applyBorder="1"/>
    <xf numFmtId="0" fontId="29" fillId="0" borderId="54" xfId="0" applyFont="1" applyBorder="1"/>
    <xf numFmtId="179" fontId="30" fillId="0" borderId="55" xfId="0" applyNumberFormat="1" applyFont="1" applyBorder="1"/>
    <xf numFmtId="179" fontId="30" fillId="0" borderId="0" xfId="0" applyNumberFormat="1" applyFont="1" applyBorder="1" applyAlignment="1">
      <alignment horizontal="right"/>
    </xf>
    <xf numFmtId="0" fontId="29" fillId="0" borderId="0" xfId="0" applyFont="1" applyBorder="1"/>
    <xf numFmtId="0" fontId="29" fillId="0" borderId="56" xfId="0" applyFont="1" applyBorder="1"/>
    <xf numFmtId="0" fontId="50" fillId="23" borderId="0" xfId="0" applyFont="1" applyFill="1" applyBorder="1" applyAlignment="1">
      <alignment horizontal="center"/>
    </xf>
    <xf numFmtId="0" fontId="51" fillId="23" borderId="0" xfId="0" applyFont="1" applyFill="1" applyBorder="1"/>
    <xf numFmtId="0" fontId="60" fillId="23" borderId="56" xfId="0" applyFont="1" applyFill="1" applyBorder="1"/>
    <xf numFmtId="0" fontId="50" fillId="23" borderId="41" xfId="0" applyFont="1" applyFill="1" applyBorder="1" applyAlignment="1">
      <alignment horizontal="center"/>
    </xf>
    <xf numFmtId="0" fontId="51" fillId="23" borderId="41" xfId="0" applyFont="1" applyFill="1" applyBorder="1"/>
    <xf numFmtId="0" fontId="52" fillId="23" borderId="57" xfId="0" applyFont="1" applyFill="1" applyBorder="1"/>
    <xf numFmtId="179" fontId="29" fillId="0" borderId="0" xfId="0" applyNumberFormat="1" applyFont="1" applyBorder="1"/>
    <xf numFmtId="0" fontId="59" fillId="0" borderId="56" xfId="3" applyFont="1" applyFill="1" applyBorder="1"/>
    <xf numFmtId="10" fontId="29" fillId="0" borderId="0" xfId="0" applyNumberFormat="1" applyFont="1"/>
    <xf numFmtId="0" fontId="13" fillId="0" borderId="56" xfId="0" applyFont="1" applyBorder="1" applyAlignment="1">
      <alignment horizontal="left" wrapText="1"/>
    </xf>
    <xf numFmtId="0" fontId="13" fillId="0" borderId="56" xfId="0" applyFont="1" applyBorder="1" applyAlignment="1">
      <alignment wrapText="1"/>
    </xf>
    <xf numFmtId="0" fontId="62" fillId="0" borderId="56" xfId="0" applyFont="1" applyBorder="1"/>
    <xf numFmtId="0" fontId="62" fillId="0" borderId="0" xfId="0" applyFont="1"/>
    <xf numFmtId="0" fontId="9" fillId="28" borderId="0" xfId="0" applyFont="1" applyFill="1" applyProtection="1">
      <protection locked="0"/>
    </xf>
    <xf numFmtId="0" fontId="9" fillId="28" borderId="56" xfId="0" applyFont="1" applyFill="1" applyBorder="1" applyProtection="1">
      <protection locked="0"/>
    </xf>
    <xf numFmtId="0" fontId="63" fillId="31" borderId="0" xfId="0" applyFont="1" applyFill="1"/>
    <xf numFmtId="0" fontId="63" fillId="31" borderId="0" xfId="0" applyFont="1" applyFill="1" applyBorder="1"/>
    <xf numFmtId="44" fontId="29" fillId="0" borderId="0" xfId="0" applyNumberFormat="1" applyFont="1"/>
    <xf numFmtId="0" fontId="29" fillId="0" borderId="0" xfId="0" applyFont="1" applyBorder="1"/>
    <xf numFmtId="0" fontId="64" fillId="0" borderId="0" xfId="0" applyFont="1"/>
    <xf numFmtId="188" fontId="29" fillId="0" borderId="0" xfId="0" applyNumberFormat="1" applyFont="1" applyBorder="1"/>
    <xf numFmtId="0" fontId="29" fillId="0" borderId="0" xfId="0" applyFont="1"/>
    <xf numFmtId="0" fontId="0" fillId="0" borderId="0" xfId="0" applyFont="1"/>
    <xf numFmtId="0" fontId="29" fillId="0" borderId="58" xfId="0" applyFont="1" applyBorder="1"/>
    <xf numFmtId="0" fontId="29" fillId="0" borderId="59" xfId="0" applyFont="1" applyBorder="1"/>
    <xf numFmtId="0" fontId="29" fillId="0" borderId="60" xfId="0" applyFont="1" applyBorder="1"/>
    <xf numFmtId="189" fontId="65" fillId="0" borderId="61" xfId="0" applyNumberFormat="1" applyFont="1" applyBorder="1" applyAlignment="1">
      <alignment horizontal="right" vertical="center" wrapText="1" readingOrder="1"/>
    </xf>
    <xf numFmtId="189" fontId="65" fillId="0" borderId="13" xfId="0" applyNumberFormat="1" applyFont="1" applyBorder="1" applyAlignment="1">
      <alignment horizontal="right" vertical="center" wrapText="1" readingOrder="1"/>
    </xf>
    <xf numFmtId="190" fontId="65" fillId="0" borderId="13" xfId="0" applyNumberFormat="1" applyFont="1" applyBorder="1" applyAlignment="1">
      <alignment horizontal="right" vertical="center" wrapText="1" readingOrder="1"/>
    </xf>
    <xf numFmtId="0" fontId="29" fillId="0" borderId="17" xfId="0" applyFont="1" applyBorder="1"/>
    <xf numFmtId="189" fontId="29" fillId="0" borderId="0" xfId="0" applyNumberFormat="1" applyFont="1"/>
    <xf numFmtId="182" fontId="65" fillId="0" borderId="61" xfId="0" applyNumberFormat="1" applyFont="1" applyBorder="1" applyAlignment="1">
      <alignment horizontal="right" vertical="center" wrapText="1" readingOrder="1"/>
    </xf>
    <xf numFmtId="182" fontId="65" fillId="0" borderId="13" xfId="0" applyNumberFormat="1" applyFont="1" applyBorder="1" applyAlignment="1">
      <alignment horizontal="right" vertical="center" wrapText="1" readingOrder="1"/>
    </xf>
    <xf numFmtId="0" fontId="65" fillId="0" borderId="13" xfId="0" applyFont="1" applyBorder="1" applyAlignment="1">
      <alignment horizontal="right" vertical="center" wrapText="1" readingOrder="1"/>
    </xf>
    <xf numFmtId="182" fontId="66" fillId="0" borderId="13" xfId="0" applyNumberFormat="1" applyFont="1" applyBorder="1" applyAlignment="1">
      <alignment horizontal="right" vertical="center" wrapText="1" readingOrder="1"/>
    </xf>
    <xf numFmtId="191" fontId="50" fillId="26" borderId="18" xfId="0" applyNumberFormat="1" applyFont="1" applyFill="1" applyBorder="1" applyAlignment="1">
      <alignment horizontal="center"/>
    </xf>
    <xf numFmtId="191" fontId="50" fillId="26" borderId="0" xfId="0" applyNumberFormat="1" applyFont="1" applyFill="1" applyBorder="1" applyAlignment="1">
      <alignment horizontal="center"/>
    </xf>
    <xf numFmtId="0" fontId="50" fillId="26" borderId="0" xfId="0" applyFont="1" applyFill="1" applyBorder="1" applyAlignment="1">
      <alignment horizontal="left"/>
    </xf>
    <xf numFmtId="0" fontId="50" fillId="26" borderId="17" xfId="0" applyFont="1" applyFill="1" applyBorder="1" applyAlignment="1">
      <alignment horizontal="left"/>
    </xf>
    <xf numFmtId="3" fontId="65" fillId="0" borderId="18" xfId="0" applyNumberFormat="1" applyFont="1" applyBorder="1" applyAlignment="1">
      <alignment horizontal="right" vertical="center" wrapText="1" readingOrder="1"/>
    </xf>
    <xf numFmtId="3" fontId="65" fillId="0" borderId="0" xfId="0" applyNumberFormat="1" applyFont="1" applyBorder="1" applyAlignment="1">
      <alignment horizontal="right" vertical="center" wrapText="1" readingOrder="1"/>
    </xf>
    <xf numFmtId="189" fontId="65" fillId="0" borderId="0" xfId="0" applyNumberFormat="1" applyFont="1" applyBorder="1" applyAlignment="1">
      <alignment horizontal="right" vertical="center" wrapText="1" readingOrder="1"/>
    </xf>
    <xf numFmtId="3" fontId="65" fillId="0" borderId="61" xfId="0" applyNumberFormat="1" applyFont="1" applyBorder="1" applyAlignment="1">
      <alignment horizontal="right" vertical="center" wrapText="1" readingOrder="1"/>
    </xf>
    <xf numFmtId="3" fontId="65" fillId="0" borderId="14" xfId="0" applyNumberFormat="1" applyFont="1" applyBorder="1" applyAlignment="1">
      <alignment horizontal="right" vertical="center" wrapText="1" readingOrder="1"/>
    </xf>
    <xf numFmtId="189" fontId="67" fillId="0" borderId="61" xfId="0" applyNumberFormat="1" applyFont="1" applyFill="1" applyBorder="1" applyAlignment="1">
      <alignment horizontal="right" vertical="center" wrapText="1" readingOrder="1"/>
    </xf>
    <xf numFmtId="189" fontId="67" fillId="0" borderId="13" xfId="0" applyNumberFormat="1" applyFont="1" applyFill="1" applyBorder="1" applyAlignment="1">
      <alignment horizontal="right" vertical="center" wrapText="1" readingOrder="1"/>
    </xf>
    <xf numFmtId="0" fontId="67" fillId="0" borderId="12" xfId="0" quotePrefix="1" applyFont="1" applyFill="1" applyBorder="1" applyAlignment="1">
      <alignment horizontal="left" vertical="center" wrapText="1" indent="3" readingOrder="1"/>
    </xf>
    <xf numFmtId="0" fontId="67" fillId="0" borderId="62" xfId="0" quotePrefix="1" applyFont="1" applyFill="1" applyBorder="1" applyAlignment="1">
      <alignment horizontal="left" vertical="center" wrapText="1" indent="3" readingOrder="1"/>
    </xf>
    <xf numFmtId="182" fontId="29" fillId="0" borderId="0" xfId="0" applyNumberFormat="1" applyFont="1"/>
    <xf numFmtId="182" fontId="65" fillId="0" borderId="63" xfId="0" applyNumberFormat="1" applyFont="1" applyBorder="1" applyAlignment="1">
      <alignment horizontal="right" vertical="center" wrapText="1" readingOrder="1"/>
    </xf>
    <xf numFmtId="182" fontId="65" fillId="0" borderId="28" xfId="0" applyNumberFormat="1" applyFont="1" applyBorder="1" applyAlignment="1">
      <alignment horizontal="right" vertical="center" wrapText="1" readingOrder="1"/>
    </xf>
    <xf numFmtId="0" fontId="65" fillId="0" borderId="27" xfId="0" applyFont="1" applyBorder="1" applyAlignment="1">
      <alignment horizontal="left" vertical="center" wrapText="1" readingOrder="1"/>
    </xf>
    <xf numFmtId="0" fontId="65" fillId="0" borderId="64" xfId="0" applyFont="1" applyBorder="1" applyAlignment="1">
      <alignment horizontal="left" vertical="center" wrapText="1" readingOrder="1"/>
    </xf>
    <xf numFmtId="0" fontId="29" fillId="0" borderId="1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191" fontId="14" fillId="26" borderId="18" xfId="0" applyNumberFormat="1" applyFont="1" applyFill="1" applyBorder="1" applyAlignment="1">
      <alignment horizontal="center"/>
    </xf>
    <xf numFmtId="0" fontId="14" fillId="26" borderId="0" xfId="0" applyFont="1" applyFill="1" applyBorder="1" applyAlignment="1">
      <alignment horizontal="left"/>
    </xf>
    <xf numFmtId="0" fontId="14" fillId="26" borderId="17" xfId="0" applyFont="1" applyFill="1" applyBorder="1" applyAlignment="1">
      <alignment horizontal="left"/>
    </xf>
    <xf numFmtId="0" fontId="14" fillId="26" borderId="65" xfId="0" applyFont="1" applyFill="1" applyBorder="1" applyAlignment="1">
      <alignment horizontal="center"/>
    </xf>
    <xf numFmtId="0" fontId="14" fillId="26" borderId="66" xfId="0" applyFont="1" applyFill="1" applyBorder="1" applyAlignment="1">
      <alignment horizontal="center"/>
    </xf>
    <xf numFmtId="0" fontId="68" fillId="26" borderId="66" xfId="0" applyFont="1" applyFill="1" applyBorder="1" applyAlignment="1">
      <alignment horizontal="left"/>
    </xf>
    <xf numFmtId="0" fontId="68" fillId="26" borderId="67" xfId="0" applyFont="1" applyFill="1" applyBorder="1" applyAlignment="1">
      <alignment horizontal="left"/>
    </xf>
    <xf numFmtId="0" fontId="69" fillId="0" borderId="0" xfId="0" applyFont="1" applyAlignment="1">
      <alignment horizontal="center"/>
    </xf>
    <xf numFmtId="0" fontId="68" fillId="26" borderId="0" xfId="0" applyFont="1" applyFill="1" applyBorder="1" applyAlignment="1">
      <alignment horizontal="center"/>
    </xf>
    <xf numFmtId="0" fontId="65" fillId="0" borderId="27" xfId="0" applyFont="1" applyBorder="1" applyAlignment="1">
      <alignment horizontal="right" vertical="center" wrapText="1" readingOrder="1"/>
    </xf>
    <xf numFmtId="0" fontId="67" fillId="0" borderId="12" xfId="0" quotePrefix="1" applyFont="1" applyFill="1" applyBorder="1" applyAlignment="1">
      <alignment horizontal="right" vertical="center" wrapText="1" indent="3" readingOrder="1"/>
    </xf>
    <xf numFmtId="0" fontId="29" fillId="0" borderId="0" xfId="0" applyFont="1" applyBorder="1" applyAlignment="1">
      <alignment horizontal="right" readingOrder="1"/>
    </xf>
    <xf numFmtId="0" fontId="50" fillId="26" borderId="0" xfId="0" applyFont="1" applyFill="1" applyBorder="1" applyAlignment="1">
      <alignment horizontal="right" readingOrder="1"/>
    </xf>
    <xf numFmtId="0" fontId="29" fillId="0" borderId="59" xfId="0" applyFont="1" applyBorder="1" applyAlignment="1">
      <alignment horizontal="right" readingOrder="1"/>
    </xf>
    <xf numFmtId="44" fontId="15" fillId="21" borderId="47" xfId="35" applyNumberFormat="1"/>
    <xf numFmtId="0" fontId="0" fillId="0" borderId="0" xfId="0"/>
    <xf numFmtId="0" fontId="14" fillId="9" borderId="68" xfId="17" applyBorder="1"/>
    <xf numFmtId="0" fontId="36" fillId="0" borderId="35" xfId="10" applyBorder="1" applyAlignment="1">
      <alignment horizontal="right" indent="2"/>
    </xf>
    <xf numFmtId="173" fontId="36" fillId="19" borderId="35" xfId="10" applyNumberFormat="1" applyFill="1" applyBorder="1" applyAlignment="1">
      <alignment horizontal="right" indent="2"/>
    </xf>
    <xf numFmtId="173" fontId="36" fillId="0" borderId="35" xfId="10" applyNumberFormat="1" applyBorder="1" applyAlignment="1">
      <alignment horizontal="right" indent="2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9" fillId="0" borderId="2" xfId="3" applyFill="1"/>
    <xf numFmtId="0" fontId="28" fillId="15" borderId="0" xfId="0" applyFont="1" applyFill="1" applyBorder="1" applyAlignment="1">
      <alignment horizontal="center" vertical="center" wrapText="1"/>
    </xf>
    <xf numFmtId="0" fontId="28" fillId="15" borderId="17" xfId="0" applyFont="1" applyFill="1" applyBorder="1" applyAlignment="1">
      <alignment horizontal="center" vertical="center" wrapText="1"/>
    </xf>
    <xf numFmtId="0" fontId="28" fillId="15" borderId="18" xfId="0" applyFont="1" applyFill="1" applyBorder="1" applyAlignment="1">
      <alignment horizontal="center" vertical="center" wrapText="1"/>
    </xf>
    <xf numFmtId="0" fontId="14" fillId="4" borderId="0" xfId="12" applyAlignment="1">
      <alignment horizontal="center"/>
    </xf>
    <xf numFmtId="0" fontId="14" fillId="9" borderId="67" xfId="17" applyBorder="1"/>
    <xf numFmtId="0" fontId="14" fillId="9" borderId="66" xfId="17" applyBorder="1"/>
    <xf numFmtId="0" fontId="14" fillId="9" borderId="65" xfId="17" applyBorder="1"/>
    <xf numFmtId="0" fontId="14" fillId="9" borderId="0" xfId="17"/>
    <xf numFmtId="0" fontId="14" fillId="9" borderId="40" xfId="17" applyBorder="1"/>
    <xf numFmtId="0" fontId="14" fillId="9" borderId="69" xfId="17" applyBorder="1"/>
    <xf numFmtId="0" fontId="28" fillId="15" borderId="52" xfId="0" applyFont="1" applyFill="1" applyBorder="1" applyAlignment="1">
      <alignment horizontal="center" vertical="center" wrapText="1"/>
    </xf>
    <xf numFmtId="0" fontId="14" fillId="9" borderId="41" xfId="17" applyBorder="1"/>
    <xf numFmtId="0" fontId="14" fillId="9" borderId="57" xfId="17" applyBorder="1"/>
    <xf numFmtId="173" fontId="0" fillId="0" borderId="0" xfId="32" applyFont="1" applyBorder="1" applyAlignment="1">
      <alignment horizontal="center"/>
    </xf>
    <xf numFmtId="177" fontId="0" fillId="0" borderId="52" xfId="0" applyNumberFormat="1" applyBorder="1" applyAlignment="1">
      <alignment horizontal="center" vertical="center"/>
    </xf>
    <xf numFmtId="0" fontId="43" fillId="10" borderId="4" xfId="25" applyFont="1" applyAlignment="1">
      <alignment horizontal="center"/>
      <protection locked="0"/>
    </xf>
    <xf numFmtId="0" fontId="36" fillId="0" borderId="0" xfId="10" applyFont="1" applyAlignment="1">
      <alignment horizontal="center"/>
    </xf>
    <xf numFmtId="8" fontId="71" fillId="21" borderId="47" xfId="35" applyNumberFormat="1" applyFont="1" applyAlignment="1">
      <alignment horizontal="center"/>
    </xf>
    <xf numFmtId="174" fontId="70" fillId="3" borderId="4" xfId="32" applyNumberFormat="1" applyFont="1" applyFill="1" applyBorder="1" applyAlignment="1">
      <alignment horizontal="center"/>
    </xf>
    <xf numFmtId="0" fontId="0" fillId="0" borderId="70" xfId="0" applyBorder="1" applyAlignment="1">
      <alignment horizontal="center"/>
    </xf>
    <xf numFmtId="0" fontId="36" fillId="9" borderId="17" xfId="10" applyFill="1" applyBorder="1"/>
    <xf numFmtId="174" fontId="0" fillId="14" borderId="18" xfId="32" applyNumberFormat="1" applyFont="1" applyFill="1" applyBorder="1" applyAlignment="1">
      <alignment horizontal="center"/>
    </xf>
    <xf numFmtId="0" fontId="0" fillId="11" borderId="9" xfId="9" applyFont="1" applyBorder="1">
      <protection locked="0"/>
    </xf>
    <xf numFmtId="182" fontId="0" fillId="0" borderId="11" xfId="0" applyNumberFormat="1" applyBorder="1"/>
    <xf numFmtId="190" fontId="29" fillId="0" borderId="0" xfId="0" applyNumberFormat="1" applyFont="1" applyBorder="1"/>
    <xf numFmtId="192" fontId="29" fillId="0" borderId="0" xfId="0" applyNumberFormat="1" applyFont="1" applyBorder="1"/>
    <xf numFmtId="193" fontId="0" fillId="0" borderId="0" xfId="0" applyNumberFormat="1"/>
    <xf numFmtId="0" fontId="14" fillId="9" borderId="14" xfId="17" applyBorder="1" applyAlignment="1">
      <alignment horizontal="center" wrapText="1"/>
    </xf>
    <xf numFmtId="0" fontId="14" fillId="9" borderId="13" xfId="17" applyBorder="1" applyAlignment="1">
      <alignment horizontal="center" wrapText="1"/>
    </xf>
    <xf numFmtId="0" fontId="14" fillId="9" borderId="12" xfId="17" applyBorder="1"/>
    <xf numFmtId="0" fontId="72" fillId="0" borderId="0" xfId="0" applyFont="1"/>
    <xf numFmtId="0" fontId="2" fillId="32" borderId="0" xfId="36"/>
    <xf numFmtId="0" fontId="2" fillId="32" borderId="0" xfId="36" applyAlignment="1">
      <alignment horizontal="right"/>
    </xf>
    <xf numFmtId="0" fontId="74" fillId="0" borderId="0" xfId="0" applyFont="1"/>
    <xf numFmtId="10" fontId="0" fillId="0" borderId="0" xfId="0" applyNumberFormat="1" applyAlignment="1">
      <alignment horizontal="right"/>
    </xf>
    <xf numFmtId="0" fontId="76" fillId="0" borderId="0" xfId="0" applyFont="1"/>
    <xf numFmtId="0" fontId="0" fillId="0" borderId="0" xfId="0" applyFont="1"/>
    <xf numFmtId="0" fontId="76" fillId="0" borderId="0" xfId="0" applyFont="1"/>
    <xf numFmtId="194" fontId="0" fillId="0" borderId="0" xfId="0" applyNumberFormat="1" applyAlignment="1">
      <alignment horizontal="right"/>
    </xf>
    <xf numFmtId="44" fontId="15" fillId="21" borderId="47" xfId="33" applyFont="1" applyFill="1" applyBorder="1"/>
    <xf numFmtId="0" fontId="32" fillId="16" borderId="8" xfId="11" applyFill="1" applyBorder="1" applyAlignment="1">
      <alignment horizontal="center"/>
    </xf>
    <xf numFmtId="0" fontId="77" fillId="11" borderId="38" xfId="9" applyFont="1" applyBorder="1">
      <protection locked="0"/>
    </xf>
    <xf numFmtId="0" fontId="78" fillId="11" borderId="24" xfId="9" applyFont="1" applyBorder="1">
      <protection locked="0"/>
    </xf>
    <xf numFmtId="0" fontId="36" fillId="0" borderId="54" xfId="10" applyBorder="1"/>
    <xf numFmtId="172" fontId="0" fillId="0" borderId="17" xfId="31" applyFont="1" applyBorder="1" applyAlignment="1"/>
    <xf numFmtId="9" fontId="0" fillId="0" borderId="18" xfId="1" applyFont="1" applyBorder="1" applyAlignment="1">
      <alignment horizontal="center"/>
    </xf>
    <xf numFmtId="172" fontId="0" fillId="0" borderId="17" xfId="31" applyNumberFormat="1" applyFont="1" applyBorder="1" applyAlignment="1"/>
    <xf numFmtId="9" fontId="0" fillId="0" borderId="18" xfId="1" applyNumberFormat="1" applyFont="1" applyBorder="1" applyAlignment="1">
      <alignment horizontal="center"/>
    </xf>
    <xf numFmtId="0" fontId="0" fillId="10" borderId="0" xfId="0" applyFill="1"/>
    <xf numFmtId="173" fontId="36" fillId="0" borderId="0" xfId="32" applyFont="1" applyAlignment="1">
      <alignment horizontal="right"/>
    </xf>
    <xf numFmtId="0" fontId="0" fillId="10" borderId="0" xfId="0" applyFill="1" applyAlignment="1">
      <alignment horizontal="right"/>
    </xf>
    <xf numFmtId="0" fontId="75" fillId="0" borderId="0" xfId="0" applyFont="1" applyAlignment="1">
      <alignment horizontal="right"/>
    </xf>
    <xf numFmtId="185" fontId="43" fillId="2" borderId="4" xfId="6" applyNumberFormat="1" applyAlignment="1">
      <alignment horizontal="right"/>
      <protection locked="0"/>
    </xf>
    <xf numFmtId="173" fontId="32" fillId="0" borderId="7" xfId="32" applyFont="1" applyBorder="1" applyAlignment="1">
      <alignment horizontal="right"/>
    </xf>
    <xf numFmtId="187" fontId="0" fillId="0" borderId="0" xfId="1" applyNumberFormat="1" applyFont="1"/>
    <xf numFmtId="173" fontId="0" fillId="14" borderId="18" xfId="32" applyFont="1" applyFill="1" applyBorder="1" applyAlignment="1">
      <alignment horizontal="center"/>
    </xf>
    <xf numFmtId="0" fontId="79" fillId="0" borderId="0" xfId="0" applyFont="1"/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73" fontId="0" fillId="0" borderId="41" xfId="32" applyFont="1" applyBorder="1" applyAlignment="1">
      <alignment horizontal="center"/>
    </xf>
    <xf numFmtId="174" fontId="0" fillId="14" borderId="42" xfId="32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72" fontId="0" fillId="0" borderId="0" xfId="31" applyFont="1" applyBorder="1" applyAlignment="1">
      <alignment horizontal="left"/>
    </xf>
    <xf numFmtId="172" fontId="0" fillId="0" borderId="0" xfId="31" applyNumberFormat="1" applyFont="1" applyBorder="1" applyAlignment="1">
      <alignment horizontal="left"/>
    </xf>
    <xf numFmtId="0" fontId="43" fillId="2" borderId="71" xfId="6" applyBorder="1">
      <protection locked="0"/>
    </xf>
    <xf numFmtId="0" fontId="36" fillId="0" borderId="0" xfId="10" applyFill="1" applyBorder="1"/>
    <xf numFmtId="0" fontId="14" fillId="4" borderId="0" xfId="12" applyAlignment="1">
      <alignment horizontal="center" wrapText="1"/>
    </xf>
    <xf numFmtId="173" fontId="0" fillId="16" borderId="20" xfId="32" applyFont="1" applyFill="1" applyBorder="1" applyAlignment="1">
      <alignment horizontal="center"/>
    </xf>
    <xf numFmtId="177" fontId="0" fillId="16" borderId="20" xfId="0" applyNumberFormat="1" applyFont="1" applyFill="1" applyBorder="1" applyAlignment="1">
      <alignment horizontal="center"/>
    </xf>
    <xf numFmtId="0" fontId="10" fillId="9" borderId="72" xfId="17" applyFont="1" applyBorder="1" applyAlignment="1">
      <alignment horizontal="center" wrapText="1"/>
    </xf>
    <xf numFmtId="0" fontId="10" fillId="9" borderId="73" xfId="17" applyFont="1" applyBorder="1" applyAlignment="1">
      <alignment horizontal="center" wrapText="1"/>
    </xf>
    <xf numFmtId="0" fontId="10" fillId="9" borderId="74" xfId="17" applyFont="1" applyBorder="1" applyAlignment="1">
      <alignment horizontal="center" wrapText="1"/>
    </xf>
    <xf numFmtId="0" fontId="0" fillId="0" borderId="75" xfId="0" applyBorder="1"/>
    <xf numFmtId="0" fontId="0" fillId="0" borderId="77" xfId="0" applyBorder="1"/>
    <xf numFmtId="173" fontId="0" fillId="0" borderId="19" xfId="32" applyFont="1" applyBorder="1" applyAlignment="1">
      <alignment horizontal="right"/>
    </xf>
    <xf numFmtId="173" fontId="0" fillId="0" borderId="78" xfId="32" applyFont="1" applyBorder="1" applyAlignment="1">
      <alignment horizontal="right"/>
    </xf>
    <xf numFmtId="173" fontId="0" fillId="0" borderId="76" xfId="32" applyFont="1" applyBorder="1" applyAlignment="1">
      <alignment horizontal="right"/>
    </xf>
    <xf numFmtId="173" fontId="0" fillId="0" borderId="79" xfId="32" applyFont="1" applyBorder="1" applyAlignment="1">
      <alignment horizontal="right"/>
    </xf>
    <xf numFmtId="174" fontId="0" fillId="0" borderId="19" xfId="32" applyNumberFormat="1" applyFont="1" applyBorder="1" applyAlignment="1">
      <alignment horizontal="right"/>
    </xf>
    <xf numFmtId="174" fontId="0" fillId="0" borderId="78" xfId="32" applyNumberFormat="1" applyFont="1" applyBorder="1" applyAlignment="1">
      <alignment horizontal="right"/>
    </xf>
    <xf numFmtId="174" fontId="43" fillId="2" borderId="4" xfId="6" applyNumberFormat="1" applyAlignment="1">
      <alignment horizontal="right"/>
      <protection locked="0"/>
    </xf>
    <xf numFmtId="173" fontId="32" fillId="0" borderId="0" xfId="32" applyFont="1" applyBorder="1" applyAlignment="1">
      <alignment horizontal="right"/>
    </xf>
    <xf numFmtId="0" fontId="32" fillId="0" borderId="81" xfId="11" applyFill="1" applyBorder="1"/>
    <xf numFmtId="173" fontId="32" fillId="0" borderId="81" xfId="32" applyFont="1" applyBorder="1" applyAlignment="1">
      <alignment horizontal="right"/>
    </xf>
    <xf numFmtId="0" fontId="32" fillId="0" borderId="81" xfId="11" applyBorder="1" applyAlignment="1">
      <alignment horizontal="right"/>
    </xf>
    <xf numFmtId="185" fontId="43" fillId="2" borderId="4" xfId="1" applyNumberFormat="1" applyFont="1" applyFill="1" applyBorder="1" applyProtection="1">
      <protection locked="0"/>
    </xf>
    <xf numFmtId="8" fontId="106" fillId="3" borderId="4" xfId="8" applyNumberFormat="1"/>
    <xf numFmtId="174" fontId="32" fillId="0" borderId="0" xfId="32" applyNumberFormat="1" applyFont="1" applyBorder="1" applyAlignment="1">
      <alignment horizontal="right"/>
    </xf>
    <xf numFmtId="174" fontId="34" fillId="0" borderId="0" xfId="32" applyNumberFormat="1" applyFont="1" applyFill="1" applyBorder="1" applyAlignment="1">
      <alignment horizontal="center" vertical="center"/>
    </xf>
    <xf numFmtId="0" fontId="14" fillId="9" borderId="44" xfId="17" applyBorder="1" applyAlignment="1">
      <alignment wrapText="1"/>
    </xf>
    <xf numFmtId="173" fontId="0" fillId="0" borderId="21" xfId="32" applyFont="1" applyBorder="1" applyAlignment="1">
      <alignment horizontal="center"/>
    </xf>
    <xf numFmtId="174" fontId="4" fillId="0" borderId="21" xfId="32" applyNumberFormat="1" applyFont="1" applyBorder="1" applyAlignment="1">
      <alignment horizontal="center"/>
    </xf>
    <xf numFmtId="0" fontId="36" fillId="0" borderId="0" xfId="10" applyAlignment="1">
      <alignment horizontal="left"/>
    </xf>
    <xf numFmtId="172" fontId="80" fillId="0" borderId="0" xfId="31" applyFont="1" applyFill="1" applyBorder="1" applyAlignment="1">
      <alignment horizontal="center"/>
    </xf>
    <xf numFmtId="173" fontId="80" fillId="0" borderId="0" xfId="32" applyFont="1" applyFill="1" applyBorder="1" applyAlignment="1">
      <alignment horizontal="center"/>
    </xf>
    <xf numFmtId="172" fontId="80" fillId="0" borderId="80" xfId="31" applyFont="1" applyFill="1" applyBorder="1" applyAlignment="1">
      <alignment horizontal="center"/>
    </xf>
    <xf numFmtId="173" fontId="80" fillId="0" borderId="80" xfId="32" applyFont="1" applyFill="1" applyBorder="1" applyAlignment="1">
      <alignment horizontal="center"/>
    </xf>
    <xf numFmtId="0" fontId="32" fillId="14" borderId="0" xfId="11" applyFill="1" applyBorder="1"/>
    <xf numFmtId="0" fontId="0" fillId="14" borderId="0" xfId="0" applyFill="1" applyBorder="1"/>
    <xf numFmtId="172" fontId="32" fillId="14" borderId="0" xfId="11" applyNumberFormat="1" applyFill="1" applyBorder="1"/>
    <xf numFmtId="173" fontId="32" fillId="14" borderId="0" xfId="32" applyFont="1" applyFill="1" applyBorder="1"/>
    <xf numFmtId="10" fontId="0" fillId="0" borderId="0" xfId="1" applyNumberFormat="1" applyFont="1"/>
    <xf numFmtId="173" fontId="43" fillId="2" borderId="82" xfId="6" applyNumberFormat="1" applyFont="1" applyFill="1" applyBorder="1" applyAlignment="1">
      <alignment horizontal="right" vertical="center"/>
      <protection locked="0"/>
    </xf>
    <xf numFmtId="0" fontId="81" fillId="0" borderId="0" xfId="10" applyFont="1"/>
    <xf numFmtId="172" fontId="0" fillId="0" borderId="0" xfId="31" applyNumberFormat="1" applyFont="1" applyAlignment="1">
      <alignment horizontal="left"/>
    </xf>
    <xf numFmtId="173" fontId="43" fillId="2" borderId="4" xfId="6" applyNumberFormat="1" applyAlignment="1">
      <alignment horizontal="center"/>
      <protection locked="0"/>
    </xf>
    <xf numFmtId="1" fontId="43" fillId="2" borderId="4" xfId="6" applyNumberFormat="1">
      <protection locked="0"/>
    </xf>
    <xf numFmtId="195" fontId="31" fillId="19" borderId="0" xfId="31" applyNumberFormat="1" applyFont="1" applyFill="1"/>
    <xf numFmtId="174" fontId="31" fillId="20" borderId="7" xfId="32" applyNumberFormat="1" applyFont="1" applyFill="1" applyBorder="1"/>
    <xf numFmtId="174" fontId="0" fillId="0" borderId="0" xfId="32" applyNumberFormat="1" applyFont="1"/>
    <xf numFmtId="0" fontId="82" fillId="0" borderId="0" xfId="0" applyFont="1"/>
    <xf numFmtId="0" fontId="82" fillId="0" borderId="0" xfId="0" applyFont="1" applyFill="1"/>
    <xf numFmtId="0" fontId="36" fillId="0" borderId="0" xfId="10" applyAlignment="1">
      <alignment horizontal="left" indent="1"/>
    </xf>
    <xf numFmtId="173" fontId="32" fillId="0" borderId="84" xfId="32" applyFont="1" applyBorder="1" applyAlignment="1">
      <alignment horizontal="right"/>
    </xf>
    <xf numFmtId="167" fontId="16" fillId="0" borderId="84" xfId="21" applyBorder="1">
      <alignment horizontal="center" vertical="top" wrapText="1"/>
    </xf>
    <xf numFmtId="0" fontId="22" fillId="0" borderId="0" xfId="24"/>
    <xf numFmtId="0" fontId="36" fillId="0" borderId="0" xfId="10" applyAlignment="1">
      <alignment vertical="center" wrapText="1"/>
    </xf>
    <xf numFmtId="44" fontId="43" fillId="2" borderId="4" xfId="33" applyFont="1" applyFill="1" applyBorder="1" applyProtection="1">
      <protection locked="0"/>
    </xf>
    <xf numFmtId="173" fontId="43" fillId="2" borderId="4" xfId="32" applyNumberFormat="1" applyFont="1" applyFill="1" applyBorder="1" applyProtection="1">
      <protection locked="0"/>
    </xf>
    <xf numFmtId="173" fontId="0" fillId="0" borderId="0" xfId="32" applyNumberFormat="1" applyFont="1"/>
    <xf numFmtId="10" fontId="43" fillId="2" borderId="4" xfId="6" applyNumberFormat="1">
      <protection locked="0"/>
    </xf>
    <xf numFmtId="0" fontId="83" fillId="0" borderId="0" xfId="0" applyNumberFormat="1" applyFont="1" applyFill="1" applyBorder="1" applyAlignment="1" applyProtection="1"/>
    <xf numFmtId="0" fontId="83" fillId="0" borderId="0" xfId="0" applyNumberFormat="1" applyFont="1" applyFill="1" applyBorder="1" applyAlignment="1" applyProtection="1">
      <alignment horizontal="center"/>
    </xf>
    <xf numFmtId="172" fontId="84" fillId="0" borderId="0" xfId="0" applyNumberFormat="1" applyFont="1"/>
    <xf numFmtId="9" fontId="84" fillId="14" borderId="0" xfId="0" applyNumberFormat="1" applyFont="1" applyFill="1" applyAlignment="1">
      <alignment horizontal="center"/>
    </xf>
    <xf numFmtId="0" fontId="83" fillId="0" borderId="17" xfId="0" applyNumberFormat="1" applyFont="1" applyBorder="1" applyAlignment="1">
      <alignment horizontal="center"/>
    </xf>
    <xf numFmtId="0" fontId="83" fillId="0" borderId="0" xfId="0" applyNumberFormat="1" applyFont="1" applyBorder="1" applyAlignment="1">
      <alignment horizontal="center"/>
    </xf>
    <xf numFmtId="0" fontId="83" fillId="0" borderId="18" xfId="0" applyNumberFormat="1" applyFont="1" applyBorder="1" applyAlignment="1">
      <alignment horizontal="center"/>
    </xf>
    <xf numFmtId="0" fontId="83" fillId="0" borderId="17" xfId="0" applyNumberFormat="1" applyFont="1" applyFill="1" applyBorder="1" applyAlignment="1">
      <alignment horizontal="center" vertical="center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0" applyNumberFormat="1" applyFont="1" applyFill="1" applyAlignment="1">
      <alignment horizontal="center" vertical="center"/>
    </xf>
    <xf numFmtId="174" fontId="83" fillId="0" borderId="18" xfId="0" applyNumberFormat="1" applyFont="1" applyFill="1" applyBorder="1" applyAlignment="1">
      <alignment horizontal="center" vertical="center"/>
    </xf>
    <xf numFmtId="169" fontId="83" fillId="0" borderId="0" xfId="0" applyNumberFormat="1" applyFont="1" applyFill="1" applyAlignment="1">
      <alignment horizontal="center" vertical="center"/>
    </xf>
    <xf numFmtId="0" fontId="0" fillId="11" borderId="85" xfId="9" applyFont="1" applyBorder="1">
      <protection locked="0"/>
    </xf>
    <xf numFmtId="171" fontId="43" fillId="2" borderId="4" xfId="6" applyNumberFormat="1">
      <protection locked="0"/>
    </xf>
    <xf numFmtId="0" fontId="85" fillId="0" borderId="0" xfId="0" applyFont="1" applyAlignment="1">
      <alignment horizontal="center"/>
    </xf>
    <xf numFmtId="172" fontId="86" fillId="0" borderId="0" xfId="0" applyNumberFormat="1" applyFont="1"/>
    <xf numFmtId="10" fontId="43" fillId="2" borderId="4" xfId="6" applyNumberFormat="1" applyAlignment="1">
      <alignment horizontal="center"/>
      <protection locked="0"/>
    </xf>
    <xf numFmtId="184" fontId="38" fillId="3" borderId="4" xfId="30" applyNumberFormat="1" applyFont="1" applyFill="1" applyBorder="1" applyAlignment="1">
      <alignment horizontal="center"/>
    </xf>
    <xf numFmtId="10" fontId="43" fillId="2" borderId="4" xfId="1" applyNumberFormat="1" applyFont="1" applyFill="1" applyBorder="1" applyProtection="1">
      <protection locked="0"/>
    </xf>
    <xf numFmtId="173" fontId="86" fillId="0" borderId="0" xfId="0" applyNumberFormat="1" applyFont="1"/>
    <xf numFmtId="2" fontId="0" fillId="0" borderId="86" xfId="0" applyNumberFormat="1" applyBorder="1"/>
    <xf numFmtId="196" fontId="0" fillId="0" borderId="86" xfId="0" applyNumberFormat="1" applyBorder="1"/>
    <xf numFmtId="196" fontId="43" fillId="2" borderId="4" xfId="6" applyNumberFormat="1">
      <protection locked="0"/>
    </xf>
    <xf numFmtId="0" fontId="0" fillId="0" borderId="0" xfId="0" applyAlignment="1">
      <alignment horizontal="right" vertical="center"/>
    </xf>
    <xf numFmtId="0" fontId="0" fillId="0" borderId="86" xfId="0" applyBorder="1"/>
    <xf numFmtId="0" fontId="87" fillId="33" borderId="0" xfId="37"/>
    <xf numFmtId="197" fontId="106" fillId="3" borderId="4" xfId="8" applyNumberFormat="1"/>
    <xf numFmtId="179" fontId="106" fillId="3" borderId="86" xfId="8" applyNumberFormat="1" applyBorder="1"/>
    <xf numFmtId="171" fontId="0" fillId="0" borderId="86" xfId="30" applyNumberFormat="1" applyFont="1" applyBorder="1"/>
    <xf numFmtId="0" fontId="31" fillId="0" borderId="0" xfId="0" applyFont="1" applyAlignment="1">
      <alignment horizontal="left" vertical="center"/>
    </xf>
    <xf numFmtId="0" fontId="0" fillId="0" borderId="86" xfId="0" applyBorder="1" applyAlignment="1">
      <alignment horizontal="center"/>
    </xf>
    <xf numFmtId="0" fontId="0" fillId="0" borderId="0" xfId="0" applyAlignment="1">
      <alignment horizontal="left" vertical="center"/>
    </xf>
    <xf numFmtId="198" fontId="106" fillId="3" borderId="4" xfId="8" applyNumberFormat="1"/>
    <xf numFmtId="2" fontId="43" fillId="2" borderId="4" xfId="6" applyNumberFormat="1">
      <protection locked="0"/>
    </xf>
    <xf numFmtId="9" fontId="43" fillId="2" borderId="4" xfId="6" applyNumberFormat="1" applyAlignment="1">
      <alignment horizontal="center"/>
      <protection locked="0"/>
    </xf>
    <xf numFmtId="10" fontId="43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2" fontId="0" fillId="0" borderId="0" xfId="0" applyNumberFormat="1" applyAlignment="1">
      <alignment horizontal="right" vertical="center"/>
    </xf>
    <xf numFmtId="2" fontId="106" fillId="3" borderId="4" xfId="8" applyNumberFormat="1"/>
    <xf numFmtId="22" fontId="0" fillId="0" borderId="0" xfId="0" applyNumberFormat="1"/>
    <xf numFmtId="0" fontId="21" fillId="0" borderId="0" xfId="23"/>
    <xf numFmtId="10" fontId="38" fillId="3" borderId="4" xfId="1" applyNumberFormat="1" applyFont="1" applyFill="1" applyBorder="1"/>
    <xf numFmtId="0" fontId="0" fillId="0" borderId="0" xfId="0"/>
    <xf numFmtId="0" fontId="0" fillId="0" borderId="0" xfId="0" applyAlignment="1">
      <alignment horizontal="right"/>
    </xf>
    <xf numFmtId="8" fontId="0" fillId="0" borderId="0" xfId="0" applyNumberFormat="1"/>
    <xf numFmtId="0" fontId="10" fillId="9" borderId="88" xfId="17" applyFont="1" applyBorder="1" applyAlignment="1">
      <alignment horizontal="center" wrapText="1"/>
    </xf>
    <xf numFmtId="9" fontId="0" fillId="0" borderId="19" xfId="1" applyFont="1" applyBorder="1" applyAlignment="1">
      <alignment horizontal="right"/>
    </xf>
    <xf numFmtId="9" fontId="0" fillId="0" borderId="78" xfId="1" applyFont="1" applyBorder="1" applyAlignment="1">
      <alignment horizontal="right"/>
    </xf>
    <xf numFmtId="0" fontId="88" fillId="9" borderId="0" xfId="17" applyFont="1" applyBorder="1" applyAlignment="1">
      <alignment horizontal="right" vertical="center"/>
    </xf>
    <xf numFmtId="0" fontId="35" fillId="0" borderId="0" xfId="10" applyFont="1" applyAlignment="1">
      <alignment horizontal="right"/>
    </xf>
    <xf numFmtId="199" fontId="23" fillId="2" borderId="4" xfId="31" applyNumberFormat="1" applyFont="1" applyFill="1" applyBorder="1" applyProtection="1">
      <protection locked="0"/>
    </xf>
    <xf numFmtId="199" fontId="0" fillId="0" borderId="0" xfId="31" applyNumberFormat="1" applyFont="1"/>
    <xf numFmtId="199" fontId="32" fillId="16" borderId="8" xfId="11" applyNumberFormat="1" applyFill="1" applyBorder="1"/>
    <xf numFmtId="0" fontId="3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73" fontId="70" fillId="3" borderId="4" xfId="8" applyNumberFormat="1" applyFont="1"/>
    <xf numFmtId="0" fontId="20" fillId="0" borderId="0" xfId="2" applyFont="1" applyFill="1" applyBorder="1"/>
    <xf numFmtId="173" fontId="0" fillId="0" borderId="0" xfId="0" applyNumberFormat="1"/>
    <xf numFmtId="10" fontId="106" fillId="3" borderId="4" xfId="8" applyNumberFormat="1"/>
    <xf numFmtId="174" fontId="36" fillId="0" borderId="78" xfId="10" applyNumberFormat="1" applyBorder="1" applyAlignment="1">
      <alignment horizontal="left"/>
    </xf>
    <xf numFmtId="200" fontId="43" fillId="2" borderId="4" xfId="6" applyNumberFormat="1">
      <protection locked="0"/>
    </xf>
    <xf numFmtId="173" fontId="34" fillId="0" borderId="0" xfId="32" applyFont="1"/>
    <xf numFmtId="174" fontId="0" fillId="0" borderId="0" xfId="30" applyNumberFormat="1" applyFont="1"/>
    <xf numFmtId="0" fontId="32" fillId="0" borderId="8" xfId="11" applyFill="1" applyBorder="1"/>
    <xf numFmtId="0" fontId="32" fillId="0" borderId="8" xfId="11" applyFill="1" applyBorder="1" applyAlignment="1">
      <alignment horizontal="center"/>
    </xf>
    <xf numFmtId="43" fontId="32" fillId="0" borderId="8" xfId="30" applyFont="1" applyFill="1" applyBorder="1"/>
    <xf numFmtId="10" fontId="38" fillId="3" borderId="4" xfId="1" applyNumberFormat="1" applyFont="1" applyFill="1" applyBorder="1" applyAlignment="1">
      <alignment horizontal="right"/>
    </xf>
    <xf numFmtId="10" fontId="0" fillId="16" borderId="20" xfId="1" applyNumberFormat="1" applyFont="1" applyFill="1" applyBorder="1" applyAlignment="1">
      <alignment horizontal="center"/>
    </xf>
    <xf numFmtId="0" fontId="90" fillId="0" borderId="0" xfId="0" applyFont="1" applyFill="1"/>
    <xf numFmtId="196" fontId="0" fillId="0" borderId="86" xfId="0" applyNumberFormat="1" applyBorder="1" applyAlignment="1">
      <alignment horizontal="center"/>
    </xf>
    <xf numFmtId="196" fontId="0" fillId="0" borderId="87" xfId="0" applyNumberFormat="1" applyBorder="1" applyAlignment="1">
      <alignment horizontal="center"/>
    </xf>
    <xf numFmtId="196" fontId="106" fillId="3" borderId="4" xfId="8" applyNumberFormat="1" applyAlignment="1">
      <alignment horizontal="center"/>
    </xf>
    <xf numFmtId="173" fontId="32" fillId="14" borderId="0" xfId="32" applyFont="1" applyFill="1" applyBorder="1" applyProtection="1">
      <protection locked="0"/>
    </xf>
    <xf numFmtId="198" fontId="43" fillId="2" borderId="86" xfId="6" applyNumberFormat="1" applyBorder="1">
      <protection locked="0"/>
    </xf>
    <xf numFmtId="198" fontId="43" fillId="2" borderId="4" xfId="6" applyNumberFormat="1">
      <protection locked="0"/>
    </xf>
    <xf numFmtId="187" fontId="106" fillId="3" borderId="4" xfId="8" applyNumberFormat="1"/>
    <xf numFmtId="2" fontId="106" fillId="3" borderId="4" xfId="8" applyNumberFormat="1" applyAlignment="1">
      <alignment horizontal="center"/>
    </xf>
    <xf numFmtId="10" fontId="106" fillId="3" borderId="4" xfId="8" applyNumberFormat="1" applyAlignment="1">
      <alignment horizontal="right"/>
    </xf>
    <xf numFmtId="187" fontId="106" fillId="3" borderId="4" xfId="8" applyNumberFormat="1" applyAlignment="1">
      <alignment horizontal="right"/>
    </xf>
    <xf numFmtId="199" fontId="38" fillId="3" borderId="4" xfId="31" applyNumberFormat="1" applyFont="1" applyFill="1" applyBorder="1" applyAlignment="1">
      <alignment horizontal="right"/>
    </xf>
    <xf numFmtId="10" fontId="0" fillId="0" borderId="0" xfId="0" applyNumberFormat="1" applyAlignment="1" applyProtection="1">
      <alignment horizontal="center"/>
      <protection locked="0"/>
    </xf>
    <xf numFmtId="10" fontId="106" fillId="3" borderId="4" xfId="8" applyNumberFormat="1" applyAlignment="1">
      <alignment horizontal="center"/>
    </xf>
    <xf numFmtId="170" fontId="91" fillId="0" borderId="0" xfId="28" applyFont="1" applyAlignment="1">
      <alignment horizontal="right" vertical="center"/>
    </xf>
    <xf numFmtId="44" fontId="93" fillId="3" borderId="4" xfId="33" applyFont="1" applyFill="1" applyBorder="1"/>
    <xf numFmtId="0" fontId="81" fillId="0" borderId="0" xfId="10" applyFont="1" applyAlignment="1">
      <alignment horizontal="right"/>
    </xf>
    <xf numFmtId="0" fontId="10" fillId="9" borderId="0" xfId="17" applyFont="1"/>
    <xf numFmtId="2" fontId="106" fillId="3" borderId="90" xfId="8" applyBorder="1"/>
    <xf numFmtId="0" fontId="0" fillId="11" borderId="6" xfId="9" applyFont="1" applyBorder="1">
      <protection locked="0"/>
    </xf>
    <xf numFmtId="0" fontId="14" fillId="9" borderId="0" xfId="17" applyFont="1" applyBorder="1" applyAlignment="1">
      <alignment horizontal="right" vertical="center"/>
    </xf>
    <xf numFmtId="0" fontId="32" fillId="14" borderId="7" xfId="11" applyFill="1"/>
    <xf numFmtId="173" fontId="31" fillId="0" borderId="0" xfId="32" applyFont="1"/>
    <xf numFmtId="6" fontId="32" fillId="14" borderId="0" xfId="32" applyNumberFormat="1" applyFont="1" applyFill="1" applyBorder="1"/>
    <xf numFmtId="173" fontId="32" fillId="0" borderId="0" xfId="32" applyFont="1" applyFill="1" applyBorder="1" applyProtection="1">
      <protection locked="0"/>
    </xf>
    <xf numFmtId="173" fontId="32" fillId="0" borderId="0" xfId="32" applyFont="1" applyFill="1" applyBorder="1"/>
    <xf numFmtId="173" fontId="32" fillId="14" borderId="0" xfId="32" applyFont="1" applyFill="1" applyBorder="1" applyAlignment="1">
      <alignment horizontal="center"/>
    </xf>
    <xf numFmtId="173" fontId="32" fillId="0" borderId="7" xfId="32" applyFont="1" applyFill="1" applyBorder="1" applyProtection="1">
      <protection locked="0"/>
    </xf>
    <xf numFmtId="173" fontId="32" fillId="0" borderId="7" xfId="32" applyFont="1" applyFill="1" applyBorder="1"/>
    <xf numFmtId="202" fontId="0" fillId="0" borderId="0" xfId="0" applyNumberFormat="1"/>
    <xf numFmtId="10" fontId="32" fillId="14" borderId="7" xfId="1" applyNumberFormat="1" applyFont="1" applyFill="1" applyBorder="1"/>
    <xf numFmtId="0" fontId="36" fillId="0" borderId="0" xfId="10" applyFont="1" applyAlignment="1">
      <alignment horizontal="left"/>
    </xf>
    <xf numFmtId="44" fontId="38" fillId="3" borderId="4" xfId="33" applyFont="1" applyFill="1" applyBorder="1"/>
    <xf numFmtId="0" fontId="10" fillId="9" borderId="42" xfId="17" applyFont="1" applyBorder="1" applyAlignment="1">
      <alignment horizontal="center"/>
    </xf>
    <xf numFmtId="0" fontId="10" fillId="9" borderId="65" xfId="17" applyFont="1" applyBorder="1" applyAlignment="1">
      <alignment horizontal="center"/>
    </xf>
    <xf numFmtId="187" fontId="43" fillId="2" borderId="4" xfId="1" applyNumberFormat="1" applyFont="1" applyFill="1" applyBorder="1" applyAlignment="1" applyProtection="1">
      <alignment horizontal="center" vertical="center"/>
      <protection locked="0"/>
    </xf>
    <xf numFmtId="6" fontId="32" fillId="0" borderId="0" xfId="32" applyNumberFormat="1" applyFont="1" applyFill="1" applyBorder="1"/>
    <xf numFmtId="0" fontId="18" fillId="0" borderId="0" xfId="2" applyFill="1" applyBorder="1"/>
    <xf numFmtId="0" fontId="14" fillId="9" borderId="46" xfId="17" applyBorder="1" applyAlignment="1">
      <alignment horizontal="center"/>
    </xf>
    <xf numFmtId="174" fontId="0" fillId="0" borderId="41" xfId="32" applyNumberFormat="1" applyFont="1" applyBorder="1" applyAlignment="1">
      <alignment horizontal="center"/>
    </xf>
    <xf numFmtId="174" fontId="0" fillId="0" borderId="0" xfId="32" applyNumberFormat="1" applyFont="1" applyBorder="1" applyAlignment="1">
      <alignment horizontal="center"/>
    </xf>
    <xf numFmtId="0" fontId="14" fillId="9" borderId="45" xfId="17" applyBorder="1" applyAlignment="1">
      <alignment horizontal="center"/>
    </xf>
    <xf numFmtId="0" fontId="15" fillId="21" borderId="47" xfId="35" applyAlignment="1">
      <alignment horizontal="center" vertical="center"/>
    </xf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81" fillId="0" borderId="0" xfId="10" applyFont="1" applyBorder="1"/>
    <xf numFmtId="0" fontId="0" fillId="0" borderId="95" xfId="0" applyBorder="1"/>
    <xf numFmtId="0" fontId="31" fillId="0" borderId="0" xfId="0" applyFont="1" applyBorder="1"/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36" fillId="0" borderId="0" xfId="10" applyBorder="1" applyAlignment="1">
      <alignment horizontal="left" indent="1"/>
    </xf>
    <xf numFmtId="0" fontId="20" fillId="0" borderId="91" xfId="5" applyBorder="1"/>
    <xf numFmtId="172" fontId="43" fillId="2" borderId="4" xfId="6" applyNumberFormat="1">
      <protection locked="0"/>
    </xf>
    <xf numFmtId="171" fontId="0" fillId="0" borderId="0" xfId="30" applyNumberFormat="1" applyFont="1"/>
    <xf numFmtId="0" fontId="0" fillId="0" borderId="0" xfId="0" applyNumberFormat="1" applyAlignment="1">
      <alignment horizontal="center"/>
    </xf>
    <xf numFmtId="177" fontId="36" fillId="0" borderId="0" xfId="32" applyNumberFormat="1" applyFont="1" applyAlignment="1">
      <alignment horizontal="right"/>
    </xf>
    <xf numFmtId="177" fontId="93" fillId="3" borderId="4" xfId="8" applyNumberFormat="1" applyFont="1" applyAlignment="1">
      <alignment horizontal="center"/>
    </xf>
    <xf numFmtId="173" fontId="31" fillId="0" borderId="0" xfId="32" applyFont="1" applyAlignment="1">
      <alignment horizontal="center"/>
    </xf>
    <xf numFmtId="177" fontId="31" fillId="0" borderId="0" xfId="0" applyNumberFormat="1" applyFont="1" applyAlignment="1">
      <alignment horizontal="center"/>
    </xf>
    <xf numFmtId="173" fontId="36" fillId="0" borderId="0" xfId="32" applyFont="1" applyAlignment="1">
      <alignment horizontal="center"/>
    </xf>
    <xf numFmtId="177" fontId="36" fillId="0" borderId="0" xfId="32" applyNumberFormat="1" applyFont="1" applyAlignment="1">
      <alignment horizontal="center"/>
    </xf>
    <xf numFmtId="0" fontId="96" fillId="0" borderId="0" xfId="10" applyFont="1" applyAlignment="1">
      <alignment horizontal="center"/>
    </xf>
    <xf numFmtId="0" fontId="81" fillId="0" borderId="0" xfId="10" applyFont="1" applyAlignment="1">
      <alignment horizontal="center"/>
    </xf>
    <xf numFmtId="0" fontId="81" fillId="0" borderId="0" xfId="10" applyFont="1" applyAlignment="1">
      <alignment horizontal="left" indent="1"/>
    </xf>
    <xf numFmtId="0" fontId="37" fillId="0" borderId="92" xfId="0" applyFont="1" applyBorder="1" applyAlignment="1">
      <alignment horizontal="center"/>
    </xf>
    <xf numFmtId="22" fontId="71" fillId="21" borderId="47" xfId="35" applyNumberFormat="1" applyFont="1" applyAlignment="1">
      <alignment horizontal="center"/>
    </xf>
    <xf numFmtId="0" fontId="81" fillId="0" borderId="0" xfId="1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3" fillId="10" borderId="4" xfId="25" applyFont="1">
      <protection locked="0"/>
    </xf>
    <xf numFmtId="0" fontId="43" fillId="2" borderId="4" xfId="6" applyFont="1" applyBorder="1">
      <protection locked="0"/>
    </xf>
    <xf numFmtId="0" fontId="11" fillId="11" borderId="9" xfId="9" applyFont="1" applyBorder="1">
      <protection locked="0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177" fontId="34" fillId="0" borderId="52" xfId="0" applyNumberFormat="1" applyFont="1" applyBorder="1" applyAlignment="1">
      <alignment horizontal="center" vertical="center"/>
    </xf>
    <xf numFmtId="173" fontId="34" fillId="0" borderId="0" xfId="32" applyFont="1" applyBorder="1" applyAlignment="1">
      <alignment horizontal="center"/>
    </xf>
    <xf numFmtId="174" fontId="34" fillId="14" borderId="18" xfId="32" applyNumberFormat="1" applyFont="1" applyFill="1" applyBorder="1" applyAlignment="1">
      <alignment horizontal="center"/>
    </xf>
    <xf numFmtId="173" fontId="34" fillId="0" borderId="17" xfId="32" applyFont="1" applyBorder="1" applyAlignment="1">
      <alignment horizontal="center" vertical="center"/>
    </xf>
    <xf numFmtId="173" fontId="34" fillId="0" borderId="0" xfId="32" applyFont="1" applyAlignment="1">
      <alignment horizontal="center" vertical="center"/>
    </xf>
    <xf numFmtId="185" fontId="34" fillId="0" borderId="0" xfId="1" applyNumberFormat="1" applyFont="1" applyBorder="1" applyAlignment="1">
      <alignment horizontal="center" vertical="center"/>
    </xf>
    <xf numFmtId="9" fontId="34" fillId="0" borderId="52" xfId="1" applyFont="1" applyBorder="1" applyAlignment="1">
      <alignment horizontal="center" vertical="center"/>
    </xf>
    <xf numFmtId="185" fontId="34" fillId="0" borderId="52" xfId="1" applyNumberFormat="1" applyFont="1" applyBorder="1" applyAlignment="1">
      <alignment horizontal="center" vertical="center"/>
    </xf>
    <xf numFmtId="9" fontId="34" fillId="0" borderId="0" xfId="1" applyFont="1" applyBorder="1" applyAlignment="1">
      <alignment horizontal="center" vertical="center"/>
    </xf>
    <xf numFmtId="10" fontId="34" fillId="0" borderId="0" xfId="1" applyNumberFormat="1" applyFont="1" applyBorder="1" applyAlignment="1">
      <alignment horizontal="center" vertical="center"/>
    </xf>
    <xf numFmtId="10" fontId="34" fillId="0" borderId="52" xfId="1" applyNumberFormat="1" applyFont="1" applyBorder="1" applyAlignment="1">
      <alignment horizontal="center" vertical="center"/>
    </xf>
    <xf numFmtId="173" fontId="34" fillId="0" borderId="56" xfId="32" applyFont="1" applyBorder="1" applyAlignment="1">
      <alignment horizontal="center" vertical="center"/>
    </xf>
    <xf numFmtId="177" fontId="34" fillId="0" borderId="0" xfId="32" applyNumberFormat="1" applyFont="1" applyBorder="1" applyAlignment="1">
      <alignment horizontal="center" vertical="center"/>
    </xf>
    <xf numFmtId="174" fontId="34" fillId="14" borderId="56" xfId="32" applyNumberFormat="1" applyFont="1" applyFill="1" applyBorder="1" applyAlignment="1">
      <alignment horizontal="center" vertical="center"/>
    </xf>
    <xf numFmtId="173" fontId="34" fillId="0" borderId="0" xfId="32" applyFont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174" fontId="34" fillId="14" borderId="0" xfId="32" applyNumberFormat="1" applyFont="1" applyFill="1" applyBorder="1" applyAlignment="1">
      <alignment horizontal="center"/>
    </xf>
    <xf numFmtId="0" fontId="97" fillId="11" borderId="6" xfId="9" applyFont="1">
      <protection locked="0"/>
    </xf>
    <xf numFmtId="173" fontId="70" fillId="3" borderId="4" xfId="8" applyNumberFormat="1" applyFont="1" applyAlignment="1">
      <alignment horizontal="center"/>
    </xf>
    <xf numFmtId="0" fontId="97" fillId="11" borderId="89" xfId="9" applyFont="1" applyBorder="1">
      <protection locked="0"/>
    </xf>
    <xf numFmtId="173" fontId="70" fillId="3" borderId="71" xfId="8" applyNumberFormat="1" applyFont="1" applyBorder="1" applyAlignment="1">
      <alignment horizontal="center"/>
    </xf>
    <xf numFmtId="203" fontId="0" fillId="14" borderId="0" xfId="1" applyNumberFormat="1" applyFont="1" applyFill="1" applyAlignment="1">
      <alignment horizontal="center"/>
    </xf>
    <xf numFmtId="203" fontId="44" fillId="14" borderId="0" xfId="1" applyNumberFormat="1" applyFont="1" applyFill="1" applyAlignment="1">
      <alignment horizontal="center"/>
    </xf>
    <xf numFmtId="204" fontId="0" fillId="0" borderId="0" xfId="1" applyNumberFormat="1" applyFont="1" applyFill="1" applyAlignment="1">
      <alignment horizontal="center"/>
    </xf>
    <xf numFmtId="204" fontId="44" fillId="0" borderId="0" xfId="1" applyNumberFormat="1" applyFont="1" applyFill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171" fontId="106" fillId="3" borderId="4" xfId="8" applyNumberFormat="1" applyAlignment="1">
      <alignment horizontal="right"/>
    </xf>
    <xf numFmtId="0" fontId="43" fillId="10" borderId="4" xfId="25" applyFont="1" applyBorder="1" applyAlignment="1">
      <alignment horizontal="center"/>
      <protection locked="0"/>
    </xf>
    <xf numFmtId="0" fontId="36" fillId="0" borderId="0" xfId="10" applyBorder="1" applyAlignment="1">
      <alignment horizontal="left"/>
    </xf>
    <xf numFmtId="16" fontId="0" fillId="0" borderId="0" xfId="0" applyNumberFormat="1"/>
    <xf numFmtId="201" fontId="43" fillId="2" borderId="4" xfId="6" applyNumberFormat="1" applyAlignment="1">
      <alignment horizontal="right"/>
      <protection locked="0"/>
    </xf>
    <xf numFmtId="2" fontId="106" fillId="3" borderId="4" xfId="8" applyAlignment="1">
      <alignment horizontal="right"/>
    </xf>
    <xf numFmtId="205" fontId="43" fillId="2" borderId="4" xfId="6" applyNumberFormat="1">
      <protection locked="0"/>
    </xf>
    <xf numFmtId="0" fontId="33" fillId="0" borderId="0" xfId="0" applyFont="1" applyAlignment="1">
      <alignment horizontal="right"/>
    </xf>
    <xf numFmtId="2" fontId="98" fillId="3" borderId="4" xfId="8" applyFont="1" applyAlignment="1">
      <alignment horizontal="right"/>
    </xf>
    <xf numFmtId="8" fontId="32" fillId="0" borderId="0" xfId="32" applyNumberFormat="1" applyFont="1" applyFill="1" applyBorder="1"/>
    <xf numFmtId="8" fontId="0" fillId="0" borderId="0" xfId="32" applyNumberFormat="1" applyFont="1" applyAlignment="1">
      <alignment horizontal="right"/>
    </xf>
    <xf numFmtId="8" fontId="0" fillId="0" borderId="0" xfId="32" applyNumberFormat="1" applyFont="1"/>
    <xf numFmtId="170" fontId="31" fillId="0" borderId="0" xfId="0" applyNumberFormat="1" applyFont="1"/>
    <xf numFmtId="8" fontId="70" fillId="3" borderId="4" xfId="8" applyNumberFormat="1" applyFont="1"/>
    <xf numFmtId="173" fontId="70" fillId="0" borderId="4" xfId="8" applyNumberFormat="1" applyFont="1" applyFill="1"/>
    <xf numFmtId="0" fontId="34" fillId="0" borderId="0" xfId="0" applyFont="1" applyAlignment="1">
      <alignment horizontal="left" indent="1"/>
    </xf>
    <xf numFmtId="0" fontId="20" fillId="0" borderId="0" xfId="5" applyAlignment="1">
      <alignment horizontal="right" indent="2"/>
    </xf>
    <xf numFmtId="0" fontId="34" fillId="0" borderId="0" xfId="0" applyFont="1" applyAlignment="1">
      <alignment horizontal="right" indent="2"/>
    </xf>
    <xf numFmtId="0" fontId="31" fillId="0" borderId="0" xfId="0" applyFont="1" applyAlignment="1">
      <alignment horizontal="left" indent="1"/>
    </xf>
    <xf numFmtId="0" fontId="99" fillId="10" borderId="4" xfId="25" applyFont="1" applyAlignment="1">
      <alignment horizontal="center"/>
      <protection locked="0"/>
    </xf>
    <xf numFmtId="0" fontId="0" fillId="0" borderId="0" xfId="0" applyAlignment="1">
      <alignment horizontal="right" indent="1"/>
    </xf>
    <xf numFmtId="0" fontId="10" fillId="9" borderId="57" xfId="17" applyFont="1" applyBorder="1" applyAlignment="1">
      <alignment horizontal="center"/>
    </xf>
    <xf numFmtId="0" fontId="100" fillId="11" borderId="6" xfId="9" applyFont="1">
      <protection locked="0"/>
    </xf>
    <xf numFmtId="0" fontId="101" fillId="0" borderId="0" xfId="0" applyFont="1" applyFill="1" applyBorder="1" applyAlignment="1">
      <alignment horizontal="center" vertical="center"/>
    </xf>
    <xf numFmtId="0" fontId="101" fillId="0" borderId="0" xfId="0" applyFont="1" applyAlignment="1">
      <alignment horizontal="center" vertical="center"/>
    </xf>
    <xf numFmtId="173" fontId="101" fillId="0" borderId="0" xfId="32" applyFont="1" applyAlignment="1">
      <alignment horizontal="center"/>
    </xf>
    <xf numFmtId="173" fontId="102" fillId="3" borderId="4" xfId="8" applyNumberFormat="1" applyFont="1" applyAlignment="1">
      <alignment horizontal="center"/>
    </xf>
    <xf numFmtId="174" fontId="101" fillId="14" borderId="0" xfId="32" applyNumberFormat="1" applyFont="1" applyFill="1" applyBorder="1" applyAlignment="1">
      <alignment horizontal="center"/>
    </xf>
    <xf numFmtId="173" fontId="101" fillId="0" borderId="17" xfId="32" applyFont="1" applyBorder="1" applyAlignment="1">
      <alignment horizontal="center" vertical="center"/>
    </xf>
    <xf numFmtId="9" fontId="101" fillId="0" borderId="52" xfId="1" applyFont="1" applyBorder="1" applyAlignment="1">
      <alignment horizontal="center" vertical="center"/>
    </xf>
    <xf numFmtId="173" fontId="101" fillId="0" borderId="0" xfId="32" applyNumberFormat="1" applyFont="1" applyAlignment="1">
      <alignment horizontal="center" vertical="center"/>
    </xf>
    <xf numFmtId="9" fontId="101" fillId="0" borderId="0" xfId="1" applyFont="1" applyBorder="1" applyAlignment="1">
      <alignment horizontal="center" vertical="center"/>
    </xf>
    <xf numFmtId="174" fontId="101" fillId="14" borderId="56" xfId="32" applyNumberFormat="1" applyFont="1" applyFill="1" applyBorder="1" applyAlignment="1">
      <alignment horizontal="center" vertical="center"/>
    </xf>
    <xf numFmtId="174" fontId="101" fillId="14" borderId="18" xfId="32" applyNumberFormat="1" applyFont="1" applyFill="1" applyBorder="1" applyAlignment="1">
      <alignment horizontal="center"/>
    </xf>
    <xf numFmtId="0" fontId="10" fillId="4" borderId="0" xfId="12" quotePrefix="1" applyFont="1" applyBorder="1" applyAlignment="1">
      <alignment horizontal="center"/>
    </xf>
    <xf numFmtId="0" fontId="103" fillId="0" borderId="0" xfId="0" applyFont="1" applyAlignment="1">
      <alignment horizontal="right"/>
    </xf>
    <xf numFmtId="0" fontId="32" fillId="17" borderId="7" xfId="11" applyFill="1"/>
    <xf numFmtId="172" fontId="32" fillId="17" borderId="7" xfId="31" applyFont="1" applyFill="1" applyBorder="1"/>
    <xf numFmtId="172" fontId="0" fillId="0" borderId="0" xfId="31" applyNumberFormat="1" applyFont="1" applyAlignment="1">
      <alignment horizontal="center"/>
    </xf>
    <xf numFmtId="172" fontId="0" fillId="0" borderId="0" xfId="31" applyNumberFormat="1" applyFont="1" applyBorder="1" applyAlignment="1">
      <alignment horizontal="center"/>
    </xf>
    <xf numFmtId="0" fontId="104" fillId="16" borderId="8" xfId="11" applyFont="1" applyFill="1" applyBorder="1" applyAlignment="1">
      <alignment horizontal="center"/>
    </xf>
    <xf numFmtId="173" fontId="105" fillId="14" borderId="0" xfId="32" applyFont="1" applyFill="1" applyBorder="1" applyAlignment="1">
      <alignment horizontal="center"/>
    </xf>
    <xf numFmtId="0" fontId="10" fillId="34" borderId="0" xfId="12" quotePrefix="1" applyFont="1" applyFill="1" applyBorder="1" applyAlignment="1">
      <alignment horizontal="left"/>
    </xf>
    <xf numFmtId="0" fontId="10" fillId="34" borderId="0" xfId="12" applyFont="1" applyFill="1" applyBorder="1" applyAlignment="1">
      <alignment horizontal="center" vertical="center"/>
    </xf>
    <xf numFmtId="0" fontId="10" fillId="34" borderId="0" xfId="12" applyFont="1" applyFill="1" applyBorder="1" applyAlignment="1">
      <alignment horizontal="right" vertical="center"/>
    </xf>
    <xf numFmtId="199" fontId="0" fillId="0" borderId="0" xfId="31" applyNumberFormat="1" applyFont="1" applyAlignment="1">
      <alignment horizontal="right"/>
    </xf>
    <xf numFmtId="172" fontId="31" fillId="0" borderId="0" xfId="31" applyFont="1"/>
    <xf numFmtId="172" fontId="32" fillId="14" borderId="7" xfId="31" applyNumberFormat="1" applyFont="1" applyFill="1" applyBorder="1"/>
    <xf numFmtId="172" fontId="43" fillId="2" borderId="4" xfId="31" applyFont="1" applyFill="1" applyBorder="1" applyProtection="1">
      <protection locked="0"/>
    </xf>
    <xf numFmtId="206" fontId="43" fillId="2" borderId="4" xfId="1" applyNumberFormat="1" applyFont="1" applyFill="1" applyBorder="1" applyAlignment="1" applyProtection="1">
      <alignment horizontal="center" vertical="center"/>
      <protection locked="0"/>
    </xf>
    <xf numFmtId="177" fontId="43" fillId="2" borderId="4" xfId="6" applyNumberFormat="1" applyAlignment="1">
      <alignment horizontal="center" vertical="center"/>
      <protection locked="0"/>
    </xf>
    <xf numFmtId="173" fontId="38" fillId="3" borderId="4" xfId="32" applyFont="1" applyFill="1" applyBorder="1" applyAlignment="1">
      <alignment horizontal="center"/>
    </xf>
    <xf numFmtId="185" fontId="43" fillId="2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41" xfId="0" applyFont="1" applyFill="1" applyBorder="1"/>
    <xf numFmtId="0" fontId="0" fillId="0" borderId="41" xfId="0" applyFont="1" applyBorder="1"/>
    <xf numFmtId="0" fontId="1" fillId="35" borderId="0" xfId="38" quotePrefix="1" applyBorder="1" applyAlignment="1">
      <alignment horizontal="left"/>
    </xf>
    <xf numFmtId="0" fontId="1" fillId="35" borderId="0" xfId="38" applyBorder="1" applyAlignment="1">
      <alignment horizontal="center" vertical="center"/>
    </xf>
    <xf numFmtId="0" fontId="1" fillId="35" borderId="0" xfId="38" applyBorder="1" applyAlignment="1">
      <alignment horizontal="right" vertical="center"/>
    </xf>
    <xf numFmtId="207" fontId="0" fillId="0" borderId="0" xfId="32" applyNumberFormat="1" applyFont="1" applyAlignment="1">
      <alignment horizontal="right"/>
    </xf>
    <xf numFmtId="207" fontId="0" fillId="0" borderId="0" xfId="32" applyNumberFormat="1" applyFont="1"/>
    <xf numFmtId="207" fontId="32" fillId="17" borderId="7" xfId="11" applyNumberFormat="1" applyFill="1"/>
    <xf numFmtId="9" fontId="43" fillId="2" borderId="4" xfId="1" applyFont="1" applyFill="1" applyBorder="1" applyAlignment="1" applyProtection="1">
      <alignment horizontal="center" vertical="center"/>
      <protection locked="0"/>
    </xf>
    <xf numFmtId="172" fontId="70" fillId="3" borderId="4" xfId="8" applyNumberFormat="1" applyFont="1"/>
    <xf numFmtId="9" fontId="43" fillId="2" borderId="4" xfId="6" applyNumberFormat="1" applyFont="1">
      <protection locked="0"/>
    </xf>
    <xf numFmtId="199" fontId="43" fillId="2" borderId="4" xfId="31" applyNumberFormat="1" applyFont="1" applyFill="1" applyBorder="1" applyProtection="1">
      <protection locked="0"/>
    </xf>
    <xf numFmtId="9" fontId="70" fillId="3" borderId="4" xfId="1" applyFont="1" applyFill="1" applyBorder="1" applyAlignment="1">
      <alignment horizontal="center"/>
    </xf>
    <xf numFmtId="44" fontId="43" fillId="2" borderId="4" xfId="6" applyNumberFormat="1" applyFont="1">
      <protection locked="0"/>
    </xf>
    <xf numFmtId="44" fontId="70" fillId="3" borderId="4" xfId="33" applyNumberFormat="1" applyFont="1" applyFill="1" applyBorder="1"/>
    <xf numFmtId="9" fontId="43" fillId="2" borderId="4" xfId="1" applyFont="1" applyFill="1" applyBorder="1" applyAlignment="1" applyProtection="1">
      <alignment horizontal="center"/>
      <protection locked="0"/>
    </xf>
    <xf numFmtId="44" fontId="0" fillId="16" borderId="0" xfId="33" applyFont="1" applyFill="1" applyBorder="1" applyAlignment="1">
      <alignment horizontal="center"/>
    </xf>
    <xf numFmtId="170" fontId="92" fillId="0" borderId="0" xfId="28" applyFont="1" applyAlignment="1">
      <alignment horizontal="center" vertical="center"/>
    </xf>
    <xf numFmtId="44" fontId="31" fillId="16" borderId="8" xfId="33" applyFont="1" applyFill="1" applyBorder="1" applyAlignment="1">
      <alignment horizontal="center"/>
    </xf>
    <xf numFmtId="208" fontId="0" fillId="16" borderId="20" xfId="1" applyNumberFormat="1" applyFont="1" applyFill="1" applyBorder="1" applyAlignment="1">
      <alignment horizontal="center"/>
    </xf>
    <xf numFmtId="0" fontId="54" fillId="0" borderId="0" xfId="5" applyFont="1"/>
    <xf numFmtId="174" fontId="0" fillId="0" borderId="0" xfId="32" applyNumberFormat="1" applyFont="1" applyAlignment="1">
      <alignment horizontal="right"/>
    </xf>
    <xf numFmtId="174" fontId="0" fillId="0" borderId="0" xfId="0" applyNumberFormat="1"/>
    <xf numFmtId="174" fontId="32" fillId="17" borderId="7" xfId="11" applyNumberFormat="1" applyFill="1"/>
    <xf numFmtId="1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32" applyFont="1" applyFill="1" applyAlignment="1">
      <alignment horizontal="center"/>
    </xf>
    <xf numFmtId="173" fontId="0" fillId="0" borderId="0" xfId="32" applyFont="1" applyFill="1"/>
    <xf numFmtId="209" fontId="0" fillId="0" borderId="78" xfId="32" applyNumberFormat="1" applyFont="1" applyBorder="1" applyAlignment="1">
      <alignment horizontal="right"/>
    </xf>
    <xf numFmtId="171" fontId="43" fillId="2" borderId="4" xfId="30" applyNumberFormat="1" applyFont="1" applyFill="1" applyBorder="1" applyProtection="1">
      <protection locked="0"/>
    </xf>
    <xf numFmtId="0" fontId="36" fillId="0" borderId="0" xfId="10" applyFont="1" applyFill="1" applyAlignment="1">
      <alignment horizontal="center"/>
    </xf>
    <xf numFmtId="172" fontId="0" fillId="0" borderId="0" xfId="31" applyFont="1" applyFill="1" applyAlignment="1">
      <alignment horizontal="right"/>
    </xf>
    <xf numFmtId="2" fontId="0" fillId="0" borderId="0" xfId="32" applyNumberFormat="1" applyFont="1"/>
    <xf numFmtId="2" fontId="0" fillId="0" borderId="0" xfId="32" applyNumberFormat="1" applyFont="1" applyBorder="1"/>
    <xf numFmtId="2" fontId="0" fillId="0" borderId="0" xfId="0" applyNumberFormat="1"/>
    <xf numFmtId="2" fontId="0" fillId="0" borderId="0" xfId="0" applyNumberFormat="1" applyFill="1"/>
    <xf numFmtId="173" fontId="0" fillId="36" borderId="0" xfId="32" applyFont="1" applyFill="1"/>
    <xf numFmtId="173" fontId="106" fillId="36" borderId="4" xfId="8" applyNumberFormat="1" applyFill="1"/>
    <xf numFmtId="1" fontId="0" fillId="36" borderId="0" xfId="0" applyNumberFormat="1" applyFill="1" applyAlignment="1">
      <alignment horizontal="center"/>
    </xf>
    <xf numFmtId="173" fontId="0" fillId="36" borderId="0" xfId="32" applyFont="1" applyFill="1" applyAlignment="1">
      <alignment horizontal="center"/>
    </xf>
    <xf numFmtId="173" fontId="0" fillId="36" borderId="0" xfId="32" applyFont="1" applyFill="1" applyAlignment="1">
      <alignment horizontal="right"/>
    </xf>
    <xf numFmtId="44" fontId="106" fillId="36" borderId="4" xfId="8" applyNumberFormat="1" applyFill="1"/>
    <xf numFmtId="44" fontId="38" fillId="36" borderId="4" xfId="33" applyNumberFormat="1" applyFont="1" applyFill="1" applyBorder="1"/>
    <xf numFmtId="174" fontId="43" fillId="36" borderId="4" xfId="32" applyNumberFormat="1" applyFont="1" applyFill="1" applyBorder="1" applyAlignment="1" applyProtection="1">
      <alignment horizontal="center"/>
      <protection locked="0"/>
    </xf>
    <xf numFmtId="6" fontId="106" fillId="36" borderId="4" xfId="8" applyNumberFormat="1" applyFill="1"/>
    <xf numFmtId="172" fontId="0" fillId="36" borderId="0" xfId="31" applyFont="1" applyFill="1"/>
    <xf numFmtId="173" fontId="43" fillId="36" borderId="4" xfId="32" applyFont="1" applyFill="1" applyBorder="1" applyAlignment="1" applyProtection="1">
      <alignment horizontal="center"/>
      <protection locked="0"/>
    </xf>
    <xf numFmtId="173" fontId="34" fillId="36" borderId="41" xfId="32" applyFont="1" applyFill="1" applyBorder="1"/>
    <xf numFmtId="173" fontId="36" fillId="36" borderId="0" xfId="32" applyFont="1" applyFill="1" applyAlignment="1">
      <alignment horizontal="right"/>
    </xf>
    <xf numFmtId="173" fontId="0" fillId="36" borderId="20" xfId="32" applyFont="1" applyFill="1" applyBorder="1" applyAlignment="1">
      <alignment horizontal="center"/>
    </xf>
    <xf numFmtId="44" fontId="0" fillId="36" borderId="0" xfId="33" applyFont="1" applyFill="1" applyBorder="1" applyAlignment="1">
      <alignment horizontal="center"/>
    </xf>
    <xf numFmtId="174" fontId="0" fillId="36" borderId="0" xfId="30" applyNumberFormat="1" applyFont="1" applyFill="1"/>
    <xf numFmtId="173" fontId="34" fillId="36" borderId="17" xfId="32" applyFont="1" applyFill="1" applyBorder="1" applyAlignment="1">
      <alignment horizontal="center"/>
    </xf>
    <xf numFmtId="173" fontId="34" fillId="36" borderId="0" xfId="32" applyFont="1" applyFill="1" applyBorder="1" applyAlignment="1">
      <alignment horizontal="center"/>
    </xf>
    <xf numFmtId="173" fontId="34" fillId="36" borderId="0" xfId="32" applyFont="1" applyFill="1" applyAlignment="1">
      <alignment horizontal="center"/>
    </xf>
    <xf numFmtId="173" fontId="101" fillId="36" borderId="0" xfId="32" applyNumberFormat="1" applyFont="1" applyFill="1" applyAlignment="1">
      <alignment horizontal="center"/>
    </xf>
    <xf numFmtId="173" fontId="34" fillId="36" borderId="0" xfId="32" applyFont="1" applyFill="1" applyAlignment="1">
      <alignment horizontal="center" vertical="center"/>
    </xf>
    <xf numFmtId="173" fontId="101" fillId="36" borderId="0" xfId="32" applyNumberFormat="1" applyFont="1" applyFill="1" applyAlignment="1">
      <alignment horizontal="center" vertical="center"/>
    </xf>
    <xf numFmtId="174" fontId="34" fillId="36" borderId="0" xfId="32" applyNumberFormat="1" applyFont="1" applyFill="1" applyAlignment="1">
      <alignment horizontal="center" vertical="center"/>
    </xf>
    <xf numFmtId="173" fontId="70" fillId="36" borderId="99" xfId="8" applyNumberFormat="1" applyFont="1" applyFill="1" applyBorder="1" applyAlignment="1">
      <alignment horizontal="center" vertical="center"/>
    </xf>
    <xf numFmtId="173" fontId="70" fillId="36" borderId="4" xfId="8" applyNumberFormat="1" applyFont="1" applyFill="1" applyAlignment="1">
      <alignment horizontal="center" vertical="center"/>
    </xf>
    <xf numFmtId="173" fontId="70" fillId="36" borderId="100" xfId="8" applyNumberFormat="1" applyFont="1" applyFill="1" applyBorder="1" applyAlignment="1">
      <alignment horizontal="center" vertical="center"/>
    </xf>
    <xf numFmtId="173" fontId="70" fillId="36" borderId="71" xfId="8" applyNumberFormat="1" applyFont="1" applyFill="1" applyBorder="1" applyAlignment="1">
      <alignment horizontal="center" vertical="center"/>
    </xf>
    <xf numFmtId="173" fontId="102" fillId="36" borderId="17" xfId="8" applyNumberFormat="1" applyFont="1" applyFill="1" applyBorder="1" applyAlignment="1">
      <alignment horizontal="center" vertical="center"/>
    </xf>
    <xf numFmtId="173" fontId="102" fillId="36" borderId="4" xfId="8" applyNumberFormat="1" applyFont="1" applyFill="1" applyAlignment="1">
      <alignment horizontal="center" vertical="center"/>
    </xf>
    <xf numFmtId="173" fontId="43" fillId="36" borderId="4" xfId="6" applyNumberFormat="1" applyFill="1" applyAlignment="1">
      <alignment horizontal="center"/>
      <protection locked="0"/>
    </xf>
    <xf numFmtId="173" fontId="0" fillId="36" borderId="0" xfId="32" applyFont="1" applyFill="1" applyBorder="1" applyAlignment="1">
      <alignment horizontal="center"/>
    </xf>
    <xf numFmtId="173" fontId="0" fillId="36" borderId="18" xfId="32" applyFont="1" applyFill="1" applyBorder="1" applyAlignment="1">
      <alignment horizontal="center"/>
    </xf>
    <xf numFmtId="173" fontId="43" fillId="0" borderId="4" xfId="6" applyNumberFormat="1" applyFill="1" applyAlignment="1">
      <alignment horizontal="center"/>
      <protection locked="0"/>
    </xf>
    <xf numFmtId="173" fontId="0" fillId="0" borderId="0" xfId="32" applyFont="1" applyFill="1" applyBorder="1" applyAlignment="1">
      <alignment horizontal="center"/>
    </xf>
    <xf numFmtId="173" fontId="0" fillId="0" borderId="18" xfId="32" applyFont="1" applyFill="1" applyBorder="1" applyAlignment="1">
      <alignment horizontal="center"/>
    </xf>
    <xf numFmtId="176" fontId="43" fillId="36" borderId="4" xfId="33" applyNumberFormat="1" applyFont="1" applyFill="1" applyBorder="1" applyProtection="1">
      <protection locked="0"/>
    </xf>
    <xf numFmtId="44" fontId="43" fillId="36" borderId="4" xfId="33" applyFont="1" applyFill="1" applyBorder="1" applyProtection="1">
      <protection locked="0"/>
    </xf>
    <xf numFmtId="174" fontId="0" fillId="36" borderId="78" xfId="32" applyNumberFormat="1" applyFont="1" applyFill="1" applyBorder="1" applyAlignment="1">
      <alignment horizontal="right"/>
    </xf>
    <xf numFmtId="174" fontId="43" fillId="36" borderId="4" xfId="6" applyNumberFormat="1" applyFill="1" applyAlignment="1">
      <alignment horizontal="right"/>
      <protection locked="0"/>
    </xf>
    <xf numFmtId="0" fontId="43" fillId="36" borderId="4" xfId="6" applyFill="1" applyAlignment="1">
      <alignment horizontal="right"/>
      <protection locked="0"/>
    </xf>
    <xf numFmtId="173" fontId="32" fillId="36" borderId="80" xfId="32" applyFont="1" applyFill="1" applyBorder="1" applyAlignment="1">
      <alignment horizontal="right"/>
    </xf>
    <xf numFmtId="173" fontId="32" fillId="36" borderId="7" xfId="32" applyFont="1" applyFill="1" applyBorder="1" applyAlignment="1">
      <alignment horizontal="right"/>
    </xf>
    <xf numFmtId="174" fontId="43" fillId="36" borderId="4" xfId="6" applyNumberFormat="1" applyFill="1" applyAlignment="1">
      <alignment horizontal="center" vertical="center"/>
      <protection locked="0"/>
    </xf>
    <xf numFmtId="174" fontId="4" fillId="36" borderId="17" xfId="32" applyNumberFormat="1" applyFont="1" applyFill="1" applyBorder="1" applyAlignment="1">
      <alignment horizontal="center" vertical="center"/>
    </xf>
    <xf numFmtId="174" fontId="4" fillId="36" borderId="0" xfId="32" applyNumberFormat="1" applyFont="1" applyFill="1" applyAlignment="1">
      <alignment horizontal="center" vertical="center"/>
    </xf>
    <xf numFmtId="173" fontId="43" fillId="36" borderId="43" xfId="6" applyNumberFormat="1" applyFill="1" applyBorder="1" applyAlignment="1">
      <alignment horizontal="center" vertical="center"/>
      <protection locked="0"/>
    </xf>
    <xf numFmtId="173" fontId="43" fillId="36" borderId="83" xfId="6" applyNumberFormat="1" applyFill="1" applyBorder="1" applyAlignment="1">
      <alignment horizontal="center" vertical="center"/>
      <protection locked="0"/>
    </xf>
    <xf numFmtId="174" fontId="0" fillId="36" borderId="41" xfId="32" applyNumberFormat="1" applyFont="1" applyFill="1" applyBorder="1" applyAlignment="1">
      <alignment horizontal="center"/>
    </xf>
    <xf numFmtId="174" fontId="0" fillId="36" borderId="0" xfId="32" applyNumberFormat="1" applyFont="1" applyFill="1" applyBorder="1" applyAlignment="1">
      <alignment horizontal="center"/>
    </xf>
    <xf numFmtId="173" fontId="43" fillId="36" borderId="4" xfId="32" applyFont="1" applyFill="1" applyBorder="1" applyProtection="1">
      <protection locked="0"/>
    </xf>
    <xf numFmtId="173" fontId="106" fillId="36" borderId="4" xfId="8" applyNumberFormat="1" applyFill="1" applyAlignment="1">
      <alignment horizontal="right"/>
    </xf>
  </cellXfs>
  <cellStyles count="43">
    <cellStyle name="20% - Accent1" xfId="13" builtinId="30" customBuiltin="1"/>
    <cellStyle name="20% - Accent1 2" xfId="39" xr:uid="{00000000-0005-0000-0000-000001000000}"/>
    <cellStyle name="20% - Accent2" xfId="38" builtinId="34"/>
    <cellStyle name="40% - Accent6" xfId="36" builtinId="51"/>
    <cellStyle name="40% - Accent6 2" xfId="42" xr:uid="{00000000-0005-0000-0000-000004000000}"/>
    <cellStyle name="60% - Accent1" xfId="34" builtinId="32"/>
    <cellStyle name="Accent1" xfId="12" builtinId="29" customBuiltin="1"/>
    <cellStyle name="Accent2" xfId="14" builtinId="33" customBuiltin="1"/>
    <cellStyle name="Accent3" xfId="15" builtinId="37" customBuiltin="1"/>
    <cellStyle name="Accent5" xfId="16" builtinId="45" customBuiltin="1"/>
    <cellStyle name="Accent6" xfId="17" builtinId="49" customBuiltin="1"/>
    <cellStyle name="Calculation" xfId="8" builtinId="22" customBuiltin="1"/>
    <cellStyle name="Check" xfId="18" xr:uid="{00000000-0005-0000-0000-00000C000000}"/>
    <cellStyle name="Check Cell" xfId="35" builtinId="23"/>
    <cellStyle name="Check Left" xfId="19" xr:uid="{00000000-0005-0000-0000-00000E000000}"/>
    <cellStyle name="Check Right" xfId="20" xr:uid="{00000000-0005-0000-0000-00000F000000}"/>
    <cellStyle name="Check Up" xfId="21" xr:uid="{00000000-0005-0000-0000-000010000000}"/>
    <cellStyle name="Check Up 2" xfId="22" xr:uid="{00000000-0005-0000-0000-000011000000}"/>
    <cellStyle name="Comma" xfId="30" builtinId="3"/>
    <cellStyle name="Comma [0]" xfId="31" builtinId="6" customBuiltin="1"/>
    <cellStyle name="Comma 2" xfId="40" xr:uid="{00000000-0005-0000-0000-000014000000}"/>
    <cellStyle name="Currency" xfId="33" builtinId="4"/>
    <cellStyle name="Currency [0]" xfId="32" builtinId="7" customBuiltin="1"/>
    <cellStyle name="Currency 2" xfId="41" xr:uid="{00000000-0005-0000-0000-000017000000}"/>
    <cellStyle name="Explanatory Text" xfId="10" builtinId="53" customBuiltin="1"/>
    <cellStyle name="Good" xfId="37" builtinId="26"/>
    <cellStyle name="Heading 1" xfId="2" builtinId="16" customBuiltin="1"/>
    <cellStyle name="Heading 2" xfId="3" builtinId="17" customBuiltin="1"/>
    <cellStyle name="Heading 3" xfId="4" builtinId="18"/>
    <cellStyle name="Heading 4" xfId="5" builtinId="19" customBuiltin="1"/>
    <cellStyle name="Hidden" xfId="23" xr:uid="{00000000-0005-0000-0000-00001E000000}"/>
    <cellStyle name="Hyperlink" xfId="24" builtinId="8"/>
    <cellStyle name="Input" xfId="6" builtinId="20" customBuiltin="1"/>
    <cellStyle name="Input dd" xfId="25" xr:uid="{00000000-0005-0000-0000-000021000000}"/>
    <cellStyle name="Normal" xfId="0" builtinId="0" customBuiltin="1"/>
    <cellStyle name="Note" xfId="9" builtinId="10" customBuiltin="1"/>
    <cellStyle name="Number" xfId="26" xr:uid="{00000000-0005-0000-0000-000024000000}"/>
    <cellStyle name="Output" xfId="7" builtinId="21" customBuiltin="1"/>
    <cellStyle name="Output 2" xfId="27" xr:uid="{00000000-0005-0000-0000-000026000000}"/>
    <cellStyle name="Percent" xfId="1" builtinId="5"/>
    <cellStyle name="Required" xfId="28" xr:uid="{00000000-0005-0000-0000-000028000000}"/>
    <cellStyle name="Sub 5" xfId="29" xr:uid="{00000000-0005-0000-0000-000029000000}"/>
    <cellStyle name="Total" xfId="11" builtinId="25" customBuiltin="1"/>
  </cellStyles>
  <dxfs count="3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3" formatCode="_-&quot;$&quot;\ #,##0_-;[Red]\-&quot;$&quot;\ #,##0_-;\ &quot;-&quot;_-;_-@_-"/>
    </dxf>
    <dxf>
      <fill>
        <patternFill patternType="solid">
          <fgColor indexed="64"/>
          <bgColor theme="1"/>
        </patternFill>
      </fill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numFmt numFmtId="173" formatCode="_-&quot;$&quot;\ #,##0_-;[Red]\-&quot;$&quot;\ #,##0_-;\ &quot;-&quot;_-;_-@_-"/>
    </dxf>
    <dxf>
      <numFmt numFmtId="171" formatCode="_-* #,##0_-;\-* #,##0_-;_-* &quot;-&quot;??_-;_-@_-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numFmt numFmtId="172" formatCode="_-* #,##0_-;[Red]\-* #,##0_-;_-* &quot;-&quot;_-;_-@_-"/>
      <alignment horizontal="left" vertical="bottom" textRotation="0" wrapText="0" indent="0" justifyLastLine="0" shrinkToFit="0" readingOrder="0"/>
    </dxf>
    <dxf>
      <numFmt numFmtId="172" formatCode="_-* #,##0_-;[Red]\-* #,##0_-;_-* &quot;-&quot;_-;_-@_-"/>
      <alignment horizontal="left" vertical="bottom" textRotation="0" wrapText="0" indent="0" justifyLastLine="0" shrinkToFit="0" readingOrder="0"/>
    </dxf>
    <dxf>
      <numFmt numFmtId="172" formatCode="_-* #,##0_-;[Red]\-* #,##0_-;_-* &quot;-&quot;_-;_-@_-"/>
      <alignment horizontal="left" vertical="bottom" textRotation="0" wrapText="0" indent="0" justifyLastLine="0" shrinkToFit="0" readingOrder="0"/>
    </dxf>
    <dxf>
      <numFmt numFmtId="172" formatCode="_-* #,##0_-;[Red]\-* #,##0_-;_-* &quot;-&quot;_-;_-@_-"/>
      <alignment horizontal="left" vertical="bottom" textRotation="0" wrapText="0" indent="0" justifyLastLine="0" shrinkToFit="0" readingOrder="0"/>
    </dxf>
    <dxf>
      <numFmt numFmtId="172" formatCode="_-* #,##0_-;[Red]\-* #,##0_-;_-* &quot;-&quot;_-;_-@_-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sz val="9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sz val="9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sz val="9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font>
        <sz val="9"/>
      </font>
      <numFmt numFmtId="33" formatCode="_-* #,##0_-;\-* #,##0_-;_-* &quot;-&quot;_-;_-@_-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z val="9"/>
      </font>
      <alignment horizontal="left" vertical="bottom" textRotation="0" wrapText="0" indent="0" justifyLastLine="0" shrinkToFit="0" readingOrder="0"/>
    </dxf>
    <dxf>
      <numFmt numFmtId="33" formatCode="_-* #,##0_-;\-* #,##0_-;_-* &quot;-&quot;_-;_-@_-"/>
    </dxf>
    <dxf>
      <font>
        <sz val="9"/>
      </font>
      <alignment horizontal="right" vertical="bottom" textRotation="0" wrapText="0" indent="0" justifyLastLine="0" shrinkToFit="0" readingOrder="0"/>
    </dxf>
    <dxf>
      <alignment horizontal="right" vertical="bottom" textRotation="0" wrapText="1" indent="0" justifyLastLine="0" shrinkToFit="0" readingOrder="0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alignment horizontal="center" vertical="center" textRotation="0" wrapText="1" indent="0" justifyLastLine="0" shrinkToFit="0" readingOrder="0"/>
    </dxf>
    <dxf>
      <numFmt numFmtId="172" formatCode="_-* #,##0_-;[Red]\-* #,##0_-;_-* &quot;-&quot;_-;_-@_-"/>
    </dxf>
    <dxf>
      <numFmt numFmtId="172" formatCode="_-* #,##0_-;[Red]\-* #,##0_-;_-* &quot;-&quot;_-;_-@_-"/>
    </dxf>
    <dxf>
      <numFmt numFmtId="172" formatCode="_-* #,##0_-;[Red]\-* #,##0_-;_-* &quot;-&quot;_-;_-@_-"/>
    </dxf>
    <dxf>
      <alignment horizontal="right" vertical="bottom" textRotation="0" wrapText="0" indent="0" justifyLastLine="0" shrinkToFit="0" readingOrder="0"/>
    </dxf>
    <dxf>
      <numFmt numFmtId="172" formatCode="_-* #,##0_-;[Red]\-* #,##0_-;_-* &quot;-&quot;_-;_-@_-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0"/>
    </dxf>
    <dxf>
      <numFmt numFmtId="172" formatCode="_-* #,##0_-;[Red]\-* #,##0_-;_-* &quot;-&quot;_-;_-@_-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72" formatCode="_-* #,##0_-;[Red]\-* #,##0_-;_-* &quot;-&quot;_-;_-@_-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numFmt numFmtId="172" formatCode="_-* #,##0_-;[Red]\-* #,##0_-;_-* &quot;-&quot;_-;_-@_-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3" formatCode="_-&quot;$&quot;\ #,##0_-;[Red]\-&quot;$&quot;\ #,##0_-;\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72" formatCode="_-* #,##0_-;[Red]\-* #,##0_-;_-* &quot;-&quot;_-;_-@_-"/>
      <fill>
        <patternFill patternType="solid">
          <fgColor indexed="64"/>
          <bgColor theme="0" tint="-0.249977111117893"/>
        </patternFill>
      </fill>
      <alignment horizontal="right" vertical="bottom" textRotation="0" wrapText="0" indent="0" justifyLastLine="0" shrinkToFit="0" readingOrder="0"/>
    </dxf>
    <dxf>
      <numFmt numFmtId="172" formatCode="_-* #,##0_-;[Red]\-* #,##0_-;_-* &quot;-&quot;_-;_-@_-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72" formatCode="_-* #,##0_-;[Red]\-* #,##0_-;_-* &quot;-&quot;_-;_-@_-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numFmt numFmtId="172" formatCode="_-* #,##0_-;[Red]\-* #,##0_-;_-* &quot;-&quot;_-;_-@_-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74" formatCode="_-&quot;$&quot;\ #,##0.00_-;[Red]\-&quot;$&quot;\ #,##0.00_-;\ &quot;-&quot;_-;_-@_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4" formatCode="_-&quot;$&quot;\ #,##0.00_-;[Red]\-&quot;$&quot;\ #,##0.00_-;\ &quot;-&quot;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4" formatCode="_-&quot;$&quot;\ #,##0.00_-;[Red]\-&quot;$&quot;\ #,##0.00_-;\ &quot;-&quot;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04" formatCode="0.0%;&quot;-&quot;;&quot;-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204" formatCode="0.0%;&quot;-&quot;;&quot;-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z val="9"/>
      </font>
      <alignment horizontal="center" vertical="bottom" textRotation="0" wrapText="0" indent="0" justifyLastLine="0" shrinkToFit="0" readingOrder="0"/>
    </dxf>
    <dxf>
      <font>
        <sz val="9"/>
      </font>
      <numFmt numFmtId="203" formatCode="0%;&quot;-&quot;;&quot;-&quot;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z val="9"/>
      </font>
      <numFmt numFmtId="172" formatCode="_-* #,##0_-;[Red]\-* #,##0_-;_-* &quot;-&quot;_-;_-@_-"/>
      <alignment horizontal="right" vertical="bottom" textRotation="0" wrapText="0" relativeIndent="1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3" formatCode="_-&quot;$&quot;\ #,##0_-;[Red]\-&quot;$&quot;\ #,##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outline="0">
        <left style="medium">
          <color indexed="64"/>
        </left>
      </border>
    </dxf>
    <dxf>
      <numFmt numFmtId="173" formatCode="_-&quot;$&quot;\ #,##0_-;[Red]\-&quot;$&quot;\ #,##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rgb="FF7F7F7F"/>
        </top>
        <bottom style="thin">
          <color rgb="FF7F7F7F"/>
        </bottom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2" formatCode="_-* #,##0_-;[Red]\-* #,##0_-;_-* &quot;-&quot;_-;_-@_-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numFmt numFmtId="172" formatCode="_-* #,##0_-;[Red]\-* #,##0_-;_-* &quot;-&quot;_-;_-@_-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z val="10"/>
        <name val="Trebuchet MS"/>
        <scheme val="none"/>
      </font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10"/>
        <name val="Trebuchet MS"/>
        <scheme val="none"/>
      </font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outline="0"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9" formatCode="#,##0_ ;[Red]\-#,##0;&quot;-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74" formatCode="_-&quot;$&quot;\ #,##0.00_-;[Red]\-&quot;$&quot;\ #,##0.00_-;\ &quot;-&quot;_-;_-@_-"/>
      <alignment horizontal="center" vertical="center" textRotation="0" wrapText="0" indent="0" justifyLastLine="0" shrinkToFit="0" readingOrder="0"/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69" formatCode="#,##0_ ;[Red]\-#,##0;&quot;-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z val="10"/>
        <name val="Trebuchet MS"/>
        <scheme val="none"/>
      </font>
      <numFmt numFmtId="174" formatCode="_-&quot;$&quot;\ #,##0.00_-;[Red]\-&quot;$&quot;\ #,##0.00_-;\ &quot;-&quot;_-;_-@_-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z val="10"/>
        <name val="Trebuchet MS"/>
        <scheme val="none"/>
      </font>
      <numFmt numFmtId="174" formatCode="_-&quot;$&quot;\ #,##0.00_-;[Red]\-&quot;$&quot;\ #,##0.00_-;\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4" formatCode="_-&quot;$&quot;\ #,##0.00_-;[Red]\-&quot;$&quot;\ #,##0.00_-;\ &quot;-&quot;_-;_-@_-"/>
      <alignment horizontal="center" vertical="center" textRotation="0" wrapText="0" indent="0" justifyLastLine="0" shrinkToFit="0" readingOrder="0"/>
      <border outline="0">
        <left style="thin">
          <color rgb="FF7F7F7F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outline="0">
        <left style="thin">
          <color rgb="FF7F7F7F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7F7F7F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72" formatCode="_-* #,##0_-;[Red]\-* #,##0_-;_-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  <numFmt numFmtId="12" formatCode="&quot;$&quot;#,##0.00;[Red]\-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FA7D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alignment horizontal="right" vertical="center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73" formatCode="_-&quot;$&quot;\ #,##0_-;[Red]\-&quot;$&quot;\ #,##0_-;\ &quot;-&quot;_-;_-@_-"/>
      <border>
        <left style="thin">
          <color rgb="FF7F7F7F"/>
        </left>
      </border>
    </dxf>
    <dxf>
      <numFmt numFmtId="173" formatCode="_-&quot;$&quot;\ #,##0_-;[Red]\-&quot;$&quot;\ #,##0_-;\ &quot;-&quot;_-;_-@_-"/>
    </dxf>
    <dxf>
      <numFmt numFmtId="173" formatCode="_-&quot;$&quot;\ #,##0_-;[Red]\-&quot;$&quot;\ #,##0_-;\ &quot;-&quot;_-;_-@_-"/>
    </dxf>
    <dxf>
      <border outline="0">
        <right style="thin">
          <color rgb="FF7F7F7F"/>
        </right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3" formatCode="_-&quot;$&quot;\ #,##0_-;[Red]\-&quot;$&quot;\ #,##0_-;\ &quot;-&quot;_-;_-@_-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73" formatCode="_-&quot;$&quot;\ #,##0_-;[Red]\-&quot;$&quot;\ #,##0_-;\ &quot;-&quot;_-;_-@_-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73" formatCode="_-&quot;$&quot;\ #,##0_-;[Red]\-&quot;$&quot;\ #,##0_-;\ &quot;-&quot;_-;_-@_-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outline="0">
        <left style="thin">
          <color rgb="FF7F7F7F"/>
        </left>
      </border>
    </dxf>
    <dxf>
      <numFmt numFmtId="173" formatCode="_-&quot;$&quot;\ #,##0_-;[Red]\-&quot;$&quot;\ #,##0_-;\ &quot;-&quot;_-;_-@_-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177" formatCode="#,##0_ &quot; Yrs.&quot;;[Red]\-#,##0\ "/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7F7F7F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4" formatCode="_-&quot;$&quot;\ #,##0.00_-;[Red]\-&quot;$&quot;\ #,##0.00_-;\ &quot;-&quot;_-;_-@_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7F7F7F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thin">
          <color rgb="FF7F7F7F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4" formatCode="_-&quot;$&quot;\ #,##0.00_-;[Red]\-&quot;$&quot;\ #,##0.00_-;\ &quot;-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7" formatCode="#,##0_ &quot; Yrs.&quot;;[Red]\-#,##0\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7" formatCode="#,##0_ &quot; Yrs.&quot;;[Red]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4" formatCode="_-&quot;$&quot;\ #,##0.00_-;[Red]\-&quot;$&quot;\ #,##0.0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85" formatCode="0.0%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85" formatCode="0.0%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85" formatCode="0.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85" formatCode="0.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7" formatCode="#,##0_ &quot; Yrs.&quot;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7" formatCode="#,##0_ &quot; Yrs.&quot;;[Red]\-#,##0\ 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4" formatCode="_-&quot;$&quot;\ #,##0.00_-;[Red]\-&quot;$&quot;\ #,##0.00_-;\ &quot;-&quot;_-;_-@_-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173" formatCode="_-&quot;$&quot;\ #,##0_-;[Red]\-&quot;$&quot;\ #,##0_-;\ &quot;-&quot;_-;_-@_-"/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7" formatCode="#,##0_ &quot; Yrs.&quot;;[Red]\-#,##0\ 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fill>
        <patternFill patternType="solid">
          <fgColor theme="9"/>
          <bgColor theme="9"/>
        </patternFill>
      </fill>
    </dxf>
    <dxf>
      <numFmt numFmtId="176" formatCode="_-&quot;$&quot;* #,##0_-;\-&quot;$&quot;* #,##0_-;_-&quot;$&quot;* &quot;-&quot;??_-;_-@_-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</dxf>
    <dxf>
      <numFmt numFmtId="173" formatCode="_-&quot;$&quot;\ #,##0_-;[Red]\-&quot;$&quot;\ #,##0_-;\ &quot;-&quot;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1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font>
        <strike val="0"/>
        <outline val="0"/>
        <shadow val="0"/>
        <u val="none"/>
        <vertAlign val="baseline"/>
        <sz val="9"/>
        <color theme="0" tint="-4.9989318521683403E-2"/>
        <name val="Calibri"/>
        <scheme val="minor"/>
      </font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numFmt numFmtId="174" formatCode="_-&quot;$&quot;\ #,##0.00_-;[Red]\-&quot;$&quot;\ #,##0.00_-;\ &quot;-&quot;_-;_-@_-"/>
    </dxf>
    <dxf>
      <font>
        <strike val="0"/>
        <outline val="0"/>
        <shadow val="0"/>
        <u val="none"/>
        <vertAlign val="baseline"/>
        <sz val="9"/>
        <color theme="0" tint="-4.9989318521683403E-2"/>
        <name val="Calibri"/>
        <scheme val="minor"/>
      </font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  <dxf>
      <font>
        <b val="0"/>
        <i val="0"/>
        <color auto="1"/>
      </font>
      <numFmt numFmtId="210" formatCode="&quot;$&quot;#,##0.00;[Red]\-&quot;$&quot;#,##0.00;&quot;-&quot;"/>
      <fill>
        <patternFill>
          <bgColor theme="4" tint="0.79998168889431442"/>
        </patternFill>
      </fill>
    </dxf>
    <dxf>
      <font>
        <b/>
        <i val="0"/>
        <color auto="1"/>
      </font>
      <numFmt numFmtId="0" formatCode="General"/>
      <fill>
        <patternFill patternType="solid">
          <bgColor theme="4" tint="0.3999450666829432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A24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'CAPEX Graph'!$B$38</c:f>
          <c:strCache>
            <c:ptCount val="1"/>
            <c:pt idx="0">
              <c:v>Capital Spend on Public Lighting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'CAPEX Graph'!$F$41</c:f>
              <c:strCache>
                <c:ptCount val="1"/>
                <c:pt idx="0">
                  <c:v>Planned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'CAPEX Graph'!$H$41:$N$41</c:f>
              <c:numCache>
                <c:formatCode>_-"$"\ #,##0.0_-;[Red]\-"$"\ #,##0.0_-;\ "-"_-;_-@_-</c:formatCode>
                <c:ptCount val="7"/>
                <c:pt idx="0">
                  <c:v>3.6521736814243719</c:v>
                </c:pt>
                <c:pt idx="1">
                  <c:v>4.014670356809221</c:v>
                </c:pt>
                <c:pt idx="2">
                  <c:v>1.8038729841853585</c:v>
                </c:pt>
                <c:pt idx="3">
                  <c:v>1.7943796906627398</c:v>
                </c:pt>
                <c:pt idx="4">
                  <c:v>2.0004222188830805</c:v>
                </c:pt>
                <c:pt idx="5">
                  <c:v>2.0129892932761253</c:v>
                </c:pt>
                <c:pt idx="6">
                  <c:v>2.0242335177330602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5-4157-AAD9-72FB41DD1C4F}"/>
            </c:ext>
          </c:extLst>
        </c:ser>
        <c:ser>
          <c:idx val="1"/>
          <c:order val="1"/>
          <c:tx>
            <c:strRef>
              <c:f>'CAPEX Graph'!$F$42</c:f>
              <c:strCache>
                <c:ptCount val="1"/>
                <c:pt idx="0">
                  <c:v>Unplanned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'CAPEX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'CAPEX Graph'!$H$42:$N$42</c:f>
              <c:numCache>
                <c:formatCode>_-"$"\ #,##0.0_-;[Red]\-"$"\ #,##0.0_-;\ "-"_-;_-@_-</c:formatCode>
                <c:ptCount val="7"/>
                <c:pt idx="0">
                  <c:v>0.40758183917516794</c:v>
                </c:pt>
                <c:pt idx="1">
                  <c:v>0.40913338497466617</c:v>
                </c:pt>
                <c:pt idx="2">
                  <c:v>0.41104857432092201</c:v>
                </c:pt>
                <c:pt idx="3">
                  <c:v>0.41366680785757509</c:v>
                </c:pt>
                <c:pt idx="4">
                  <c:v>0.41669717074722007</c:v>
                </c:pt>
                <c:pt idx="5">
                  <c:v>0.41946086170257629</c:v>
                </c:pt>
                <c:pt idx="6">
                  <c:v>0.42193363782052656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5-4157-AAD9-72FB41DD1C4F}"/>
            </c:ext>
          </c:extLst>
        </c:ser>
        <c:ser>
          <c:idx val="2"/>
          <c:order val="2"/>
          <c:tx>
            <c:strRef>
              <c:f>'CAPEX Graph'!$F$43</c:f>
              <c:strCache>
                <c:ptCount val="1"/>
                <c:pt idx="0">
                  <c:v>LED Conversions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'CAPEX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'CAPEX Graph'!$H$43:$N$43</c:f>
              <c:numCache>
                <c:formatCode>_-"$"\ #,##0.0_-;[Red]\-"$"\ #,##0.0_-;\ "-"_-;_-@_-</c:formatCode>
                <c:ptCount val="7"/>
                <c:pt idx="0">
                  <c:v>18.67011438799485</c:v>
                </c:pt>
                <c:pt idx="1">
                  <c:v>24.192118712433839</c:v>
                </c:pt>
                <c:pt idx="2">
                  <c:v>15.013792845547108</c:v>
                </c:pt>
                <c:pt idx="3">
                  <c:v>7.8343775175886767</c:v>
                </c:pt>
                <c:pt idx="4">
                  <c:v>8.2664016356191912</c:v>
                </c:pt>
                <c:pt idx="5">
                  <c:v>0.13900307286408548</c:v>
                </c:pt>
                <c:pt idx="6">
                  <c:v>1.7886273746491949E-4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5-4157-AAD9-72FB41DD1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3920"/>
        <c:axId val="165987248"/>
      </c:barChart>
      <c:catAx>
        <c:axId val="16598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7248"/>
        <c:crosses val="autoZero"/>
        <c:auto val="1"/>
        <c:lblAlgn val="ctr"/>
        <c:lblOffset val="100"/>
        <c:noMultiLvlLbl val="0"/>
      </c:catAx>
      <c:valAx>
        <c:axId val="1659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\ #,##0.0_-;[Red]\-&quot;$&quot;\ #,##0.0_-;\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'OPEX Graph'!$B$38</c:f>
          <c:strCache>
            <c:ptCount val="1"/>
            <c:pt idx="0">
              <c:v>Operating Spend on Public Lighting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'OPEX Graph'!$F$41</c:f>
              <c:strCache>
                <c:ptCount val="1"/>
                <c:pt idx="0">
                  <c:v>Bulk Lamp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'OPEX Graph'!$H$41:$N$41</c:f>
              <c:numCache>
                <c:formatCode>_-"$"\ #,##0.00_-;[Red]\-"$"\ #,##0.00_-;\ "-"_-;_-@_-</c:formatCode>
                <c:ptCount val="7"/>
                <c:pt idx="0">
                  <c:v>1.5759605684585067</c:v>
                </c:pt>
                <c:pt idx="1">
                  <c:v>0.98181184030122814</c:v>
                </c:pt>
                <c:pt idx="2">
                  <c:v>0.67260434078562148</c:v>
                </c:pt>
                <c:pt idx="3">
                  <c:v>0.67688859172811111</c:v>
                </c:pt>
                <c:pt idx="4">
                  <c:v>0.68184721550414085</c:v>
                </c:pt>
                <c:pt idx="5">
                  <c:v>0.68636948038787993</c:v>
                </c:pt>
                <c:pt idx="6">
                  <c:v>0.69041571738912033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6-497C-954A-793D4E0833E3}"/>
            </c:ext>
          </c:extLst>
        </c:ser>
        <c:ser>
          <c:idx val="1"/>
          <c:order val="1"/>
          <c:tx>
            <c:strRef>
              <c:f>'OPEX Graph'!$F$42</c:f>
              <c:strCache>
                <c:ptCount val="1"/>
                <c:pt idx="0">
                  <c:v>SLO (exc Cable Faults)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'OPEX Graph'!$H$42:$N$42</c:f>
              <c:numCache>
                <c:formatCode>_-"$"\ #,##0.00_-;[Red]\-"$"\ #,##0.00_-;\ "-"_-;_-@_-</c:formatCode>
                <c:ptCount val="7"/>
                <c:pt idx="0">
                  <c:v>4.6977117533500259</c:v>
                </c:pt>
                <c:pt idx="1">
                  <c:v>3.9520929656658441</c:v>
                </c:pt>
                <c:pt idx="2">
                  <c:v>2.8060460828929266</c:v>
                </c:pt>
                <c:pt idx="3">
                  <c:v>2.1056959740829231</c:v>
                </c:pt>
                <c:pt idx="4">
                  <c:v>1.6849133315309357</c:v>
                </c:pt>
                <c:pt idx="5">
                  <c:v>1.3111219734034794</c:v>
                </c:pt>
                <c:pt idx="6">
                  <c:v>1.2273752521975632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26-497C-954A-793D4E0833E3}"/>
            </c:ext>
          </c:extLst>
        </c:ser>
        <c:ser>
          <c:idx val="2"/>
          <c:order val="2"/>
          <c:tx>
            <c:strRef>
              <c:f>'OPEX Graph'!$F$43</c:f>
              <c:strCache>
                <c:ptCount val="1"/>
                <c:pt idx="0">
                  <c:v>LED Cleaning &amp; Testing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'OPEX Graph'!$H$43:$N$43</c:f>
              <c:numCache>
                <c:formatCode>_-"$"\ #,##0.00_-;[Red]\-"$"\ #,##0.00_-;\ "-"_-;_-@_-</c:formatCode>
                <c:ptCount val="7"/>
                <c:pt idx="0">
                  <c:v>0</c:v>
                </c:pt>
                <c:pt idx="1">
                  <c:v>2.7521729409536701E-2</c:v>
                </c:pt>
                <c:pt idx="2">
                  <c:v>0.39787278708273183</c:v>
                </c:pt>
                <c:pt idx="3">
                  <c:v>1.0961487605675362</c:v>
                </c:pt>
                <c:pt idx="4">
                  <c:v>1.7083204159647642</c:v>
                </c:pt>
                <c:pt idx="5">
                  <c:v>2.2813186414323607</c:v>
                </c:pt>
                <c:pt idx="6">
                  <c:v>1.76151401801465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26-497C-954A-793D4E0833E3}"/>
            </c:ext>
          </c:extLst>
        </c:ser>
        <c:ser>
          <c:idx val="3"/>
          <c:order val="3"/>
          <c:tx>
            <c:strRef>
              <c:f>'OPEX Graph'!$F$44</c:f>
              <c:strCache>
                <c:ptCount val="1"/>
                <c:pt idx="0">
                  <c:v>Column Inspections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'OPEX Graph'!$H$44:$N$44</c:f>
              <c:numCache>
                <c:formatCode>_-"$"\ #,##0.00_-;[Red]\-"$"\ #,##0.00_-;\ "-"_-;_-@_-</c:formatCode>
                <c:ptCount val="7"/>
                <c:pt idx="0">
                  <c:v>1.6217300638224208</c:v>
                </c:pt>
                <c:pt idx="1">
                  <c:v>1.6279035196209806</c:v>
                </c:pt>
                <c:pt idx="2">
                  <c:v>1.6387310757482023</c:v>
                </c:pt>
                <c:pt idx="3">
                  <c:v>1.64916921111254</c:v>
                </c:pt>
                <c:pt idx="4">
                  <c:v>1.6612503863027455</c:v>
                </c:pt>
                <c:pt idx="5">
                  <c:v>1.6722684180762131</c:v>
                </c:pt>
                <c:pt idx="6">
                  <c:v>1.6821266570314208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26-497C-954A-793D4E0833E3}"/>
            </c:ext>
          </c:extLst>
        </c:ser>
        <c:ser>
          <c:idx val="4"/>
          <c:order val="4"/>
          <c:tx>
            <c:strRef>
              <c:f>'OPEX Graph'!$F$45</c:f>
              <c:strCache>
                <c:ptCount val="1"/>
                <c:pt idx="0">
                  <c:v>Cable Faults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'OPEX Graph'!$H$39:$N$39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'OPEX Graph'!$H$45:$N$45</c:f>
              <c:numCache>
                <c:formatCode>_-"$"\ #,##0.00_-;[Red]\-"$"\ #,##0.00_-;\ "-"_-;_-@_-</c:formatCode>
                <c:ptCount val="7"/>
                <c:pt idx="0">
                  <c:v>1.5834838609070601</c:v>
                </c:pt>
                <c:pt idx="1">
                  <c:v>1.6200792576721039</c:v>
                </c:pt>
                <c:pt idx="2">
                  <c:v>1.6583736135892306</c:v>
                </c:pt>
                <c:pt idx="3">
                  <c:v>1.7152962223081278</c:v>
                </c:pt>
                <c:pt idx="4">
                  <c:v>1.7589944637585582</c:v>
                </c:pt>
                <c:pt idx="5">
                  <c:v>1.8019998993713855</c:v>
                </c:pt>
                <c:pt idx="6">
                  <c:v>1.844146799122713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26-497C-954A-793D4E083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3920"/>
        <c:axId val="165987248"/>
      </c:barChart>
      <c:catAx>
        <c:axId val="16598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7248"/>
        <c:crosses val="autoZero"/>
        <c:auto val="1"/>
        <c:lblAlgn val="ctr"/>
        <c:lblOffset val="100"/>
        <c:noMultiLvlLbl val="0"/>
      </c:catAx>
      <c:valAx>
        <c:axId val="1659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$ 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\ #,##0.00_-;[Red]\-&quot;$&quot;\ #,##0.00_-;\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'SLO Summary'!$B$38</c:f>
          <c:strCache>
            <c:ptCount val="1"/>
            <c:pt idx="0">
              <c:v>SLO Notifications</c:v>
            </c:pt>
          </c:strCache>
        </c:strRef>
      </c:tx>
      <c:layout>
        <c:manualLayout>
          <c:xMode val="edge"/>
          <c:yMode val="edge"/>
          <c:x val="0.4670861440343429"/>
          <c:y val="1.6273393002441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'SLO Summary'!$F$41</c:f>
              <c:strCache>
                <c:ptCount val="1"/>
                <c:pt idx="0">
                  <c:v>Lamp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 Summary'!$H$39:$N$39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'SLO Summary'!$H$41:$N$41</c:f>
              <c:numCache>
                <c:formatCode>_-* #,##0_-;[Red]\-* #,##0_-;_-* "-"_-;_-@_-</c:formatCode>
                <c:ptCount val="7"/>
                <c:pt idx="0">
                  <c:v>13028.23</c:v>
                </c:pt>
                <c:pt idx="1">
                  <c:v>10706.610303047248</c:v>
                </c:pt>
                <c:pt idx="2">
                  <c:v>7768.7792008765427</c:v>
                </c:pt>
                <c:pt idx="3">
                  <c:v>5743.9332919178332</c:v>
                </c:pt>
                <c:pt idx="4">
                  <c:v>4652.5218078462058</c:v>
                </c:pt>
                <c:pt idx="5">
                  <c:v>3258.9365329637085</c:v>
                </c:pt>
                <c:pt idx="6">
                  <c:v>2757.7387515431719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F-4227-B015-600FDBA8D95E}"/>
            </c:ext>
          </c:extLst>
        </c:ser>
        <c:ser>
          <c:idx val="2"/>
          <c:order val="1"/>
          <c:tx>
            <c:strRef>
              <c:f>'SLO Summary'!$F$42</c:f>
              <c:strCache>
                <c:ptCount val="1"/>
                <c:pt idx="0">
                  <c:v>PE Cell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'SLO Summary'!$H$39:$N$39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'SLO Summary'!$H$42:$N$42</c:f>
              <c:numCache>
                <c:formatCode>_-* #,##0_-;[Red]\-* #,##0_-;_-* "-"_-;_-@_-</c:formatCode>
                <c:ptCount val="7"/>
                <c:pt idx="0">
                  <c:v>3283.25</c:v>
                </c:pt>
                <c:pt idx="1">
                  <c:v>3008.8969589992194</c:v>
                </c:pt>
                <c:pt idx="2">
                  <c:v>2506.3190244811881</c:v>
                </c:pt>
                <c:pt idx="3">
                  <c:v>2082.6543608686311</c:v>
                </c:pt>
                <c:pt idx="4">
                  <c:v>1735.0313787506548</c:v>
                </c:pt>
                <c:pt idx="5">
                  <c:v>1355.6191444183739</c:v>
                </c:pt>
                <c:pt idx="6">
                  <c:v>1317.7416894828864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6F-4227-B015-600FDBA8D95E}"/>
            </c:ext>
          </c:extLst>
        </c:ser>
        <c:ser>
          <c:idx val="1"/>
          <c:order val="2"/>
          <c:tx>
            <c:strRef>
              <c:f>'SLO Summary'!$F$43</c:f>
              <c:strCache>
                <c:ptCount val="1"/>
                <c:pt idx="0">
                  <c:v>Misc. Other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'SLO Summary'!$H$39:$N$39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'SLO Summary'!$H$43:$N$43</c:f>
              <c:numCache>
                <c:formatCode>_-* #,##0_-;[Red]\-* #,##0_-;_-* "-"_-;_-@_-</c:formatCode>
                <c:ptCount val="7"/>
                <c:pt idx="0">
                  <c:v>9456.09</c:v>
                </c:pt>
                <c:pt idx="1">
                  <c:v>7561.1656508242986</c:v>
                </c:pt>
                <c:pt idx="2">
                  <c:v>5113.8246215974023</c:v>
                </c:pt>
                <c:pt idx="3">
                  <c:v>3552.4648272824629</c:v>
                </c:pt>
                <c:pt idx="4">
                  <c:v>2631.3997080204049</c:v>
                </c:pt>
                <c:pt idx="5">
                  <c:v>1855.9874423134843</c:v>
                </c:pt>
                <c:pt idx="6">
                  <c:v>1857.7444154925176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6F-4227-B015-600FDBA8D95E}"/>
            </c:ext>
          </c:extLst>
        </c:ser>
        <c:ser>
          <c:idx val="3"/>
          <c:order val="3"/>
          <c:tx>
            <c:strRef>
              <c:f>'SLO Summary'!$F$44</c:f>
              <c:strCache>
                <c:ptCount val="1"/>
                <c:pt idx="0">
                  <c:v>Fitting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'SLO Summary'!$H$39:$N$39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'SLO Summary'!$H$44:$N$44</c:f>
              <c:numCache>
                <c:formatCode>_-* #,##0_-;[Red]\-* #,##0_-;_-* "-"_-;_-@_-</c:formatCode>
                <c:ptCount val="7"/>
                <c:pt idx="0">
                  <c:v>5307.18</c:v>
                </c:pt>
                <c:pt idx="1">
                  <c:v>3735.7693480749226</c:v>
                </c:pt>
                <c:pt idx="2">
                  <c:v>1941.9440315001243</c:v>
                </c:pt>
                <c:pt idx="3">
                  <c:v>1325.4788557999593</c:v>
                </c:pt>
                <c:pt idx="4">
                  <c:v>938.56532677594407</c:v>
                </c:pt>
                <c:pt idx="5">
                  <c:v>942.60146220587058</c:v>
                </c:pt>
                <c:pt idx="6">
                  <c:v>963.87838335026515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F-4227-B015-600FDBA8D95E}"/>
            </c:ext>
          </c:extLst>
        </c:ser>
        <c:ser>
          <c:idx val="4"/>
          <c:order val="4"/>
          <c:tx>
            <c:strRef>
              <c:f>'SLO Summary'!$F$45</c:f>
              <c:strCache>
                <c:ptCount val="1"/>
                <c:pt idx="0">
                  <c:v>Cable Fault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'SLO Summary'!$H$39:$N$39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</c:strCache>
            </c:strRef>
          </c:cat>
          <c:val>
            <c:numRef>
              <c:f>'SLO Summary'!$H$45:$N$45</c:f>
              <c:numCache>
                <c:formatCode>_-* #,##0_-;[Red]\-* #,##0_-;_-* "-"_-;_-@_-</c:formatCode>
                <c:ptCount val="7"/>
                <c:pt idx="0">
                  <c:v>1040</c:v>
                </c:pt>
                <c:pt idx="1">
                  <c:v>1060</c:v>
                </c:pt>
                <c:pt idx="2">
                  <c:v>1080</c:v>
                </c:pt>
                <c:pt idx="3">
                  <c:v>1110</c:v>
                </c:pt>
                <c:pt idx="4">
                  <c:v>1130</c:v>
                </c:pt>
                <c:pt idx="5">
                  <c:v>1150</c:v>
                </c:pt>
                <c:pt idx="6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F-4227-B015-600FDBA8D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983920"/>
        <c:axId val="165987248"/>
      </c:barChart>
      <c:catAx>
        <c:axId val="16598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7248"/>
        <c:crosses val="autoZero"/>
        <c:auto val="1"/>
        <c:lblAlgn val="ctr"/>
        <c:lblOffset val="100"/>
        <c:noMultiLvlLbl val="0"/>
      </c:catAx>
      <c:valAx>
        <c:axId val="16598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Total</a:t>
                </a:r>
                <a:r>
                  <a:rPr lang="en-AU" baseline="0"/>
                  <a:t> Notifications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[Red]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8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4</xdr:row>
      <xdr:rowOff>19050</xdr:rowOff>
    </xdr:from>
    <xdr:to>
      <xdr:col>16</xdr:col>
      <xdr:colOff>938700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4</xdr:row>
      <xdr:rowOff>19050</xdr:rowOff>
    </xdr:from>
    <xdr:to>
      <xdr:col>16</xdr:col>
      <xdr:colOff>938700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121920</xdr:colOff>
      <xdr:row>4</xdr:row>
      <xdr:rowOff>19050</xdr:rowOff>
    </xdr:from>
    <xdr:to>
      <xdr:col>16</xdr:col>
      <xdr:colOff>938700</xdr:colOff>
      <xdr:row>34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98474</xdr:colOff>
      <xdr:row>3</xdr:row>
      <xdr:rowOff>106680</xdr:rowOff>
    </xdr:from>
    <xdr:to>
      <xdr:col>4</xdr:col>
      <xdr:colOff>405622</xdr:colOff>
      <xdr:row>5</xdr:row>
      <xdr:rowOff>53880</xdr:rowOff>
    </xdr:to>
    <xdr:sp macro="[0]!CallRAB_PTRM_Engines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02057" y="722906"/>
          <a:ext cx="1692000" cy="29838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/>
            <a:t>Update RAB then</a:t>
          </a:r>
          <a:r>
            <a:rPr lang="en-AU" sz="1100" baseline="0"/>
            <a:t> PTRM</a:t>
          </a:r>
          <a:endParaRPr lang="en-AU" sz="1100"/>
        </a:p>
      </xdr:txBody>
    </xdr:sp>
    <xdr:clientData/>
  </xdr:twoCellAnchor>
  <xdr:twoCellAnchor>
    <xdr:from>
      <xdr:col>2</xdr:col>
      <xdr:colOff>98474</xdr:colOff>
      <xdr:row>6</xdr:row>
      <xdr:rowOff>7620</xdr:rowOff>
    </xdr:from>
    <xdr:to>
      <xdr:col>4</xdr:col>
      <xdr:colOff>405622</xdr:colOff>
      <xdr:row>7</xdr:row>
      <xdr:rowOff>107220</xdr:rowOff>
    </xdr:to>
    <xdr:sp macro="[0]!CallLED_Annuity_Cals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02057" y="1167185"/>
          <a:ext cx="1692000" cy="291757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/>
            <a:t>Update Annuity</a:t>
          </a:r>
        </a:p>
      </xdr:txBody>
    </xdr:sp>
    <xdr:clientData/>
  </xdr:twoCellAnchor>
  <xdr:twoCellAnchor>
    <xdr:from>
      <xdr:col>2</xdr:col>
      <xdr:colOff>98473</xdr:colOff>
      <xdr:row>13</xdr:row>
      <xdr:rowOff>114300</xdr:rowOff>
    </xdr:from>
    <xdr:to>
      <xdr:col>4</xdr:col>
      <xdr:colOff>405621</xdr:colOff>
      <xdr:row>16</xdr:row>
      <xdr:rowOff>165652</xdr:rowOff>
    </xdr:to>
    <xdr:sp macro="[0]!CallUpdateTariffs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602056" y="2512943"/>
          <a:ext cx="1692000" cy="448918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/>
            <a:t>Update Tariffs</a:t>
          </a:r>
        </a:p>
        <a:p>
          <a:pPr algn="ctr"/>
          <a:r>
            <a:rPr lang="en-AU" sz="1000" b="0"/>
            <a:t>(and Annuity</a:t>
          </a:r>
          <a:r>
            <a:rPr lang="en-AU" sz="1000" b="0" baseline="0"/>
            <a:t> Calclations)</a:t>
          </a:r>
          <a:endParaRPr lang="en-AU" sz="1000" b="0"/>
        </a:p>
      </xdr:txBody>
    </xdr:sp>
    <xdr:clientData/>
  </xdr:twoCellAnchor>
  <xdr:twoCellAnchor>
    <xdr:from>
      <xdr:col>2</xdr:col>
      <xdr:colOff>98474</xdr:colOff>
      <xdr:row>20</xdr:row>
      <xdr:rowOff>4689</xdr:rowOff>
    </xdr:from>
    <xdr:to>
      <xdr:col>4</xdr:col>
      <xdr:colOff>405622</xdr:colOff>
      <xdr:row>22</xdr:row>
      <xdr:rowOff>57397</xdr:rowOff>
    </xdr:to>
    <xdr:sp macro="[0]!AddNew_LED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602057" y="3350863"/>
          <a:ext cx="1692000" cy="251491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/>
            <a:t>Create New LED</a:t>
          </a:r>
        </a:p>
      </xdr:txBody>
    </xdr:sp>
    <xdr:clientData/>
  </xdr:twoCellAnchor>
  <xdr:twoCellAnchor>
    <xdr:from>
      <xdr:col>2</xdr:col>
      <xdr:colOff>98474</xdr:colOff>
      <xdr:row>25</xdr:row>
      <xdr:rowOff>172024</xdr:rowOff>
    </xdr:from>
    <xdr:to>
      <xdr:col>4</xdr:col>
      <xdr:colOff>405622</xdr:colOff>
      <xdr:row>27</xdr:row>
      <xdr:rowOff>95778</xdr:rowOff>
    </xdr:to>
    <xdr:sp macro="[0]!DeleteLED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602057" y="4074789"/>
          <a:ext cx="1692000" cy="24843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100"/>
            <a:t>Delete Selected LED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97971</xdr:colOff>
      <xdr:row>29</xdr:row>
      <xdr:rowOff>108856</xdr:rowOff>
    </xdr:from>
    <xdr:to>
      <xdr:col>2</xdr:col>
      <xdr:colOff>6257</xdr:colOff>
      <xdr:row>31</xdr:row>
      <xdr:rowOff>161773</xdr:rowOff>
    </xdr:to>
    <xdr:sp macro="[0]!Sheet24.Recalc_17Year_Annuity1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>
        <a:xfrm>
          <a:off x="578031" y="4680856"/>
          <a:ext cx="388346" cy="350097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100"/>
            <a:t>Calculate  Annuity</a:t>
          </a:r>
        </a:p>
      </xdr:txBody>
    </xdr:sp>
    <xdr:clientData/>
  </xdr:twoCellAnchor>
  <xdr:twoCellAnchor>
    <xdr:from>
      <xdr:col>2</xdr:col>
      <xdr:colOff>166611</xdr:colOff>
      <xdr:row>29</xdr:row>
      <xdr:rowOff>108856</xdr:rowOff>
    </xdr:from>
    <xdr:to>
      <xdr:col>4</xdr:col>
      <xdr:colOff>532097</xdr:colOff>
      <xdr:row>31</xdr:row>
      <xdr:rowOff>161773</xdr:rowOff>
    </xdr:to>
    <xdr:sp macro="[0]!Sheet24.Recalc_17Year_AnnuityAdvance1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1126731" y="4680856"/>
          <a:ext cx="1272266" cy="350097"/>
        </a:xfrm>
        <a:prstGeom prst="round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AU" sz="1100"/>
            <a:t>Calculate Annuity in Advance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HID_Tariffs" displayName="HID_Tariffs" ref="B7:H106" totalsRowShown="0" headerRowCellStyle="Accent1" dataCellStyle="Normal">
  <autoFilter ref="B7:H106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Base Lamp" dataDxfId="297" dataCellStyle="Normal"/>
    <tableColumn id="2" xr3:uid="{00000000-0010-0000-0000-000002000000}" name="Lamp Type" dataCellStyle="Normal"/>
    <tableColumn id="3" xr3:uid="{00000000-0010-0000-0000-000003000000}" name="ENERGY" dataDxfId="296" dataCellStyle="Currency [0]"/>
    <tableColumn id="4" xr3:uid="{00000000-0010-0000-0000-000004000000}" name="CLER" dataDxfId="295" dataCellStyle="Currency [0]"/>
    <tableColumn id="5" xr3:uid="{00000000-0010-0000-0000-000005000000}" name="PLC" dataDxfId="294" dataCellStyle="Currency [0]"/>
    <tableColumn id="6" xr3:uid="{00000000-0010-0000-0000-000006000000}" name="TFI" dataDxfId="293" dataCellStyle="Currency [0]"/>
    <tableColumn id="8" xr3:uid="{00000000-0010-0000-0000-000008000000}" name="SLUOS" dataDxfId="292" dataCellStyle="Currency [0]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le3" displayName="Table3" ref="G138:M162" totalsRowShown="0">
  <autoFilter ref="G138:M16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xr3:uid="{00000000-0010-0000-0900-000007000000}" name="Calendar Year" dataDxfId="185"/>
    <tableColumn id="5" xr3:uid="{00000000-0010-0000-0900-000005000000}" name="30-Jun"/>
    <tableColumn id="6" xr3:uid="{00000000-0010-0000-0900-000006000000}" name="31-Dec"/>
    <tableColumn id="1" xr3:uid="{00000000-0010-0000-0900-000001000000}" name="Reg Year"/>
    <tableColumn id="2" xr3:uid="{00000000-0010-0000-0900-000002000000}" name="$June 2020" dataDxfId="184"/>
    <tableColumn id="4" xr3:uid="{00000000-0010-0000-0900-000004000000}" name="$June 2019" dataDxfId="183" dataCellStyle="Calculation"/>
    <tableColumn id="3" xr3:uid="{00000000-0010-0000-0900-000003000000}" name="$June 2018" dataDxfId="182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A000000}" name="Table20" displayName="Table20" ref="F31:M37" totalsRowShown="0" headerRowDxfId="181" dataDxfId="180" headerRowCellStyle="Accent6" dataCellStyle="Calculation">
  <autoFilter ref="F31:M37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A00-000001000000}" name=" "/>
    <tableColumn id="2" xr3:uid="{00000000-0010-0000-0A00-000002000000}" name="2018/19" dataDxfId="179" dataCellStyle="Calculation"/>
    <tableColumn id="3" xr3:uid="{00000000-0010-0000-0A00-000003000000}" name="2019/20" dataDxfId="178" dataCellStyle="Calculation"/>
    <tableColumn id="4" xr3:uid="{00000000-0010-0000-0A00-000004000000}" name="2020/21" dataDxfId="177" dataCellStyle="Calculation"/>
    <tableColumn id="5" xr3:uid="{00000000-0010-0000-0A00-000005000000}" name="2021/22" dataDxfId="176" dataCellStyle="Calculation"/>
    <tableColumn id="6" xr3:uid="{00000000-0010-0000-0A00-000006000000}" name="2022/23" dataDxfId="175" dataCellStyle="Calculation"/>
    <tableColumn id="7" xr3:uid="{00000000-0010-0000-0A00-000007000000}" name="2023/24" dataDxfId="174" dataCellStyle="Calculation"/>
    <tableColumn id="8" xr3:uid="{00000000-0010-0000-0A00-000008000000}" name="2024/25" dataDxfId="173" dataCellStyle="Calculation"/>
  </tableColumns>
  <tableStyleInfo name="TableStyleMedium7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B000000}" name="SLO_Cost_tbl" displayName="SLO_Cost_tbl" ref="B7:T25" totalsRowCount="1" headerRowDxfId="172" headerRowCellStyle="Number" dataCellStyle="Number" totalsRowCellStyle="Number">
  <autoFilter ref="B7:T24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B00-000001000000}" name="Description" totalsRowLabel="Total" totalsRowDxfId="171"/>
    <tableColumn id="2" xr3:uid="{00000000-0010-0000-0B00-000002000000}" name="Base Light" dataDxfId="170" totalsRowDxfId="169"/>
    <tableColumn id="11" xr3:uid="{00000000-0010-0000-0B00-00000B000000}" name="HID/LED Road Cat" dataDxfId="168" totalsRowDxfId="167"/>
    <tableColumn id="3" xr3:uid="{00000000-0010-0000-0B00-000003000000}" name="Lights" totalsRowFunction="sum" totalsRowDxfId="166" dataCellStyle="Comma [0]"/>
    <tableColumn id="4" xr3:uid="{00000000-0010-0000-0B00-000004000000}" name="Lamp,PE &amp; Misc SLOs" totalsRowFunction="sum" totalsRowDxfId="165" dataCellStyle="Comma [0]"/>
    <tableColumn id="19" xr3:uid="{00000000-0010-0000-0B00-000013000000}" name="Failure Rate" totalsRowFunction="custom" dataDxfId="164" totalsRowDxfId="163" dataCellStyle="Percent">
      <totalsRowFormula>SLO_Cost_tbl[[#Totals],[Lamp,PE &amp; Misc SLOs]]/SLO_Cost_tbl[[#Totals],[Lights]]</totalsRowFormula>
    </tableColumn>
    <tableColumn id="24" xr3:uid="{00000000-0010-0000-0B00-000018000000}" name="Lamp" dataDxfId="162" totalsRowDxfId="161" dataCellStyle="Percent"/>
    <tableColumn id="25" xr3:uid="{00000000-0010-0000-0B00-000019000000}" name="PE Cell" dataDxfId="160" totalsRowDxfId="159" dataCellStyle="Percent"/>
    <tableColumn id="27" xr3:uid="{00000000-0010-0000-0B00-00001B000000}" name="Misc. Other" dataDxfId="158" totalsRowDxfId="157" dataCellStyle="Percent"/>
    <tableColumn id="16" xr3:uid="{00000000-0010-0000-0B00-000010000000}" name="Lamp Materials $" dataDxfId="156" totalsRowDxfId="155" dataCellStyle="Input"/>
    <tableColumn id="17" xr3:uid="{00000000-0010-0000-0B00-000011000000}" name="PE Cell Materials $" dataDxfId="154" totalsRowDxfId="153" dataCellStyle="Input"/>
    <tableColumn id="22" xr3:uid="{00000000-0010-0000-0B00-000016000000}" name="SLO misc. Avg Materials $" dataDxfId="152" totalsRowDxfId="151" dataCellStyle="Input"/>
    <tableColumn id="29" xr3:uid="{00000000-0010-0000-0B00-00001D000000}" name="Lamp $/Light" dataDxfId="150" totalsRowDxfId="149" dataCellStyle="Currency [0]"/>
    <tableColumn id="30" xr3:uid="{00000000-0010-0000-0B00-00001E000000}" name="PE cell $/Light" dataDxfId="148" totalsRowDxfId="147" dataCellStyle="Currency [0]"/>
    <tableColumn id="10" xr3:uid="{00000000-0010-0000-0B00-00000A000000}" name="SLO misc. $/Light" dataDxfId="146" totalsRowDxfId="145" dataCellStyle="Currency [0]"/>
    <tableColumn id="32" xr3:uid="{00000000-0010-0000-0B00-000020000000}" name="SLO Labour" dataDxfId="144" totalsRowDxfId="143" dataCellStyle="Currency [0]"/>
    <tableColumn id="33" xr3:uid="{00000000-0010-0000-0B00-000021000000}" name="Labour Other" dataDxfId="142" totalsRowDxfId="141" dataCellStyle="Number"/>
    <tableColumn id="5" xr3:uid="{00000000-0010-0000-0B00-000005000000}" name="Total Labour" dataDxfId="140" totalsRowDxfId="139" dataCellStyle="Currency [0]"/>
    <tableColumn id="8" xr3:uid="{00000000-0010-0000-0B00-000008000000}" name="Labour $/Light" dataDxfId="138" totalsRowDxfId="137" dataCellStyle="Currency [0]"/>
  </tableColumns>
  <tableStyleInfo name="TableStyleMedium7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C000000}" name="FittingAssump_Tbl" displayName="FittingAssump_Tbl" ref="B31:L48" totalsRowShown="0" headerRowDxfId="136">
  <autoFilter ref="B31:L48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C00-000001000000}" name="Description"/>
    <tableColumn id="2" xr3:uid="{00000000-0010-0000-0C00-000002000000}" name="Base Light" dataDxfId="135"/>
    <tableColumn id="3" xr3:uid="{00000000-0010-0000-0C00-000003000000}" name="HID/LED Road Cat" dataDxfId="134"/>
    <tableColumn id="4" xr3:uid="{00000000-0010-0000-0C00-000004000000}" name="Population" dataDxfId="133" dataCellStyle="Comma [0]"/>
    <tableColumn id="18" xr3:uid="{00000000-0010-0000-0C00-000012000000}" name="HID Only" dataDxfId="132" dataCellStyle="Comma [0]"/>
    <tableColumn id="5" xr3:uid="{00000000-0010-0000-0C00-000005000000}" name="Fitting" dataDxfId="131" dataCellStyle="Percent"/>
    <tableColumn id="7" xr3:uid="{00000000-0010-0000-0C00-000007000000}" name="Fitting $" dataDxfId="130" dataCellStyle="Input"/>
    <tableColumn id="9" xr3:uid="{00000000-0010-0000-0C00-000009000000}" name="SLO Labour" dataDxfId="129" dataCellStyle="Currency [0]"/>
    <tableColumn id="10" xr3:uid="{00000000-0010-0000-0C00-00000A000000}" name="Labour Other" dataDxfId="128" dataCellStyle="Input"/>
    <tableColumn id="11" xr3:uid="{00000000-0010-0000-0C00-00000B000000}" name="Total SLO Labour" dataDxfId="127" dataCellStyle="Currency [0]"/>
    <tableColumn id="12" xr3:uid="{00000000-0010-0000-0C00-00000C000000}" name="LED Conversion" dataDxfId="126" dataCellStyle="Currency [0]"/>
  </tableColumns>
  <tableStyleInfo name="TableStyleMedium7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D000000}" name="SLO_CLER_tbl" displayName="SLO_CLER_tbl" ref="B54:N71" totalsRowShown="0" headerRowDxfId="125">
  <autoFilter ref="B54:N71" xr:uid="{00000000-0009-0000-0100-00002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D00-000001000000}" name="Description"/>
    <tableColumn id="2" xr3:uid="{00000000-0010-0000-0D00-000002000000}" name="Base Light" dataDxfId="124"/>
    <tableColumn id="3" xr3:uid="{00000000-0010-0000-0D00-000003000000}" name="HID/LED Road Cat" dataDxfId="123"/>
    <tableColumn id="4" xr3:uid="{00000000-0010-0000-0D00-000004000000}" name="Lamps" dataDxfId="122" dataCellStyle="Comma [0]"/>
    <tableColumn id="5" xr3:uid="{00000000-0010-0000-0D00-000005000000}" name="SLO Failure Rate" dataDxfId="121" dataCellStyle="Percent"/>
    <tableColumn id="9" xr3:uid="{00000000-0010-0000-0D00-000009000000}" name="SLO Labour" dataDxfId="120" dataCellStyle="Currency [0]"/>
    <tableColumn id="6" xr3:uid="{00000000-0010-0000-0D00-000006000000}" name="Lamp Failure Rate" dataDxfId="119" dataCellStyle="Percent"/>
    <tableColumn id="7" xr3:uid="{00000000-0010-0000-0D00-000007000000}" name="Lamp" dataDxfId="118" dataCellStyle="Currency [0]"/>
    <tableColumn id="11" xr3:uid="{00000000-0010-0000-0D00-00000B000000}" name="PE Cell Failure Rate" dataDxfId="117" dataCellStyle="Percent"/>
    <tableColumn id="13" xr3:uid="{00000000-0010-0000-0D00-00000D000000}" name="PE Cell" dataDxfId="116" dataCellStyle="Currency [0]"/>
    <tableColumn id="8" xr3:uid="{00000000-0010-0000-0D00-000008000000}" name="Total Cost including O/H" dataDxfId="115" dataCellStyle="Currency [0]"/>
    <tableColumn id="10" xr3:uid="{00000000-0010-0000-0D00-00000A000000}" name="Real Input Cost Escalation" dataDxfId="114" dataCellStyle="Currency [0]"/>
    <tableColumn id="12" xr3:uid="{00000000-0010-0000-0D00-00000C000000}" name="2017/18 to $CPI" dataDxfId="113" dataCellStyle="Currency [0]"/>
  </tableColumns>
  <tableStyleInfo name="TableStyleMedium7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E000000}" name="Lamp_tbl" displayName="Lamp_tbl" ref="B7:F120" totalsRowShown="0">
  <autoFilter ref="B7:F120" xr:uid="{00000000-0009-0000-0100-000003000000}"/>
  <tableColumns count="5">
    <tableColumn id="1" xr3:uid="{00000000-0010-0000-0E00-000001000000}" name="PT_Lamp" dataDxfId="112"/>
    <tableColumn id="2" xr3:uid="{00000000-0010-0000-0E00-000002000000}" name="Base Light"/>
    <tableColumn id="3" xr3:uid="{00000000-0010-0000-0E00-000003000000}" name="LED unAvailable"/>
    <tableColumn id="4" xr3:uid="{00000000-0010-0000-0E00-000004000000}" name="HID Lamp unavailable"/>
    <tableColumn id="5" xr3:uid="{00000000-0010-0000-0E00-000005000000}" name="Name"/>
  </tableColumns>
  <tableStyleInfo name="TableStyleMedium7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F000000}" name="Tariffs_Tbl" displayName="Tariffs_Tbl" ref="H7:H14" totalsRowShown="0">
  <autoFilter ref="H7:H14" xr:uid="{00000000-0009-0000-0100-00000A000000}"/>
  <sortState ref="F5:F16">
    <sortCondition ref="F10"/>
  </sortState>
  <tableColumns count="1">
    <tableColumn id="1" xr3:uid="{00000000-0010-0000-0F00-000001000000}" name="Tariffs"/>
  </tableColumns>
  <tableStyleInfo name="TableStyleMedium7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0000000}" name="Year_Tbl" displayName="Year_Tbl" ref="J7:K17" totalsRowShown="0">
  <autoFilter ref="J7:K17" xr:uid="{00000000-0009-0000-0100-00000D000000}"/>
  <tableColumns count="2">
    <tableColumn id="1" xr3:uid="{00000000-0010-0000-1000-000001000000}" name="Year"/>
    <tableColumn id="2" xr3:uid="{00000000-0010-0000-1000-000002000000}" name="Indirect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e16" displayName="Table16" ref="M7:V10" totalsRowShown="0">
  <autoFilter ref="M7:V10" xr:uid="{00000000-0009-0000-0100-000010000000}"/>
  <tableColumns count="10">
    <tableColumn id="1" xr3:uid="{00000000-0010-0000-1100-000001000000}" name="FY_19"/>
    <tableColumn id="2" xr3:uid="{00000000-0010-0000-1100-000002000000}" name="FY_20"/>
    <tableColumn id="3" xr3:uid="{00000000-0010-0000-1100-000003000000}" name="FY_21"/>
    <tableColumn id="4" xr3:uid="{00000000-0010-0000-1100-000004000000}" name="FY_22"/>
    <tableColumn id="5" xr3:uid="{00000000-0010-0000-1100-000005000000}" name="FY_23"/>
    <tableColumn id="6" xr3:uid="{00000000-0010-0000-1100-000006000000}" name="FY_24"/>
    <tableColumn id="7" xr3:uid="{00000000-0010-0000-1100-000007000000}" name="FY_25"/>
    <tableColumn id="8" xr3:uid="{00000000-0010-0000-1100-000008000000}" name="FY_26"/>
    <tableColumn id="9" xr3:uid="{00000000-0010-0000-1100-000009000000}" name="FY_27"/>
    <tableColumn id="10" xr3:uid="{00000000-0010-0000-1100-00000A000000}" name="FY_28"/>
  </tableColumns>
  <tableStyleInfo name="TableStyleMedium7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2000000}" name="CableFault_Data" displayName="CableFault_Data" ref="B11:G24" totalsRowCount="1">
  <autoFilter ref="B11:G23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200-000001000000}" name="Base Light" totalsRowLabel="Total"/>
    <tableColumn id="2" xr3:uid="{00000000-0010-0000-1200-000002000000}" name="2015" totalsRowFunction="sum" dataDxfId="111" totalsRowDxfId="110" dataCellStyle="Comma [0]"/>
    <tableColumn id="3" xr3:uid="{00000000-0010-0000-1200-000003000000}" name="2016" totalsRowFunction="sum" dataDxfId="109" totalsRowDxfId="108" dataCellStyle="Comma [0]"/>
    <tableColumn id="4" xr3:uid="{00000000-0010-0000-1200-000004000000}" name="2017" totalsRowFunction="sum" dataDxfId="107" totalsRowDxfId="106" dataCellStyle="Comma [0]"/>
    <tableColumn id="5" xr3:uid="{00000000-0010-0000-1200-000005000000}" name="2018" totalsRowFunction="sum" dataDxfId="105" totalsRowDxfId="104" dataCellStyle="Comma [0]"/>
    <tableColumn id="6" xr3:uid="{00000000-0010-0000-1200-000006000000}" name="Average" totalsRowFunction="sum" dataDxfId="103" totalsRowDxfId="102" dataCellStyle="Comma [0]"/>
  </tableColumns>
  <tableStyleInfo name="TableStyleMedium4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1000000}" name="LED_Tariffs" displayName="LED_Tariffs" ref="B7:H47" totalsRowShown="0" headerRowCellStyle="Accent1" dataCellStyle="Normal">
  <autoFilter ref="B7:H47" xr:uid="{00000000-0009-0000-0100-00002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100-000001000000}" name="Base Lamp" dataDxfId="285" dataCellStyle="Normal"/>
    <tableColumn id="2" xr3:uid="{00000000-0010-0000-0100-000002000000}" name="Lamp Type" dataCellStyle="Normal"/>
    <tableColumn id="3" xr3:uid="{00000000-0010-0000-0100-000003000000}" name="ENERGY" dataDxfId="284" dataCellStyle="Currency [0]">
      <calculatedColumnFormula>INDEX(Tariff_LED_Tbl[],MATCH(LED_Tariffs[[#This Row],[Lamp Type]:[Lamp Type]],Tariff_LED_Tbl[[LED]:[LED]],0),MATCH(LED_Tariffs[[#Headers],[ENERGY]],Tariff_LED_Tbl[#Headers],0))</calculatedColumnFormula>
    </tableColumn>
    <tableColumn id="4" xr3:uid="{00000000-0010-0000-0100-000004000000}" name="CLER" dataDxfId="283" dataCellStyle="Currency [0]">
      <calculatedColumnFormula>INDEX(Tariff_LED_Tbl[],MATCH(LED_Tariffs[[#This Row],[Lamp Type]:[Lamp Type]],Tariff_LED_Tbl[[LED]:[LED]],0),MATCH(LED_Tariffs[[#Headers],[CLER]],Tariff_LED_Tbl[#Headers],0))</calculatedColumnFormula>
    </tableColumn>
    <tableColumn id="5" xr3:uid="{00000000-0010-0000-0100-000005000000}" name="PLC" dataDxfId="282" dataCellStyle="Currency [0]">
      <calculatedColumnFormula>INDEX(Tariff_LED_Tbl[],MATCH(LED_Tariffs[[#This Row],[Lamp Type]:[Lamp Type]],Tariff_LED_Tbl[[LED]:[LED]],0),MATCH(LED_Tariffs[[#Headers],[PLC]],Tariff_LED_Tbl[#Headers],0))</calculatedColumnFormula>
    </tableColumn>
    <tableColumn id="6" xr3:uid="{00000000-0010-0000-0100-000006000000}" name="TFI" dataDxfId="281" dataCellStyle="Currency [0]">
      <calculatedColumnFormula>INDEX(Tariff_LED_Tbl[],MATCH(LED_Tariffs[[#This Row],[Lamp Type]:[Lamp Type]],Tariff_LED_Tbl[[LED]:[LED]],0),MATCH(LED_Tariffs[[#Headers],[TFI]],Tariff_LED_Tbl[#Headers],0))</calculatedColumnFormula>
    </tableColumn>
    <tableColumn id="7" xr3:uid="{00000000-0010-0000-0100-000007000000}" name="SAPN" dataDxfId="280" dataCellStyle="Currency [0]">
      <calculatedColumnFormula>INDEX(Tariff_LED_Tbl[],MATCH(LED_Tariffs[[#This Row],[Lamp Type]:[Lamp Type]],Tariff_LED_Tbl[[LED]:[LED]],0),MATCH(LED_Tariffs[[#Headers],[SAPN]],Tariff_LED_Tbl[#Headers],0))</calculatedColumnFormula>
    </tableColumn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SLO_Equipt_tbl22" displayName="SLO_Equipt_tbl22" ref="B30:H48" totalsRowCount="1">
  <autoFilter ref="B30:H47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1300-000001000000}" name="Base Lamp" totalsRowLabel="Total"/>
    <tableColumn id="8" xr3:uid="{00000000-0010-0000-1300-000008000000}" name="PLC" totalsRowFunction="sum" dataDxfId="101" totalsRowDxfId="100" dataCellStyle="Comma [0]">
      <calculatedColumnFormula>HLOOKUP(SLO_Equipt_tbl22[[#Headers],[PLC]],Equipt_Data_Import[#All],MATCH(SLO_Equipt_tbl22[[#This Row],[Base Lamp]:[Base Lamp]],Equipt_Data_Import[[#All],[Base Lamp]],0),FALSE)</calculatedColumnFormula>
    </tableColumn>
    <tableColumn id="12" xr3:uid="{00000000-0010-0000-1300-00000C000000}" name="TFI" totalsRowFunction="sum" dataDxfId="99" totalsRowDxfId="98" dataCellStyle="Comma [0]">
      <calculatedColumnFormula>HLOOKUP(SLO_Equipt_tbl22[[#Headers],[TFI]],Equipt_Data_Import[#All],MATCH(SLO_Equipt_tbl22[[#This Row],[Base Lamp]:[Base Lamp]],Equipt_Data_Import[[#All],[Base Lamp]],0),FALSE)</calculatedColumnFormula>
    </tableColumn>
    <tableColumn id="2" xr3:uid="{00000000-0010-0000-1300-000002000000}" name="PLC &amp; TFI" totalsRowFunction="sum" dataDxfId="97" totalsRowDxfId="96" dataCellStyle="Comma [0]">
      <calculatedColumnFormula>SLO_Equipt_tbl22[[#This Row],[PLC]]+SLO_Equipt_tbl22[[#This Row],[TFI]]</calculatedColumnFormula>
    </tableColumn>
    <tableColumn id="9" xr3:uid="{00000000-0010-0000-1300-000009000000}" name="SAPN" totalsRowFunction="sum" dataDxfId="95" totalsRowDxfId="94" dataCellStyle="Comma [0]">
      <calculatedColumnFormula>HLOOKUP(SLO_Equipt_tbl22[[#Headers],[SAPN]],Equipt_Data_Import[#All],MATCH(SLO_Equipt_tbl22[[#This Row],[Base Lamp]:[Base Lamp]],Equipt_Data_Import[[#All],[Base Lamp]],0),FALSE)</calculatedColumnFormula>
    </tableColumn>
    <tableColumn id="11" xr3:uid="{00000000-0010-0000-1300-00000B000000}" name="SLUOS" totalsRowFunction="sum" dataDxfId="93" totalsRowDxfId="92" dataCellStyle="Comma [0]">
      <calculatedColumnFormula>HLOOKUP(SLO_Equipt_tbl22[[#Headers],[SLUOS]],Equipt_Data_Import[#All],MATCH(SLO_Equipt_tbl22[[#This Row],[Base Lamp]:[Base Lamp]],Equipt_Data_Import[[#All],[Base Lamp]],0),FALSE)</calculatedColumnFormula>
    </tableColumn>
    <tableColumn id="13" xr3:uid="{00000000-0010-0000-1300-00000D000000}" name="Cable Fault Equipment" totalsRowFunction="sum" dataDxfId="91" totalsRowDxfId="90" dataCellStyle="Comma [0]">
      <calculatedColumnFormula>SUM(SLO_Equipt_tbl22[[#This Row],[PLC &amp; TFI]:[SLUOS]])</calculatedColumnFormula>
    </tableColumn>
  </tableColumns>
  <tableStyleInfo name="TableStyleMedium7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4000000}" name="GSL_CableFault_Tbl" displayName="GSL_CableFault_Tbl" ref="B5:E10" totalsRowCount="1" headerRowDxfId="89">
  <autoFilter ref="B5:E9" xr:uid="{00000000-0009-0000-0100-00001E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400-000001000000}" name="Year" totalsRowLabel="Total" dataCellStyle="Normal"/>
    <tableColumn id="2" xr3:uid="{00000000-0010-0000-1400-000002000000}" name="CabeFault GSL" totalsRowFunction="sum" dataCellStyle="Normal"/>
    <tableColumn id="3" xr3:uid="{00000000-0010-0000-1400-000003000000}" name="CabeFault GSL $" totalsRowFunction="sum" dataCellStyle="Normal"/>
    <tableColumn id="4" xr3:uid="{00000000-0010-0000-1400-000004000000}" name="Weighted Avg" totalsRowFunction="custom" dataCellStyle="Normal">
      <totalsRowFormula>GSL_CableFault_Tbl[[#Totals],[CabeFault GSL $]]/GSL_CableFault_Tbl[[#Totals],[CabeFault GSL]]</totalsRowFormula>
    </tableColumn>
  </tableColumns>
  <tableStyleInfo name="TableStyleMedium4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5000000}" name="GSL_FittingFault_Tbl" displayName="GSL_FittingFault_Tbl" ref="B15:E30" totalsRowCount="1" headerRowDxfId="88" totalsRowCellStyle="Comma [0]">
  <autoFilter ref="B15:E29" xr:uid="{00000000-0009-0000-0100-000020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500-000001000000}" name="Base Light" totalsRowLabel="Total" dataCellStyle="Normal"/>
    <tableColumn id="2" xr3:uid="{00000000-0010-0000-1500-000002000000}" name="Fitting GSL" totalsRowFunction="sum" totalsRowDxfId="87" dataCellStyle="Comma [0]"/>
    <tableColumn id="3" xr3:uid="{00000000-0010-0000-1500-000003000000}" name="Fitting GSL $" totalsRowFunction="sum" totalsRowDxfId="86" dataCellStyle="Currency [0]"/>
    <tableColumn id="4" xr3:uid="{00000000-0010-0000-1500-000004000000}" name="Weighted Avg" totalsRowFunction="custom" totalsRowDxfId="85" dataCellStyle="Currency [0]">
      <totalsRowFormula>GSL_FittingFault_Tbl[[#Totals],[Fitting GSL $]]/GSL_FittingFault_Tbl[[#Totals],[Fitting GSL]]</totalsRowFormula>
    </tableColumn>
  </tableColumns>
  <tableStyleInfo name="TableStyleMedium4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6000000}" name="GSL_OtherFault_Tbl" displayName="GSL_OtherFault_Tbl" ref="B35:D51" totalsRowCount="1" headerRowDxfId="84" totalsRowCellStyle="Comma [0]">
  <autoFilter ref="B35:D50" xr:uid="{00000000-0009-0000-0100-000021000000}">
    <filterColumn colId="0" hiddenButton="1"/>
    <filterColumn colId="1" hiddenButton="1"/>
    <filterColumn colId="2" hiddenButton="1"/>
  </autoFilter>
  <tableColumns count="3">
    <tableColumn id="1" xr3:uid="{00000000-0010-0000-1600-000001000000}" name="Base Light" totalsRowLabel="Total" dataCellStyle="Normal"/>
    <tableColumn id="2" xr3:uid="{00000000-0010-0000-1600-000002000000}" name="Other GSL" totalsRowFunction="sum" dataDxfId="83" totalsRowDxfId="82" dataCellStyle="Comma [0]"/>
    <tableColumn id="3" xr3:uid="{00000000-0010-0000-1600-000003000000}" name="Other GSL $" totalsRowFunction="sum" totalsRowDxfId="81" dataCellStyle="Normal"/>
  </tableColumns>
  <tableStyleInfo name="TableStyleMedium4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7000000}" name="Table1" displayName="Table1" ref="B5:G18" totalsRowCount="1">
  <autoFilter ref="B5:G17" xr:uid="{00000000-0009-0000-0100-00001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700-000001000000}" name="Reactive Column Replacements" totalsRowLabel="Total"/>
    <tableColumn id="2" xr3:uid="{00000000-0010-0000-1700-000002000000}" name="2015" totalsRowFunction="sum" dataDxfId="80" totalsRowDxfId="79"/>
    <tableColumn id="3" xr3:uid="{00000000-0010-0000-1700-000003000000}" name="2016" totalsRowFunction="sum" dataDxfId="78" totalsRowDxfId="77"/>
    <tableColumn id="4" xr3:uid="{00000000-0010-0000-1700-000004000000}" name="2017" totalsRowFunction="sum" dataDxfId="76" totalsRowDxfId="75"/>
    <tableColumn id="5" xr3:uid="{00000000-0010-0000-1700-000005000000}" name="2018" totalsRowFunction="sum" dataDxfId="74" totalsRowDxfId="73"/>
    <tableColumn id="6" xr3:uid="{00000000-0010-0000-1700-000006000000}" name="Average" totalsRowFunction="sum" dataDxfId="72" totalsRowDxfId="71"/>
  </tableColumns>
  <tableStyleInfo name="TableStyleMedium4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8000000}" name="SLO_Data_Import" displayName="SLO_Data_Import" ref="B9:F27" totalsRowCount="1" headerRowDxfId="70" totalsRowCellStyle="Comma [0]">
  <autoFilter ref="B9:F2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800-000001000000}" name="Base Light" totalsRowLabel="Total" totalsRowDxfId="69" dataCellStyle="Comma [0]"/>
    <tableColumn id="10" xr3:uid="{00000000-0010-0000-1800-00000A000000}" name="Lamp" totalsRowFunction="sum" totalsRowDxfId="68" dataCellStyle="Comma [0]"/>
    <tableColumn id="13" xr3:uid="{00000000-0010-0000-1800-00000D000000}" name="PE Cell" totalsRowFunction="sum" totalsRowDxfId="67" dataCellStyle="Comma [0]"/>
    <tableColumn id="17" xr3:uid="{00000000-0010-0000-1800-000011000000}" name="Misc. Other" totalsRowFunction="sum" totalsRowDxfId="66" dataCellStyle="Comma [0]"/>
    <tableColumn id="16" xr3:uid="{00000000-0010-0000-1800-000010000000}" name="Total" totalsRowFunction="sum" totalsRowDxfId="65" dataCellStyle="Comma [0]"/>
  </tableColumns>
  <tableStyleInfo name="TableStyleMedium4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9000000}" name="SLO_Equipt_tbl" displayName="SLO_Equipt_tbl" ref="B59:H77" totalsRowCount="1">
  <autoFilter ref="B59:H76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1900-000001000000}" name="Base Lamp" totalsRowLabel="Total"/>
    <tableColumn id="8" xr3:uid="{00000000-0010-0000-1900-000008000000}" name="PLC" totalsRowFunction="sum" dataDxfId="64" totalsRowDxfId="63" dataCellStyle="Comma [0]">
      <calculatedColumnFormula>HLOOKUP(SLO_Equipt_tbl[[#Headers],[PLC]],Equipt_Data_Import[#All],MATCH(SLO_Equipt_tbl[[#This Row],[Base Lamp]:[Base Lamp]],Equipt_Data_Import[[#All],[Base Lamp]],0),FALSE)</calculatedColumnFormula>
    </tableColumn>
    <tableColumn id="12" xr3:uid="{00000000-0010-0000-1900-00000C000000}" name="TFI" totalsRowFunction="sum" dataDxfId="62" totalsRowDxfId="61" dataCellStyle="Comma [0]">
      <calculatedColumnFormula>HLOOKUP(SLO_Equipt_tbl[[#Headers],[TFI]],Equipt_Data_Import[#All],MATCH(SLO_Equipt_tbl[[#This Row],[Base Lamp]:[Base Lamp]],Equipt_Data_Import[[#All],[Base Lamp]],0),FALSE)</calculatedColumnFormula>
    </tableColumn>
    <tableColumn id="3" xr3:uid="{00000000-0010-0000-1900-000003000000}" name="PLC_TFI" totalsRowFunction="sum" dataDxfId="60" totalsRowDxfId="59" dataCellStyle="Comma [0]">
      <calculatedColumnFormula>SLO_Equipt_tbl[[#This Row],[PLC]]+SLO_Equipt_tbl[[#This Row],[TFI]]</calculatedColumnFormula>
    </tableColumn>
    <tableColumn id="9" xr3:uid="{00000000-0010-0000-1900-000009000000}" name="SAPN" totalsRowFunction="sum" dataDxfId="58" totalsRowDxfId="57" dataCellStyle="Comma [0]">
      <calculatedColumnFormula>HLOOKUP(SLO_Equipt_tbl[[#Headers],[SAPN]],Equipt_Data_Import[#All],MATCH(SLO_Equipt_tbl[[#This Row],[Base Lamp]:[Base Lamp]],Equipt_Data_Import[[#All],[Base Lamp]],0),FALSE)</calculatedColumnFormula>
    </tableColumn>
    <tableColumn id="11" xr3:uid="{00000000-0010-0000-1900-00000B000000}" name="SLUOS" totalsRowFunction="sum" dataDxfId="56" totalsRowDxfId="55" dataCellStyle="Comma [0]">
      <calculatedColumnFormula>HLOOKUP(SLO_Equipt_tbl[[#Headers],[SLUOS]],Equipt_Data_Import[#All],MATCH(SLO_Equipt_tbl[[#This Row],[Base Lamp]:[Base Lamp]],Equipt_Data_Import[[#All],[Base Lamp]],0),FALSE)</calculatedColumnFormula>
    </tableColumn>
    <tableColumn id="13" xr3:uid="{00000000-0010-0000-1900-00000D000000}" name="Total SLO Equipment" totalsRowFunction="sum" dataDxfId="54" totalsRowDxfId="53" dataCellStyle="Comma [0]">
      <calculatedColumnFormula>SLO_Equipt_tbl[[#This Row],[PLC_TFI]]+SLO_Equipt_tbl[[#This Row],[SAPN]]+SLO_Equipt_tbl[[#This Row],[SLUOS]]</calculatedColumnFormula>
    </tableColumn>
  </tableColumns>
  <tableStyleInfo name="TableStyleMedium7" showFirstColumn="0" showLastColumn="0" showRowStripes="0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A000000}" name="SLO_CLER_Import" displayName="SLO_CLER_Import" ref="B36:E54" totalsRowCount="1">
  <autoFilter ref="B36:E53" xr:uid="{00000000-0009-0000-0100-00002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A00-000001000000}" name="Base Light" totalsRowLabel="Total"/>
    <tableColumn id="2" xr3:uid="{00000000-0010-0000-1A00-000002000000}" name="Total SLO" totalsRowFunction="sum"/>
    <tableColumn id="3" xr3:uid="{00000000-0010-0000-1A00-000003000000}" name="Total PE Cells" totalsRowFunction="sum"/>
    <tableColumn id="4" xr3:uid="{00000000-0010-0000-1A00-000004000000}" name="Total Lamp" totalsRowFunction="sum"/>
  </tableColumns>
  <tableStyleInfo name="TableStyleMedium4" showFirstColumn="0" showLastColumn="0" showRowStripes="0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B000000}" name="LED_Equipt_Tbl" displayName="LED_Equipt_Tbl" ref="B37:E55" totalsRowCount="1" headerRowDxfId="52">
  <autoFilter ref="B37:E54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1B00-000001000000}" name="Base Lamp" totalsRowLabel="Total"/>
    <tableColumn id="2" xr3:uid="{00000000-0010-0000-1B00-000002000000}" name="SAPN" totalsRowFunction="sum" totalsRowDxfId="51" dataCellStyle="Comma [0]">
      <calculatedColumnFormula>INDEX(Equipt_Data_Import[SAPN],MATCH(LED_Equipt_Tbl[[#This Row],[Base Lamp]],Equipt_Data_Import[Base Lamp],0))</calculatedColumnFormula>
    </tableColumn>
    <tableColumn id="3" xr3:uid="{00000000-0010-0000-1B00-000003000000}" name="SLUOS" totalsRowFunction="sum" totalsRowDxfId="50" dataCellStyle="Comma [0]">
      <calculatedColumnFormula>INDEX(Equipt_Data_Import[SLUOS],MATCH(LED_Equipt_Tbl[[#This Row],[Base Lamp]],Equipt_Data_Import[Base Lamp],0))</calculatedColumnFormula>
    </tableColumn>
    <tableColumn id="4" xr3:uid="{00000000-0010-0000-1B00-000004000000}" name="Total" totalsRowFunction="sum" totalsRowDxfId="49" dataCellStyle="Comma [0]">
      <calculatedColumnFormula>LED_Equipt_Tbl[[#This Row],[SAPN]]+LED_Equipt_Tbl[[#This Row],[SLUOS]]</calculatedColumnFormula>
    </tableColumn>
  </tableColumns>
  <tableStyleInfo name="TableStyleMedium7" showFirstColumn="0" showLastColumn="0" showRowStripes="0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C000000}" name="SLO_Data_Import19" displayName="SLO_Data_Import19" ref="B11:C29" totalsRowCount="1" headerRowDxfId="48" totalsRowCellStyle="Comma [0]">
  <autoFilter ref="B11:C28" xr:uid="{00000000-0009-0000-0100-000012000000}">
    <filterColumn colId="0" hiddenButton="1"/>
  </autoFilter>
  <tableColumns count="2">
    <tableColumn id="1" xr3:uid="{00000000-0010-0000-1C00-000001000000}" name="Base Light" totalsRowLabel="Total" totalsRowDxfId="47" dataCellStyle="Comma [0]"/>
    <tableColumn id="2" xr3:uid="{00000000-0010-0000-1C00-000002000000}" name="Fitting" totalsRowFunction="sum" dataDxfId="46" totalsRowDxfId="45" dataCellStyle="Comma [0]"/>
  </tableColumns>
  <tableStyleInfo name="TableStyleMedium4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2000000}" name="Table27" displayName="Table27" ref="H51:M54" totalsRowCount="1" headerRowDxfId="279" dataDxfId="278">
  <autoFilter ref="H51:M53" xr:uid="{00000000-0009-0000-0100-00001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Store Code" totalsRowLabel="Total" dataDxfId="277" totalsRowDxfId="276"/>
    <tableColumn id="2" xr3:uid="{00000000-0010-0000-0200-000002000000}" name="Replacements" dataDxfId="275" totalsRowDxfId="274"/>
    <tableColumn id="3" xr3:uid="{00000000-0010-0000-0200-000003000000}" name="Years" dataDxfId="273" totalsRowDxfId="272"/>
    <tableColumn id="4" xr3:uid="{00000000-0010-0000-0200-000004000000}" name="Avg p.a." totalsRowFunction="sum" dataDxfId="271" totalsRowDxfId="270"/>
    <tableColumn id="5" xr3:uid="{00000000-0010-0000-0200-000005000000}" name="$ / Unit" dataDxfId="269" totalsRowDxfId="268" dataCellStyle="Currency [0]"/>
    <tableColumn id="6" xr3:uid="{00000000-0010-0000-0200-000006000000}" name="Total Cost" totalsRowFunction="sum" dataDxfId="267" totalsRowDxfId="266" dataCellStyle="Currency [0]" totalsRowCellStyle="Currency [0]"/>
  </tableColumns>
  <tableStyleInfo name="TableStyleMedium7" showFirstColumn="0" showLastColumn="0" showRowStripes="0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D000000}" name="Equipt_Data_Import" displayName="Equipt_Data_Import" ref="B34:M52" totalsRowCount="1" headerRowDxfId="44" headerRowCellStyle="Explanatory Text" dataCellStyle="Explanatory Text" totalsRowCellStyle="Explanatory Text">
  <autoFilter ref="B34:M51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1D00-000001000000}" name="Base Lamp" totalsRowLabel="Total"/>
    <tableColumn id="3" xr3:uid="{00000000-0010-0000-1D00-000003000000}" name="CLER" totalsRowFunction="sum" totalsRowDxfId="43" dataCellStyle="Comma [0]"/>
    <tableColumn id="4" xr3:uid="{00000000-0010-0000-1D00-000004000000}" name="DO NOT BILL" totalsRowFunction="sum" totalsRowDxfId="42" dataCellStyle="Comma [0]"/>
    <tableColumn id="5" xr3:uid="{00000000-0010-0000-1D00-000005000000}" name="DO NOT BILL - TBC" totalsRowFunction="sum" totalsRowDxfId="41" dataCellStyle="Comma [0]"/>
    <tableColumn id="6" xr3:uid="{00000000-0010-0000-1D00-000006000000}" name="ENERGY" totalsRowFunction="sum" totalsRowDxfId="40" dataCellStyle="Comma [0]"/>
    <tableColumn id="7" xr3:uid="{00000000-0010-0000-1D00-000007000000}" name="METERED" totalsRowFunction="sum" totalsRowDxfId="39" dataCellStyle="Comma [0]"/>
    <tableColumn id="8" xr3:uid="{00000000-0010-0000-1D00-000008000000}" name="Not SAPN Responsibilty" totalsRowFunction="sum" totalsRowDxfId="38" dataCellStyle="Comma [0]"/>
    <tableColumn id="9" xr3:uid="{00000000-0010-0000-1D00-000009000000}" name="PLC" totalsRowFunction="sum" totalsRowDxfId="37" dataCellStyle="Comma [0]"/>
    <tableColumn id="10" xr3:uid="{00000000-0010-0000-1D00-00000A000000}" name="SAPN" totalsRowFunction="sum" totalsRowDxfId="36" dataCellStyle="Comma [0]"/>
    <tableColumn id="11" xr3:uid="{00000000-0010-0000-1D00-00000B000000}" name="SLO REPORTING" totalsRowFunction="sum" totalsRowDxfId="35" dataCellStyle="Comma [0]"/>
    <tableColumn id="12" xr3:uid="{00000000-0010-0000-1D00-00000C000000}" name="SLUOS" totalsRowFunction="sum" totalsRowDxfId="34" dataCellStyle="Comma [0]"/>
    <tableColumn id="13" xr3:uid="{00000000-0010-0000-1D00-00000D000000}" name="TFI" totalsRowFunction="sum" totalsRowDxfId="33" dataCellStyle="Comma [0]"/>
  </tableColumns>
  <tableStyleInfo name="TableStyleMedium4" showFirstColumn="0" showLastColumn="0" showRowStripes="0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E000000}" name="Table4" displayName="Table4" ref="B58:F63" totalsRowCount="1" headerRowDxfId="32" dataDxfId="31" totalsRowDxfId="30" dataCellStyle="Comma [0]">
  <autoFilter ref="B58:F62" xr:uid="{00000000-0009-0000-0100-00001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1E00-000001000000}" name="Tariff" totalsRowLabel="Total" dataDxfId="29" totalsRowDxfId="28" dataCellStyle="Comma [0]"/>
    <tableColumn id="2" xr3:uid="{00000000-0010-0000-1E00-000002000000}" name="Light Column" totalsRowFunction="sum" dataDxfId="27" totalsRowDxfId="26" dataCellStyle="Comma [0]"/>
    <tableColumn id="3" xr3:uid="{00000000-0010-0000-1E00-000003000000}" name="Post Top" totalsRowFunction="sum" dataDxfId="25" totalsRowDxfId="24" dataCellStyle="Comma [0]"/>
    <tableColumn id="4" xr3:uid="{00000000-0010-0000-1E00-000004000000}" name="Stobie" totalsRowFunction="sum" dataDxfId="23" totalsRowDxfId="22" dataCellStyle="Comma [0]"/>
    <tableColumn id="5" xr3:uid="{00000000-0010-0000-1E00-000005000000}" name="Grand Total" totalsRowFunction="sum" dataDxfId="21" totalsRowDxfId="20" dataCellStyle="Comma [0]">
      <calculatedColumnFormula>SUM(Table4[[#This Row],[Light Column]:[Stobie]])</calculatedColumnFormula>
    </tableColumn>
  </tableColumns>
  <tableStyleInfo name="TableStyleMedium4" showFirstColumn="0" showLastColumn="0" showRowStripes="0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F000000}" name="Denominator_tbl" displayName="Denominator_tbl" ref="B7:Q26" totalsRowShown="0" headerRowDxfId="19">
  <autoFilter ref="B7:Q26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0000000-0010-0000-1F00-000001000000}" name="Line Item" dataDxfId="18"/>
    <tableColumn id="9" xr3:uid="{00000000-0010-0000-1F00-000009000000}" name="Total Lights" dataDxfId="17" dataCellStyle="Comma [0]">
      <calculatedColumnFormula>SUM(Denominator_tbl[[#This Row],[ENERGY]:[METERED]])</calculatedColumnFormula>
    </tableColumn>
    <tableColumn id="11" xr3:uid="{00000000-0010-0000-1F00-00000B000000}" name="ENERGY" dataDxfId="16" dataCellStyle="Comma [0]">
      <calculatedColumnFormula>SUMIF(Equipt_Data_Import[#Headers],Denominator_tbl[[#This Row],[ENERGY_]],Equipt_Data_Import[#Totals])</calculatedColumnFormula>
    </tableColumn>
    <tableColumn id="12" xr3:uid="{00000000-0010-0000-1F00-00000C000000}" name="CLER" dataDxfId="15" dataCellStyle="Comma [0]">
      <calculatedColumnFormula>SUMIF(Equipt_Data_Import[#Headers],Denominator_tbl[[#This Row],[CLER_]],Equipt_Data_Import[#Totals])</calculatedColumnFormula>
    </tableColumn>
    <tableColumn id="13" xr3:uid="{00000000-0010-0000-1F00-00000D000000}" name="PLC" dataDxfId="14" dataCellStyle="Comma [0]">
      <calculatedColumnFormula>SUMIF(Equipt_Data_Import[#Headers],Denominator_tbl[[#This Row],[PLC_]],Equipt_Data_Import[#Totals])</calculatedColumnFormula>
    </tableColumn>
    <tableColumn id="14" xr3:uid="{00000000-0010-0000-1F00-00000E000000}" name="TFI" dataDxfId="13" dataCellStyle="Comma [0]">
      <calculatedColumnFormula>SUMIF(Equipt_Data_Import[#Headers],Denominator_tbl[[#This Row],[TFI_]],Equipt_Data_Import[#Totals])</calculatedColumnFormula>
    </tableColumn>
    <tableColumn id="15" xr3:uid="{00000000-0010-0000-1F00-00000F000000}" name="SAPN" dataDxfId="12" dataCellStyle="Comma [0]">
      <calculatedColumnFormula>SUMIF(Equipt_Data_Import[#Headers],Denominator_tbl[[#This Row],[SAPN_]],Equipt_Data_Import[#Totals])</calculatedColumnFormula>
    </tableColumn>
    <tableColumn id="16" xr3:uid="{00000000-0010-0000-1F00-000010000000}" name="SLUOS" dataDxfId="11" dataCellStyle="Comma [0]">
      <calculatedColumnFormula>SUMIF(Equipt_Data_Import[#Headers],Denominator_tbl[[#This Row],[SLUOS_]],Equipt_Data_Import[#Totals])</calculatedColumnFormula>
    </tableColumn>
    <tableColumn id="17" xr3:uid="{00000000-0010-0000-1F00-000011000000}" name="METERED" dataDxfId="10" dataCellStyle="Comma [0]">
      <calculatedColumnFormula>SUMIF(Equipt_Data_Import[#Headers],Denominator_tbl[[#This Row],[METERED_]],Equipt_Data_Import[#Totals])</calculatedColumnFormula>
    </tableColumn>
    <tableColumn id="2" xr3:uid="{00000000-0010-0000-1F00-000002000000}" name="ENERGY_" dataCellStyle="Input"/>
    <tableColumn id="3" xr3:uid="{00000000-0010-0000-1F00-000003000000}" name="CLER_" dataCellStyle="Input"/>
    <tableColumn id="4" xr3:uid="{00000000-0010-0000-1F00-000004000000}" name="PLC_" dataCellStyle="Input"/>
    <tableColumn id="5" xr3:uid="{00000000-0010-0000-1F00-000005000000}" name="TFI_" dataCellStyle="Input"/>
    <tableColumn id="6" xr3:uid="{00000000-0010-0000-1F00-000006000000}" name="SAPN_" dataCellStyle="Input"/>
    <tableColumn id="7" xr3:uid="{00000000-0010-0000-1F00-000007000000}" name="SLUOS_" dataCellStyle="Input"/>
    <tableColumn id="8" xr3:uid="{00000000-0010-0000-1F00-000008000000}" name="METERED_" dataCellStyle="Input"/>
  </tableColumns>
  <tableStyleInfo name="TableStyleMedium7" showFirstColumn="0" showLastColumn="0" showRowStripes="0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20000000}" name="Table5" displayName="Table5" ref="B57:E93" totalsRowShown="0">
  <autoFilter ref="B57:E93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2000-000001000000}" name="LED"/>
    <tableColumn id="2" xr3:uid="{00000000-0010-0000-2000-000002000000}" name="Price" dataDxfId="9" dataCellStyle="Currency [0]"/>
    <tableColumn id="3" xr3:uid="{00000000-0010-0000-2000-000003000000}" name="Purchase Year" dataDxfId="8"/>
    <tableColumn id="4" xr3:uid="{00000000-0010-0000-2000-000004000000}" name="Volume" dataDxfId="7" dataCellStyle="Comma"/>
  </tableColumns>
  <tableStyleInfo name="TableStyleMedium4" showFirstColumn="0" showLastColumn="0" showRowStripes="0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1000000}" name="Table14" displayName="Table14" ref="B15:H51">
  <autoFilter ref="B15:H51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ref="B18:H52">
    <sortCondition ref="D17:D52"/>
  </sortState>
  <tableColumns count="7">
    <tableColumn id="7" xr3:uid="{00000000-0010-0000-2100-000007000000}" name="LED" dataDxfId="6" dataCellStyle="Currency [0]"/>
    <tableColumn id="1" xr3:uid="{00000000-0010-0000-2100-000001000000}" name="Price" totalsRowLabel="Total" dataDxfId="5" dataCellStyle="Currency [0]"/>
    <tableColumn id="2" xr3:uid="{00000000-0010-0000-2100-000002000000}" name="Year" dataDxfId="4"/>
    <tableColumn id="3" xr3:uid="{00000000-0010-0000-2100-000003000000}" name="CPI to June'18" dataDxfId="3"/>
    <tableColumn id="4" xr3:uid="{00000000-0010-0000-2100-000004000000}" name="$June'18" dataDxfId="2" dataCellStyle="Currency [0]"/>
    <tableColumn id="5" xr3:uid="{00000000-0010-0000-2100-000005000000}" name="Volume" totalsRowFunction="sum" dataCellStyle="Comma [0]"/>
    <tableColumn id="6" xr3:uid="{00000000-0010-0000-2100-000006000000}" name="Total Cost" totalsRowFunction="sum" dataDxfId="1" totalsRowDxfId="0" dataCellStyle="Currency [0]"/>
  </tableColumns>
  <tableStyleInfo name="TableStyleMedium7" showFirstColumn="0" showLastColumn="0" showRowStripes="0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2000000}" name="Tariff_LED_Tbl" displayName="Tariff_LED_Tbl" ref="C6:I43" totalsRowShown="0">
  <autoFilter ref="C6:I43" xr:uid="{00000000-0009-0000-0100-00002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2200-000001000000}" name="LED"/>
    <tableColumn id="2" xr3:uid="{00000000-0010-0000-2200-000002000000}" name="ENERGY"/>
    <tableColumn id="3" xr3:uid="{00000000-0010-0000-2200-000003000000}" name="CLER"/>
    <tableColumn id="4" xr3:uid="{00000000-0010-0000-2200-000004000000}" name="PLC"/>
    <tableColumn id="5" xr3:uid="{00000000-0010-0000-2200-000005000000}" name="TFI"/>
    <tableColumn id="6" xr3:uid="{00000000-0010-0000-2200-000006000000}" name="SAPN"/>
    <tableColumn id="8" xr3:uid="{00000000-0010-0000-2200-000008000000}" name="METERED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3000000}" name="Tariff_HID_Tbl" displayName="Tariff_HID_Tbl" ref="L6:S21" totalsRowShown="0">
  <autoFilter ref="L6:S21" xr:uid="{00000000-0009-0000-0100-00002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2300-000001000000}" name="HID"/>
    <tableColumn id="2" xr3:uid="{00000000-0010-0000-2300-000002000000}" name="ENERGY"/>
    <tableColumn id="3" xr3:uid="{00000000-0010-0000-2300-000003000000}" name="CLER"/>
    <tableColumn id="4" xr3:uid="{00000000-0010-0000-2300-000004000000}" name="PLC"/>
    <tableColumn id="5" xr3:uid="{00000000-0010-0000-2300-000005000000}" name="TFI"/>
    <tableColumn id="6" xr3:uid="{00000000-0010-0000-2300-000006000000}" name="SAPN"/>
    <tableColumn id="7" xr3:uid="{00000000-0010-0000-2300-000007000000}" name="SLUOS"/>
    <tableColumn id="8" xr3:uid="{00000000-0010-0000-2300-000008000000}" name="METERED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3000000}" name="ColumnInspection_Tbl" displayName="ColumnInspection_Tbl" ref="F76:K83" totalsRowShown="0">
  <autoFilter ref="F76:K83" xr:uid="{00000000-0009-0000-0100-00001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Damage"/>
    <tableColumn id="3" xr3:uid="{00000000-0010-0000-0300-000003000000}" name="Failure Rate" dataDxfId="265" dataCellStyle="Percent"/>
    <tableColumn id="4" xr3:uid="{00000000-0010-0000-0300-000004000000}" name="Repair Type" dataDxfId="264"/>
    <tableColumn id="5" xr3:uid="{00000000-0010-0000-0300-000005000000}" name="Average Cost" dataDxfId="263" dataCellStyle="Currency"/>
    <tableColumn id="2" xr3:uid="{00000000-0010-0000-0300-000002000000}" name="Opex/Capex"/>
    <tableColumn id="6" xr3:uid="{00000000-0010-0000-0300-000006000000}" name="Notes"/>
  </tableColumns>
  <tableStyleInfo name="TableStyleMedium4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4000000}" name="Table19" displayName="Table19" ref="F330:G334" totalsRowShown="0" headerRowDxfId="262" headerRowBorderDxfId="261" tableBorderDxfId="260">
  <autoFilter ref="F330:G334" xr:uid="{00000000-0009-0000-0100-000013000000}">
    <filterColumn colId="0" hiddenButton="1"/>
    <filterColumn colId="1" hiddenButton="1"/>
  </autoFilter>
  <tableColumns count="2">
    <tableColumn id="1" xr3:uid="{00000000-0010-0000-0400-000001000000}" name="Description"/>
    <tableColumn id="2" xr3:uid="{00000000-0010-0000-0400-000002000000}" name="Allocation"/>
  </tableColumns>
  <tableStyleInfo name="TableStyleMedium7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SLO_Allocation_tbl" displayName="SLO_Allocation_tbl" ref="G399:H403" totalsRowShown="0">
  <autoFilter ref="G399:H403" xr:uid="{00000000-0009-0000-0100-000004000000}">
    <filterColumn colId="0" hiddenButton="1"/>
    <filterColumn colId="1" hiddenButton="1"/>
  </autoFilter>
  <tableColumns count="2">
    <tableColumn id="1" xr3:uid="{00000000-0010-0000-0500-000001000000}" name="Description"/>
    <tableColumn id="2" xr3:uid="{00000000-0010-0000-0500-000002000000}" name="Allocation"/>
  </tableColumns>
  <tableStyleInfo name="TableStyleMedium7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6000000}" name="LED_OM_Tbl" displayName="LED_OM_Tbl" ref="B42:AJ79" totalsRowShown="0" headerRowDxfId="235" dataDxfId="234">
  <autoFilter ref="B42:AJ79" xr:uid="{00000000-0009-0000-0100-00002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</autoFilter>
  <tableColumns count="35">
    <tableColumn id="1" xr3:uid="{00000000-0010-0000-0600-000001000000}" name="Notes" dataDxfId="233" dataCellStyle="Note"/>
    <tableColumn id="2" xr3:uid="{00000000-0010-0000-0600-000002000000}" name="LED Light" dataDxfId="232"/>
    <tableColumn id="3" xr3:uid="{00000000-0010-0000-0600-000003000000}" name="Road Category" dataDxfId="231"/>
    <tableColumn id="35" xr3:uid="{00000000-0010-0000-0600-000023000000}" name="Annuity Term" dataDxfId="230" dataCellStyle="Comma [0]"/>
    <tableColumn id="4" xr3:uid="{00000000-0010-0000-0600-000004000000}" name="Materials Luminaire $" dataDxfId="229" dataCellStyle="Currency [0]"/>
    <tableColumn id="5" xr3:uid="{00000000-0010-0000-0600-000005000000}" name="Lab/Serv $" dataDxfId="228" dataCellStyle="Currency [0]"/>
    <tableColumn id="6" xr3:uid="{00000000-0010-0000-0600-000006000000}" name="Other (Traffic Mgt) $" dataDxfId="227" dataCellStyle="Currency [0]"/>
    <tableColumn id="7" xr3:uid="{00000000-0010-0000-0600-000007000000}" name="Installation Cost inc. Oncosts &amp; OH" dataDxfId="226" dataCellStyle="Calculation"/>
    <tableColumn id="8" xr3:uid="{00000000-0010-0000-0600-000008000000}" name="Luminaire Annuity" dataDxfId="225" dataCellStyle="Currency [0]"/>
    <tableColumn id="9" xr3:uid="{00000000-0010-0000-0600-000009000000}" name="Lab/Serv Cleaning $" dataDxfId="224" dataCellStyle="Currency [0]"/>
    <tableColumn id="10" xr3:uid="{00000000-0010-0000-0600-00000A000000}" name="Frequency Rate Cleaning Yrs." dataDxfId="223"/>
    <tableColumn id="12" xr3:uid="{00000000-0010-0000-0600-00000C000000}" name="Lab/Serv Warrantee Period $" dataDxfId="222" dataCellStyle="Currency [0]"/>
    <tableColumn id="11" xr3:uid="{00000000-0010-0000-0600-00000B000000}" name="Warrantee Handling Cost $" dataDxfId="221" dataCellStyle="Currency [0]"/>
    <tableColumn id="13" xr3:uid="{00000000-0010-0000-0600-00000D000000}" name="Failure Rate Warrantee Period _x000a_(yr. 1-10) %" dataDxfId="220" dataCellStyle="Percent"/>
    <tableColumn id="29" xr3:uid="{00000000-0010-0000-0600-00001D000000}" name="Failure Rate Warrantee Period_x000a_(yr. 11-20) %" dataDxfId="219" dataCellStyle="Percent"/>
    <tableColumn id="15" xr3:uid="{00000000-0010-0000-0600-00000F000000}" name="Lab/Serv PE Cell $" dataDxfId="218" dataCellStyle="Currency [0]"/>
    <tableColumn id="14" xr3:uid="{00000000-0010-0000-0600-00000E000000}" name="Materials PE Cell $" dataDxfId="217" dataCellStyle="Currency [0]"/>
    <tableColumn id="16" xr3:uid="{00000000-0010-0000-0600-000010000000}" name="Failure Rate PE Cell (yr. 1-10) %" dataDxfId="216" dataCellStyle="Percent"/>
    <tableColumn id="30" xr3:uid="{00000000-0010-0000-0600-00001E000000}" name="Failure Rate PE Cell (yr. 11-20) %" dataDxfId="215" dataCellStyle="Percent"/>
    <tableColumn id="17" xr3:uid="{00000000-0010-0000-0600-000011000000}" name="Lab/Serv Fitting Replacement $" dataDxfId="214" dataCellStyle="Currency [0]"/>
    <tableColumn id="18" xr3:uid="{00000000-0010-0000-0600-000012000000}" name="Materials Fitting Replacement $" dataDxfId="213" dataCellStyle="Currency [0]"/>
    <tableColumn id="19" xr3:uid="{00000000-0010-0000-0600-000013000000}" name="Failure Rate Fitting Replacement (yr. 1-10) %" dataDxfId="212" dataCellStyle="Percent"/>
    <tableColumn id="31" xr3:uid="{00000000-0010-0000-0600-00001F000000}" name="Failure Rate Fitting Replacement (yr. 11-20) %" dataDxfId="211" dataCellStyle="Percent"/>
    <tableColumn id="23" xr3:uid="{00000000-0010-0000-0600-000017000000}" name="Lab/Serv Fuse $" dataDxfId="210" dataCellStyle="Currency [0]"/>
    <tableColumn id="24" xr3:uid="{00000000-0010-0000-0600-000018000000}" name="Materials Fuse $" dataDxfId="209" dataCellStyle="Currency [0]"/>
    <tableColumn id="25" xr3:uid="{00000000-0010-0000-0600-000019000000}" name="Fuse Failure Rate (yr. 1-10) %" dataDxfId="208" dataCellStyle="Percent"/>
    <tableColumn id="32" xr3:uid="{00000000-0010-0000-0600-000020000000}" name="Fuse Failure Rate (yr. 11-20) %" dataDxfId="207" dataCellStyle="Percent"/>
    <tableColumn id="26" xr3:uid="{00000000-0010-0000-0600-00001A000000}" name="Lab/Serv Testing $" dataDxfId="206" dataCellStyle="Currency [0]"/>
    <tableColumn id="34" xr3:uid="{00000000-0010-0000-0600-000022000000}" name="Sample Size" dataDxfId="205" dataCellStyle="Percent"/>
    <tableColumn id="27" xr3:uid="{00000000-0010-0000-0600-00001B000000}" name="Frequency Rate Testing (yr. 1-10)" dataDxfId="204" dataCellStyle="Currency [0]"/>
    <tableColumn id="33" xr3:uid="{00000000-0010-0000-0600-000021000000}" name="Frequency Rate Testing (yr. 11-20)" dataDxfId="203" dataCellStyle="Percent"/>
    <tableColumn id="21" xr3:uid="{00000000-0010-0000-0600-000015000000}" name="LED O&amp;M Annuity" dataDxfId="202" dataCellStyle="Currency [0]"/>
    <tableColumn id="28" xr3:uid="{00000000-0010-0000-0600-00001C000000}" name="Luminaire Materials inc. Oncosts &amp; OH" dataDxfId="201" dataCellStyle="Calculation"/>
    <tableColumn id="22" xr3:uid="{00000000-0010-0000-0600-000016000000}" name="Luminaire Labour inc. OH" dataDxfId="200" dataCellStyle="Calculation"/>
    <tableColumn id="20" xr3:uid="{00000000-0010-0000-0600-000014000000}" name="TFI Annuity" dataDxfId="199" dataCellStyle="Currency [0]"/>
  </tableColumns>
  <tableStyleInfo name="TableStyleMedium7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7000000}" name="HID_tbl" displayName="HID_tbl" ref="B7:K22" totalsRowShown="0">
  <autoFilter ref="B7:K22" xr:uid="{00000000-0009-0000-0100-00002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700-000001000000}" name="HID BaseLights"/>
    <tableColumn id="10" xr3:uid="{00000000-0010-0000-0700-00000A000000}" name="Annuity Term" dataDxfId="198"/>
    <tableColumn id="2" xr3:uid="{00000000-0010-0000-0700-000002000000}" name="Materials Luminaire $" dataDxfId="197" dataCellStyle="Input"/>
    <tableColumn id="7" xr3:uid="{00000000-0010-0000-0700-000007000000}" name="Materials inc. On Costs &amp; OH" dataDxfId="196" dataCellStyle="Currency [0]"/>
    <tableColumn id="3" xr3:uid="{00000000-0010-0000-0700-000003000000}" name="Lab/Serv $" dataDxfId="195" dataCellStyle="Currency [0]"/>
    <tableColumn id="4" xr3:uid="{00000000-0010-0000-0700-000004000000}" name="Other (Traffic Mgt) $" dataDxfId="194" dataCellStyle="Input"/>
    <tableColumn id="5" xr3:uid="{00000000-0010-0000-0700-000005000000}" name="Lab/Serv inc. OH" dataDxfId="193" dataCellStyle="Currency [0]"/>
    <tableColumn id="9" xr3:uid="{00000000-0010-0000-0700-000009000000}" name="Total Cost" dataDxfId="192" dataCellStyle="Currency [0]"/>
    <tableColumn id="6" xr3:uid="{00000000-0010-0000-0700-000006000000}" name="TFI Annuity" dataDxfId="191" dataCellStyle="Currency [0]"/>
    <tableColumn id="8" xr3:uid="{00000000-0010-0000-0700-000008000000}" name="HID Annuity" dataDxfId="190" dataCellStyle="Currency [0]"/>
  </tableColumns>
  <tableStyleInfo name="TableStyleMedium7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8000000}" name="SysAdmin_tbl" displayName="SysAdmin_tbl" ref="G47:J53" totalsRowShown="0">
  <autoFilter ref="G47:J53" xr:uid="{00000000-0009-0000-0100-00001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Description" dataDxfId="189"/>
    <tableColumn id="2" xr3:uid="{00000000-0010-0000-0800-000002000000}" name="Annual Cost _x000a_($2017/18)" dataDxfId="188" dataCellStyle="Currency [0]"/>
    <tableColumn id="4" xr3:uid="{00000000-0010-0000-0800-000004000000}" name="Includes Network Management OK" dataDxfId="187" dataCellStyle="Currency [0]"/>
    <tableColumn id="3" xr3:uid="{00000000-0010-0000-0800-000003000000}" name=" 2017/18 to June 2020" dataDxfId="186" dataCellStyle="Currency [0]"/>
  </tableColumns>
  <tableStyleInfo name="TableStyleMedium7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9.bin"/><Relationship Id="rId4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0.bin"/><Relationship Id="rId4" Type="http://schemas.openxmlformats.org/officeDocument/2006/relationships/table" Target="../tables/table14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4" Type="http://schemas.openxmlformats.org/officeDocument/2006/relationships/table" Target="../tables/table18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32.bin"/><Relationship Id="rId4" Type="http://schemas.openxmlformats.org/officeDocument/2006/relationships/table" Target="../tables/table27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4.bin"/><Relationship Id="rId4" Type="http://schemas.openxmlformats.org/officeDocument/2006/relationships/table" Target="../tables/table3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table" Target="../tables/table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table" Target="../tables/table3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A1:E84"/>
  <sheetViews>
    <sheetView showGridLines="0" tabSelected="1" zoomScale="115" zoomScaleNormal="115" workbookViewId="0">
      <selection activeCell="C11" sqref="C11"/>
    </sheetView>
  </sheetViews>
  <sheetFormatPr defaultColWidth="0" defaultRowHeight="11.25" zeroHeight="1" x14ac:dyDescent="0.2"/>
  <cols>
    <col min="1" max="1" width="2.83203125" style="11" customWidth="1"/>
    <col min="2" max="2" width="26.1640625" style="11" customWidth="1"/>
    <col min="3" max="3" width="41.83203125" style="11" customWidth="1"/>
    <col min="4" max="4" width="2.83203125" style="11" customWidth="1"/>
    <col min="5" max="5" width="20.83203125" style="11" hidden="1" customWidth="1"/>
    <col min="6" max="16384" width="9.5" style="11" hidden="1"/>
  </cols>
  <sheetData>
    <row r="1" spans="2:5" ht="19.5" thickBot="1" x14ac:dyDescent="0.35">
      <c r="B1" s="20" t="str">
        <f>A_Name_Model</f>
        <v>Public Lighting Model</v>
      </c>
      <c r="C1" s="20"/>
    </row>
    <row r="2" spans="2:5" ht="17.25" thickTop="1" thickBot="1" x14ac:dyDescent="0.3">
      <c r="B2" s="19" t="str">
        <f ca="1">RIGHT(CELL("filename",A2),LEN(CELL("filename",A2))-FIND("]",CELL("filename",A2)))</f>
        <v>Contents</v>
      </c>
    </row>
    <row r="3" spans="2:5" ht="12" thickTop="1" x14ac:dyDescent="0.2"/>
    <row r="4" spans="2:5" ht="12.75" x14ac:dyDescent="0.2">
      <c r="B4" s="18" t="s">
        <v>5</v>
      </c>
      <c r="C4" s="18"/>
      <c r="D4" s="14"/>
    </row>
    <row r="5" spans="2:5" ht="12" x14ac:dyDescent="0.2">
      <c r="B5" s="12" t="str">
        <f ca="1">HYPERLINK("["&amp;A_Name_File&amp;"]'"&amp;E5&amp;"'!A1",E5)</f>
        <v>Contents</v>
      </c>
      <c r="D5" s="12"/>
      <c r="E5" s="11" t="str">
        <f ca="1">SUBSTITUTE(CELL("filename",$A$1),A_File_Long,"")</f>
        <v>Contents</v>
      </c>
    </row>
    <row r="6" spans="2:5" ht="12" x14ac:dyDescent="0.2">
      <c r="B6" s="12" t="str">
        <f ca="1">HYPERLINK("["&amp;A_Name_File&amp;"]'"&amp;E6&amp;"'!A1",E6)</f>
        <v>Administration</v>
      </c>
      <c r="C6" s="13"/>
      <c r="D6" s="12"/>
      <c r="E6" s="11" t="str">
        <f ca="1">SUBSTITUTE(CELL("filename",Administration!$A$1),A_File_Long,"")</f>
        <v>Administration</v>
      </c>
    </row>
    <row r="7" spans="2:5" ht="12" x14ac:dyDescent="0.2">
      <c r="B7" s="12"/>
      <c r="D7" s="12"/>
    </row>
    <row r="8" spans="2:5" ht="12.75" x14ac:dyDescent="0.2">
      <c r="B8" s="17" t="s">
        <v>4</v>
      </c>
      <c r="C8" s="17"/>
      <c r="D8" s="14"/>
    </row>
    <row r="9" spans="2:5" ht="12" x14ac:dyDescent="0.2">
      <c r="B9" s="510" t="str">
        <f ca="1">HYPERLINK("["&amp;A_Name_File&amp;"]'"&amp;E9&amp;"'!A1",E9)</f>
        <v>HID Tariffs</v>
      </c>
      <c r="C9" s="11" t="s">
        <v>1228</v>
      </c>
      <c r="E9" s="11" t="str">
        <f ca="1">SUBSTITUTE(CELL("filename",'HID Tariffs'!$A$1),A_File_Long,"")</f>
        <v>HID Tariffs</v>
      </c>
    </row>
    <row r="10" spans="2:5" ht="12" x14ac:dyDescent="0.2">
      <c r="B10" s="510" t="str">
        <f ca="1">HYPERLINK("["&amp;A_Name_File&amp;"]'"&amp;E10&amp;"'!A1",E10)</f>
        <v>LED Tariffs</v>
      </c>
      <c r="C10" s="11" t="s">
        <v>1229</v>
      </c>
      <c r="E10" s="11" t="str">
        <f ca="1">SUBSTITUTE(CELL("filename",'LED Tariffs'!$A$1),A_File_Long,"")</f>
        <v>LED Tariffs</v>
      </c>
    </row>
    <row r="11" spans="2:5" ht="12" x14ac:dyDescent="0.2">
      <c r="B11" s="510" t="str">
        <f ca="1">HYPERLINK("["&amp;A_Name_File&amp;"]'"&amp;E11&amp;"'!A1",E11)</f>
        <v>HID</v>
      </c>
      <c r="C11" s="11" t="s">
        <v>776</v>
      </c>
      <c r="E11" s="11" t="str">
        <f ca="1">SUBSTITUTE(CELL("filename",HID!$A$1),A_File_Long,"")</f>
        <v>HID</v>
      </c>
    </row>
    <row r="12" spans="2:5" ht="12" x14ac:dyDescent="0.2">
      <c r="B12" s="510" t="str">
        <f ca="1">HYPERLINK("["&amp;A_Name_File&amp;"]'"&amp;E12&amp;"'!A1",E12)</f>
        <v>LED</v>
      </c>
      <c r="C12" s="11" t="s">
        <v>776</v>
      </c>
      <c r="E12" s="11" t="str">
        <f ca="1">SUBSTITUTE(CELL("filename",LED!$A$1),A_File_Long,"")</f>
        <v>LED</v>
      </c>
    </row>
    <row r="13" spans="2:5" ht="12" x14ac:dyDescent="0.2">
      <c r="B13" s="12"/>
      <c r="C13" s="13"/>
      <c r="D13" s="12"/>
    </row>
    <row r="14" spans="2:5" ht="12" x14ac:dyDescent="0.2">
      <c r="B14" s="12"/>
      <c r="C14" s="79" t="s">
        <v>743</v>
      </c>
      <c r="D14" s="12"/>
    </row>
    <row r="15" spans="2:5" ht="12" x14ac:dyDescent="0.2">
      <c r="B15" s="510" t="str">
        <f ca="1">HYPERLINK("["&amp;A_Name_File&amp;"]'"&amp;E15&amp;"'!A1",E15)</f>
        <v>Total Exp</v>
      </c>
      <c r="C15" s="11" t="s">
        <v>1224</v>
      </c>
      <c r="E15" s="11" t="str">
        <f ca="1">SUBSTITUTE(CELL("filename",'Total Exp'!$A$1),A_File_Long,"")</f>
        <v>Total Exp</v>
      </c>
    </row>
    <row r="16" spans="2:5" ht="12" x14ac:dyDescent="0.2">
      <c r="B16" s="12"/>
      <c r="C16" s="431"/>
      <c r="D16" s="12"/>
    </row>
    <row r="17" spans="2:5" ht="12" x14ac:dyDescent="0.2">
      <c r="B17" s="510" t="str">
        <f ca="1">HYPERLINK("["&amp;A_Name_File&amp;"]'"&amp;E17&amp;"'!A1",E17)</f>
        <v>CAPEX Graph</v>
      </c>
      <c r="C17" s="11" t="s">
        <v>1225</v>
      </c>
      <c r="E17" s="11" t="str">
        <f ca="1">SUBSTITUTE(CELL("filename",'CAPEX Graph'!$A$1),A_File_Long,"")</f>
        <v>CAPEX Graph</v>
      </c>
    </row>
    <row r="18" spans="2:5" ht="12" x14ac:dyDescent="0.2">
      <c r="B18" s="510" t="str">
        <f ca="1">HYPERLINK("["&amp;A_Name_File&amp;"]'"&amp;E18&amp;"'!A1",E18)</f>
        <v>OPEX Graph</v>
      </c>
      <c r="C18" s="11" t="s">
        <v>1226</v>
      </c>
      <c r="E18" s="11" t="str">
        <f ca="1">SUBSTITUTE(CELL("filename",'OPEX Graph'!$A$1),A_File_Long,"")</f>
        <v>OPEX Graph</v>
      </c>
    </row>
    <row r="19" spans="2:5" ht="12" x14ac:dyDescent="0.2">
      <c r="B19" s="510" t="str">
        <f ca="1">HYPERLINK("["&amp;A_Name_File&amp;"]'"&amp;E19&amp;"'!A1",E19)</f>
        <v>SLO Summary</v>
      </c>
      <c r="C19" s="11" t="s">
        <v>1227</v>
      </c>
      <c r="E19" s="11" t="str">
        <f ca="1">SUBSTITUTE(CELL("filename",'SLO Summary'!$A$1),A_File_Long,"")</f>
        <v>SLO Summary</v>
      </c>
    </row>
    <row r="20" spans="2:5" ht="12.75" x14ac:dyDescent="0.2">
      <c r="B20" s="16" t="s">
        <v>3</v>
      </c>
      <c r="C20" s="16"/>
      <c r="D20" s="14"/>
    </row>
    <row r="21" spans="2:5" ht="12" x14ac:dyDescent="0.2">
      <c r="B21" s="510" t="str">
        <f t="shared" ref="B21:B36" ca="1" si="0">HYPERLINK("["&amp;A_Name_File&amp;"]'"&amp;E21&amp;"'!A1",E21)</f>
        <v>GSL</v>
      </c>
      <c r="E21" s="11" t="str">
        <f ca="1">SUBSTITUTE(CELL("filename",GSL!$A$1),A_File_Long,"")</f>
        <v>GSL</v>
      </c>
    </row>
    <row r="22" spans="2:5" ht="12" x14ac:dyDescent="0.2">
      <c r="B22" s="510" t="str">
        <f t="shared" ca="1" si="0"/>
        <v>Cable Replacement</v>
      </c>
      <c r="E22" s="11" t="str">
        <f ca="1">SUBSTITUTE(CELL("filename",'Cable Replacement'!$A$1),A_File_Long,"")</f>
        <v>Cable Replacement</v>
      </c>
    </row>
    <row r="23" spans="2:5" ht="12" x14ac:dyDescent="0.2">
      <c r="B23" s="510" t="str">
        <f t="shared" ca="1" si="0"/>
        <v>Brackets Replacement</v>
      </c>
      <c r="E23" s="11" t="str">
        <f ca="1">SUBSTITUTE(CELL("filename",'Brackets Replacement'!$A$1),A_File_Long,"")</f>
        <v>Brackets Replacement</v>
      </c>
    </row>
    <row r="24" spans="2:5" ht="12" x14ac:dyDescent="0.2">
      <c r="B24" s="510" t="str">
        <f t="shared" ca="1" si="0"/>
        <v>Column Replacement</v>
      </c>
      <c r="E24" s="11" t="str">
        <f ca="1">SUBSTITUTE(CELL("filename",'Column Replacement'!$A$1),A_File_Long,"")</f>
        <v>Column Replacement</v>
      </c>
    </row>
    <row r="25" spans="2:5" ht="12" x14ac:dyDescent="0.2">
      <c r="B25" s="510" t="str">
        <f t="shared" ca="1" si="0"/>
        <v>Column Inspections</v>
      </c>
      <c r="E25" s="11" t="str">
        <f ca="1">SUBSTITUTE(CELL("filename",'Column Inspections'!$A$1),A_File_Long,"")</f>
        <v>Column Inspections</v>
      </c>
    </row>
    <row r="26" spans="2:5" ht="12" x14ac:dyDescent="0.2">
      <c r="B26" s="510" t="str">
        <f t="shared" ca="1" si="0"/>
        <v>Bulk Lamp</v>
      </c>
      <c r="E26" s="11" t="str">
        <f ca="1">SUBSTITUTE(CELL("filename",'Bulk Lamp'!$A$1),A_File_Long,"")</f>
        <v>Bulk Lamp</v>
      </c>
    </row>
    <row r="27" spans="2:5" ht="12" x14ac:dyDescent="0.2">
      <c r="B27" s="510" t="str">
        <f t="shared" ca="1" si="0"/>
        <v>LED Conversions</v>
      </c>
      <c r="E27" s="11" t="str">
        <f ca="1">SUBSTITUTE(CELL("filename",'LED Conversions'!$A$1),A_File_Long,"")</f>
        <v>LED Conversions</v>
      </c>
    </row>
    <row r="28" spans="2:5" ht="12" x14ac:dyDescent="0.2">
      <c r="B28" s="510" t="str">
        <f t="shared" ref="B28" ca="1" si="1">HYPERLINK("["&amp;A_Name_File&amp;"]'"&amp;E28&amp;"'!A1",E28)</f>
        <v>LED CAPEX</v>
      </c>
      <c r="C28" s="11" t="s">
        <v>1230</v>
      </c>
      <c r="E28" s="11" t="str">
        <f ca="1">SUBSTITUTE(CELL("filename",'LED CAPEX'!$A$1),A_File_Long,"")</f>
        <v>LED CAPEX</v>
      </c>
    </row>
    <row r="29" spans="2:5" ht="12" x14ac:dyDescent="0.2">
      <c r="B29" s="510" t="str">
        <f t="shared" ca="1" si="0"/>
        <v>Cable Faults</v>
      </c>
      <c r="E29" s="11" t="str">
        <f ca="1">SUBSTITUTE(CELL("filename",'Cable Faults'!$A$1),A_File_Long,"")</f>
        <v>Cable Faults</v>
      </c>
    </row>
    <row r="30" spans="2:5" ht="12" x14ac:dyDescent="0.2">
      <c r="B30" s="510" t="str">
        <f t="shared" ca="1" si="0"/>
        <v>SLO</v>
      </c>
      <c r="E30" s="11" t="str">
        <f ca="1">SUBSTITUTE(CELL("filename",SLO!$A$1),A_File_Long,"")</f>
        <v>SLO</v>
      </c>
    </row>
    <row r="31" spans="2:5" ht="12" x14ac:dyDescent="0.2">
      <c r="B31" s="510" t="str">
        <f t="shared" ref="B31:B32" ca="1" si="2">HYPERLINK("["&amp;A_Name_File&amp;"]'"&amp;E31&amp;"'!A1",E31)</f>
        <v>SLO HID OPEX</v>
      </c>
      <c r="C31" s="11" t="s">
        <v>1231</v>
      </c>
      <c r="E31" s="11" t="str">
        <f ca="1">SUBSTITUTE(CELL("filename",'SLO HID OPEX'!$A$1),A_File_Long,"")</f>
        <v>SLO HID OPEX</v>
      </c>
    </row>
    <row r="32" spans="2:5" ht="12" x14ac:dyDescent="0.2">
      <c r="B32" s="510" t="str">
        <f t="shared" ca="1" si="2"/>
        <v>SLO LED OPEX</v>
      </c>
      <c r="C32" s="11" t="s">
        <v>1231</v>
      </c>
      <c r="E32" s="11" t="str">
        <f ca="1">SUBSTITUTE(CELL("filename",'SLO LED OPEX'!$A$1),A_File_Long,"")</f>
        <v>SLO LED OPEX</v>
      </c>
    </row>
    <row r="33" spans="2:5" ht="12" x14ac:dyDescent="0.2">
      <c r="B33" s="510" t="str">
        <f t="shared" ca="1" si="0"/>
        <v>Luminaire_Annuity</v>
      </c>
      <c r="C33" s="11" t="s">
        <v>780</v>
      </c>
      <c r="E33" s="11" t="str">
        <f ca="1">SUBSTITUTE(CELL("filename",Luminaire_Annuity!$A$1),A_File_Long,"")</f>
        <v>Luminaire_Annuity</v>
      </c>
    </row>
    <row r="34" spans="2:5" ht="12" x14ac:dyDescent="0.2">
      <c r="B34" s="510" t="str">
        <f t="shared" ca="1" si="0"/>
        <v>TFI_Annuity_Calcs</v>
      </c>
      <c r="C34" s="11" t="s">
        <v>780</v>
      </c>
      <c r="E34" s="11" t="str">
        <f ca="1">SUBSTITUTE(CELL("filename",TFI_Annuity_Calcs!$A$1),A_File_Long,"")</f>
        <v>TFI_Annuity_Calcs</v>
      </c>
    </row>
    <row r="35" spans="2:5" ht="12" x14ac:dyDescent="0.2">
      <c r="B35" s="510" t="str">
        <f t="shared" ca="1" si="0"/>
        <v>LED Annuity</v>
      </c>
      <c r="C35" s="11" t="s">
        <v>779</v>
      </c>
      <c r="E35" s="11" t="str">
        <f ca="1">SUBSTITUTE(CELL("filename",'LED Annuity'!$A$1),A_File_Long,"")</f>
        <v>LED Annuity</v>
      </c>
    </row>
    <row r="36" spans="2:5" ht="12" x14ac:dyDescent="0.2">
      <c r="B36" s="510" t="str">
        <f t="shared" ca="1" si="0"/>
        <v>HID_Annuity</v>
      </c>
      <c r="C36" s="11" t="s">
        <v>778</v>
      </c>
      <c r="E36" s="11" t="str">
        <f ca="1">SUBSTITUTE(CELL("filename",HID_Annuity!$A$1),A_File_Long,"")</f>
        <v>HID_Annuity</v>
      </c>
    </row>
    <row r="37" spans="2:5" ht="12" x14ac:dyDescent="0.2">
      <c r="B37" s="12"/>
      <c r="C37" s="13"/>
      <c r="D37" s="12"/>
    </row>
    <row r="38" spans="2:5" ht="12.75" x14ac:dyDescent="0.2">
      <c r="B38" s="15" t="s">
        <v>2</v>
      </c>
      <c r="C38" s="15"/>
      <c r="D38" s="14"/>
    </row>
    <row r="39" spans="2:5" ht="12" x14ac:dyDescent="0.2">
      <c r="B39" s="510" t="str">
        <f ca="1">HYPERLINK("["&amp;A_Name_File&amp;"]'"&amp;E39&amp;"'!A1",E39)</f>
        <v>Global Assumptions</v>
      </c>
      <c r="C39" s="11" t="s">
        <v>781</v>
      </c>
      <c r="E39" s="11" t="str">
        <f ca="1">SUBSTITUTE(CELL("filename",'Global Assumptions'!$A$1),A_File_Long,"")</f>
        <v>Global Assumptions</v>
      </c>
    </row>
    <row r="40" spans="2:5" ht="12" x14ac:dyDescent="0.2">
      <c r="B40" s="510" t="str">
        <f ca="1">HYPERLINK("["&amp;A_Name_File&amp;"]'"&amp;E40&amp;"'!A1",E40)</f>
        <v>SLO Costs</v>
      </c>
      <c r="C40" s="11" t="s">
        <v>781</v>
      </c>
      <c r="E40" s="11" t="str">
        <f ca="1">SUBSTITUTE(CELL("filename",'SLO Costs'!$A$1),A_File_Long,"")</f>
        <v>SLO Costs</v>
      </c>
    </row>
    <row r="41" spans="2:5" ht="12" x14ac:dyDescent="0.2">
      <c r="B41" s="510" t="str">
        <f ca="1">HYPERLINK("["&amp;A_Name_File&amp;"]'"&amp;E41&amp;"'!A1",E41)</f>
        <v>AMP</v>
      </c>
      <c r="C41" s="11" t="s">
        <v>781</v>
      </c>
      <c r="E41" s="11" t="str">
        <f ca="1">SUBSTITUTE(CELL("filename",AMP!$A$1),A_File_Long,"")</f>
        <v>AMP</v>
      </c>
    </row>
    <row r="42" spans="2:5" ht="12" x14ac:dyDescent="0.2">
      <c r="B42" s="510" t="str">
        <f ca="1">HYPERLINK("["&amp;A_Name_File&amp;"]'"&amp;E42&amp;"'!A1",E42)</f>
        <v>Lists</v>
      </c>
      <c r="C42" s="11" t="s">
        <v>781</v>
      </c>
      <c r="E42" s="11" t="str">
        <f ca="1">SUBSTITUTE(CELL("filename",Lists!$A$1),A_File_Long,"")</f>
        <v>Lists</v>
      </c>
    </row>
    <row r="43" spans="2:5" x14ac:dyDescent="0.2"/>
    <row r="44" spans="2:5" ht="12" x14ac:dyDescent="0.2">
      <c r="B44" s="510"/>
    </row>
    <row r="45" spans="2:5" ht="12" x14ac:dyDescent="0.2">
      <c r="B45" s="510" t="str">
        <f ca="1">HYPERLINK("["&amp;A_Name_File&amp;"]'"&amp;E45&amp;"'!A1",E45)</f>
        <v>SLO_Fittings_Data</v>
      </c>
      <c r="C45" s="11" t="s">
        <v>777</v>
      </c>
      <c r="E45" s="11" t="str">
        <f ca="1">SUBSTITUTE(CELL("filename",SLO_Fittings_Data!$A$1),A_File_Long,"")</f>
        <v>SLO_Fittings_Data</v>
      </c>
    </row>
    <row r="46" spans="2:5" ht="12" x14ac:dyDescent="0.2">
      <c r="B46" s="510" t="str">
        <f ca="1">HYPERLINK("["&amp;A_Name_File&amp;"]'"&amp;E46&amp;"'!A1",E46)</f>
        <v>CableFault_Data</v>
      </c>
      <c r="C46" s="11" t="s">
        <v>777</v>
      </c>
      <c r="E46" s="11" t="str">
        <f ca="1">SUBSTITUTE(CELL("filename",CableFault_Data!$A$1),A_File_Long,"")</f>
        <v>CableFault_Data</v>
      </c>
    </row>
    <row r="47" spans="2:5" ht="12" x14ac:dyDescent="0.2">
      <c r="B47" s="510" t="str">
        <f ca="1">HYPERLINK("["&amp;A_Name_File&amp;"]'"&amp;E47&amp;"'!A1",E47)</f>
        <v>SLO_Data</v>
      </c>
      <c r="C47" s="11" t="s">
        <v>777</v>
      </c>
      <c r="E47" s="11" t="str">
        <f ca="1">SUBSTITUTE(CELL("filename",SLO_Data!$A$1),A_File_Long,"")</f>
        <v>SLO_Data</v>
      </c>
    </row>
    <row r="48" spans="2:5" ht="12" x14ac:dyDescent="0.2">
      <c r="B48" s="510" t="str">
        <f ca="1">HYPERLINK("["&amp;A_Name_File&amp;"]'"&amp;E48&amp;"'!A1",E48)</f>
        <v>GSL_Data</v>
      </c>
      <c r="C48" s="11" t="s">
        <v>777</v>
      </c>
      <c r="E48" s="11" t="str">
        <f ca="1">SUBSTITUTE(CELL("filename",GSL_Data!$A$1),A_File_Long,"")</f>
        <v>GSL_Data</v>
      </c>
    </row>
    <row r="49" spans="2:5" ht="12" x14ac:dyDescent="0.2">
      <c r="B49" s="510" t="str">
        <f ca="1">HYPERLINK("["&amp;A_Name_File&amp;"]'"&amp;E49&amp;"'!A1",E49)</f>
        <v>Lights_Data</v>
      </c>
      <c r="C49" s="11" t="s">
        <v>777</v>
      </c>
      <c r="E49" s="11" t="str">
        <f ca="1">SUBSTITUTE(CELL("filename",Lights_Data!$A$1),A_File_Long,"")</f>
        <v>Lights_Data</v>
      </c>
    </row>
    <row r="50" spans="2:5" x14ac:dyDescent="0.2"/>
    <row r="51" spans="2:5" x14ac:dyDescent="0.2"/>
    <row r="52" spans="2:5" hidden="1" x14ac:dyDescent="0.2"/>
    <row r="53" spans="2:5" hidden="1" x14ac:dyDescent="0.2"/>
    <row r="54" spans="2:5" hidden="1" x14ac:dyDescent="0.2"/>
    <row r="55" spans="2:5" hidden="1" x14ac:dyDescent="0.2"/>
    <row r="56" spans="2:5" hidden="1" x14ac:dyDescent="0.2"/>
    <row r="57" spans="2:5" hidden="1" x14ac:dyDescent="0.2"/>
    <row r="58" spans="2:5" hidden="1" x14ac:dyDescent="0.2"/>
    <row r="59" spans="2:5" hidden="1" x14ac:dyDescent="0.2"/>
    <row r="60" spans="2:5" hidden="1" x14ac:dyDescent="0.2"/>
    <row r="61" spans="2:5" hidden="1" x14ac:dyDescent="0.2"/>
    <row r="62" spans="2:5" hidden="1" x14ac:dyDescent="0.2"/>
    <row r="63" spans="2:5" hidden="1" x14ac:dyDescent="0.2"/>
    <row r="64" spans="2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x14ac:dyDescent="0.2"/>
  </sheetData>
  <dataConsolidate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4">
    <tabColor theme="3" tint="0.79998168889431442"/>
    <pageSetUpPr fitToPage="1"/>
  </sheetPr>
  <dimension ref="A1:S48"/>
  <sheetViews>
    <sheetView showGridLines="0" zoomScaleNormal="100" workbookViewId="0">
      <selection activeCell="B19" sqref="B19"/>
    </sheetView>
  </sheetViews>
  <sheetFormatPr defaultColWidth="9.1640625" defaultRowHeight="12" x14ac:dyDescent="0.2"/>
  <cols>
    <col min="1" max="1" width="7.5" style="558" customWidth="1"/>
    <col min="2" max="2" width="7.33203125" style="558" bestFit="1" customWidth="1"/>
    <col min="3" max="5" width="2.5" style="558" customWidth="1"/>
    <col min="6" max="6" width="21.5" style="558" customWidth="1"/>
    <col min="7" max="7" width="10" style="558" bestFit="1" customWidth="1"/>
    <col min="8" max="18" width="18.1640625" style="558" customWidth="1"/>
    <col min="19" max="19" width="4.6640625" style="558" customWidth="1"/>
    <col min="20" max="16384" width="9.1640625" style="558"/>
  </cols>
  <sheetData>
    <row r="1" spans="1:19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ht="16.5" thickBot="1" x14ac:dyDescent="0.3">
      <c r="A2" s="394" t="s">
        <v>1264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.75" thickTop="1" x14ac:dyDescent="0.25">
      <c r="A3" s="6"/>
      <c r="D3" s="34"/>
      <c r="F3" s="337"/>
      <c r="G3" s="337"/>
    </row>
    <row r="12" spans="1:19" x14ac:dyDescent="0.2">
      <c r="O12" s="558">
        <v>1000000</v>
      </c>
    </row>
    <row r="38" spans="1:14" ht="15" x14ac:dyDescent="0.25">
      <c r="A38" s="6"/>
      <c r="B38" s="5" t="s">
        <v>1222</v>
      </c>
      <c r="D38" s="34"/>
      <c r="F38" s="38"/>
    </row>
    <row r="39" spans="1:14" ht="15" x14ac:dyDescent="0.25">
      <c r="A39" s="6"/>
      <c r="D39" s="34"/>
      <c r="F39" s="1"/>
      <c r="G39" s="720"/>
      <c r="H39" s="3" t="s">
        <v>251</v>
      </c>
      <c r="I39" s="3" t="s">
        <v>252</v>
      </c>
      <c r="J39" s="3" t="s">
        <v>253</v>
      </c>
      <c r="K39" s="3" t="s">
        <v>254</v>
      </c>
      <c r="L39" s="3" t="s">
        <v>255</v>
      </c>
      <c r="M39" s="3" t="s">
        <v>256</v>
      </c>
      <c r="N39" s="3" t="s">
        <v>257</v>
      </c>
    </row>
    <row r="40" spans="1:14" ht="4.1500000000000004" customHeight="1" x14ac:dyDescent="0.2">
      <c r="H40" s="53"/>
      <c r="I40" s="53"/>
      <c r="J40" s="53"/>
      <c r="K40" s="53"/>
      <c r="L40" s="53"/>
      <c r="M40" s="53"/>
      <c r="N40" s="53"/>
    </row>
    <row r="41" spans="1:14" x14ac:dyDescent="0.2">
      <c r="F41" s="558" t="s">
        <v>194</v>
      </c>
      <c r="G41" s="411"/>
      <c r="H41" s="93">
        <v>13028.23</v>
      </c>
      <c r="I41" s="93">
        <v>10706.610303047248</v>
      </c>
      <c r="J41" s="93">
        <v>7768.7792008765427</v>
      </c>
      <c r="K41" s="93">
        <v>5743.9332919178332</v>
      </c>
      <c r="L41" s="93">
        <v>4652.5218078462058</v>
      </c>
      <c r="M41" s="93">
        <v>3258.9365329637085</v>
      </c>
      <c r="N41" s="93">
        <v>2757.7387515431719</v>
      </c>
    </row>
    <row r="42" spans="1:14" x14ac:dyDescent="0.2">
      <c r="F42" s="558" t="s">
        <v>195</v>
      </c>
      <c r="G42" s="411"/>
      <c r="H42" s="93">
        <v>3283.25</v>
      </c>
      <c r="I42" s="93">
        <v>3008.8969589992194</v>
      </c>
      <c r="J42" s="93">
        <v>2506.3190244811881</v>
      </c>
      <c r="K42" s="93">
        <v>2082.6543608686311</v>
      </c>
      <c r="L42" s="93">
        <v>1735.0313787506548</v>
      </c>
      <c r="M42" s="93">
        <v>1355.6191444183739</v>
      </c>
      <c r="N42" s="93">
        <v>1317.7416894828864</v>
      </c>
    </row>
    <row r="43" spans="1:14" x14ac:dyDescent="0.2">
      <c r="F43" s="558" t="s">
        <v>215</v>
      </c>
      <c r="G43" s="411"/>
      <c r="H43" s="93">
        <v>9456.09</v>
      </c>
      <c r="I43" s="93">
        <v>7561.1656508242986</v>
      </c>
      <c r="J43" s="93">
        <v>5113.8246215974023</v>
      </c>
      <c r="K43" s="93">
        <v>3552.4648272824629</v>
      </c>
      <c r="L43" s="93">
        <v>2631.3997080204049</v>
      </c>
      <c r="M43" s="93">
        <v>1855.9874423134843</v>
      </c>
      <c r="N43" s="93">
        <v>1857.7444154925176</v>
      </c>
    </row>
    <row r="44" spans="1:14" x14ac:dyDescent="0.2">
      <c r="F44" s="558" t="s">
        <v>242</v>
      </c>
      <c r="G44" s="411"/>
      <c r="H44" s="93">
        <v>5307.18</v>
      </c>
      <c r="I44" s="93">
        <v>3735.7693480749226</v>
      </c>
      <c r="J44" s="93">
        <v>1941.9440315001243</v>
      </c>
      <c r="K44" s="93">
        <v>1325.4788557999593</v>
      </c>
      <c r="L44" s="93">
        <v>938.56532677594407</v>
      </c>
      <c r="M44" s="93">
        <v>942.60146220587058</v>
      </c>
      <c r="N44" s="93">
        <v>963.87838335026515</v>
      </c>
    </row>
    <row r="45" spans="1:14" x14ac:dyDescent="0.2">
      <c r="F45" s="558" t="s">
        <v>67</v>
      </c>
      <c r="G45" s="411"/>
      <c r="H45" s="37">
        <v>1040</v>
      </c>
      <c r="I45" s="37">
        <v>1060</v>
      </c>
      <c r="J45" s="37">
        <v>1080</v>
      </c>
      <c r="K45" s="37">
        <v>1110</v>
      </c>
      <c r="L45" s="37">
        <v>1130</v>
      </c>
      <c r="M45" s="37">
        <v>1150</v>
      </c>
      <c r="N45" s="37">
        <v>1170</v>
      </c>
    </row>
    <row r="46" spans="1:14" ht="4.1500000000000004" customHeight="1" x14ac:dyDescent="0.2">
      <c r="H46" s="37"/>
      <c r="I46" s="37"/>
      <c r="J46" s="37"/>
      <c r="K46" s="37"/>
      <c r="L46" s="37"/>
      <c r="M46" s="37"/>
      <c r="N46" s="37"/>
    </row>
    <row r="47" spans="1:14" ht="12.75" thickBot="1" x14ac:dyDescent="0.25">
      <c r="F47" s="722" t="s">
        <v>1170</v>
      </c>
      <c r="G47" s="722"/>
      <c r="H47" s="723">
        <v>32114.75</v>
      </c>
      <c r="I47" s="723">
        <v>26072.442260945689</v>
      </c>
      <c r="J47" s="723">
        <v>18410.866878455257</v>
      </c>
      <c r="K47" s="723">
        <v>13814.531335868887</v>
      </c>
      <c r="L47" s="723">
        <v>11087.518221393209</v>
      </c>
      <c r="M47" s="723">
        <v>8563.144581901437</v>
      </c>
      <c r="N47" s="723">
        <v>8067.1032398688412</v>
      </c>
    </row>
    <row r="48" spans="1:14" ht="12.75" thickTop="1" x14ac:dyDescent="0.2"/>
  </sheetData>
  <pageMargins left="0.23" right="0.28000000000000003" top="0.75" bottom="0.75" header="0.3" footer="0.3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1">
    <tabColor rgb="FFFF0000"/>
  </sheetPr>
  <dimension ref="A1:O30"/>
  <sheetViews>
    <sheetView showGridLines="0" topLeftCell="B1" zoomScale="115" zoomScaleNormal="115" workbookViewId="0">
      <selection activeCell="F27" sqref="F27"/>
    </sheetView>
  </sheetViews>
  <sheetFormatPr defaultColWidth="0" defaultRowHeight="12" zeroHeight="1" x14ac:dyDescent="0.2"/>
  <cols>
    <col min="1" max="1" width="4.6640625" style="558" customWidth="1"/>
    <col min="2" max="2" width="4.6640625" customWidth="1"/>
    <col min="3" max="3" width="9.1640625" customWidth="1"/>
    <col min="4" max="4" width="16.6640625" customWidth="1"/>
    <col min="5" max="5" width="12.5" customWidth="1"/>
    <col min="6" max="6" width="11.83203125" customWidth="1"/>
    <col min="7" max="7" width="3.1640625" customWidth="1"/>
    <col min="8" max="8" width="44.83203125" customWidth="1"/>
    <col min="9" max="9" width="4.6640625" style="558" customWidth="1"/>
    <col min="10" max="10" width="22.5" style="558" bestFit="1" customWidth="1"/>
    <col min="11" max="11" width="9.1640625" customWidth="1"/>
    <col min="12" max="12" width="4.6640625" customWidth="1"/>
    <col min="13" max="13" width="9.1640625" hidden="1" customWidth="1"/>
    <col min="14" max="14" width="21.6640625" hidden="1" customWidth="1"/>
    <col min="15" max="16384" width="9.1640625" hidden="1"/>
  </cols>
  <sheetData>
    <row r="1" spans="2:15" ht="19.5" thickBot="1" x14ac:dyDescent="0.35">
      <c r="B1" s="23" t="str">
        <f>A_Name_Model</f>
        <v>Public Lighting Model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5" ht="17.25" thickTop="1" thickBot="1" x14ac:dyDescent="0.3">
      <c r="B2" s="4" t="str">
        <f ca="1">RIGHT(CELL("filename",B2),LEN(CELL("filename",B2))-FIND("]",CELL("filename",B2)))</f>
        <v>Controls</v>
      </c>
      <c r="C2" s="4"/>
      <c r="D2" s="558"/>
      <c r="E2" s="558"/>
      <c r="F2" s="558"/>
      <c r="G2" s="558"/>
      <c r="H2" s="558"/>
      <c r="K2" s="558"/>
      <c r="L2" s="558"/>
    </row>
    <row r="3" spans="2:15" ht="13.5" thickTop="1" thickBot="1" x14ac:dyDescent="0.25"/>
    <row r="4" spans="2:15" ht="12.75" thickBot="1" x14ac:dyDescent="0.25">
      <c r="C4" s="627"/>
      <c r="D4" s="628"/>
      <c r="E4" s="628"/>
      <c r="F4" s="628"/>
      <c r="G4" s="628"/>
      <c r="H4" s="628"/>
      <c r="I4" s="628"/>
      <c r="J4" s="651" t="s">
        <v>932</v>
      </c>
      <c r="K4" s="629"/>
    </row>
    <row r="5" spans="2:15" s="558" customFormat="1" ht="16.5" thickTop="1" thickBot="1" x14ac:dyDescent="0.4">
      <c r="C5" s="630"/>
      <c r="D5" s="46"/>
      <c r="E5" s="46"/>
      <c r="F5" s="46"/>
      <c r="G5" s="631" t="s">
        <v>1096</v>
      </c>
      <c r="H5" s="334"/>
      <c r="I5" s="334"/>
      <c r="J5" s="652">
        <v>43496.391279976851</v>
      </c>
      <c r="K5" s="632"/>
    </row>
    <row r="6" spans="2:15" ht="14.25" thickTop="1" thickBot="1" x14ac:dyDescent="0.25">
      <c r="C6" s="630"/>
      <c r="D6" s="633"/>
      <c r="E6" s="46"/>
      <c r="F6" s="46"/>
      <c r="G6" s="334"/>
      <c r="H6" s="334"/>
      <c r="I6" s="334"/>
      <c r="J6" s="370"/>
      <c r="K6" s="632"/>
    </row>
    <row r="7" spans="2:15" ht="16.5" thickTop="1" thickBot="1" x14ac:dyDescent="0.4">
      <c r="C7" s="630"/>
      <c r="D7" s="46"/>
      <c r="E7" s="46"/>
      <c r="F7" s="46"/>
      <c r="G7" s="631" t="s">
        <v>1097</v>
      </c>
      <c r="H7" s="631"/>
      <c r="I7" s="631"/>
      <c r="J7" s="652">
        <v>43496.391759953702</v>
      </c>
      <c r="K7" s="632"/>
    </row>
    <row r="8" spans="2:15" s="558" customFormat="1" ht="13.5" thickTop="1" x14ac:dyDescent="0.2">
      <c r="C8" s="630"/>
      <c r="D8" s="46"/>
      <c r="E8" s="46"/>
      <c r="F8" s="46"/>
      <c r="G8" s="631"/>
      <c r="H8" s="631" t="s">
        <v>626</v>
      </c>
      <c r="I8" s="631"/>
      <c r="J8" s="653"/>
      <c r="K8" s="632"/>
    </row>
    <row r="9" spans="2:15" ht="12.75" x14ac:dyDescent="0.2">
      <c r="C9" s="630"/>
      <c r="D9" s="633"/>
      <c r="E9" s="46"/>
      <c r="F9" s="46"/>
      <c r="G9" s="631"/>
      <c r="H9" s="631" t="s">
        <v>1092</v>
      </c>
      <c r="I9" s="631"/>
      <c r="J9" s="653"/>
      <c r="K9" s="632"/>
    </row>
    <row r="10" spans="2:15" ht="12.75" x14ac:dyDescent="0.2">
      <c r="C10" s="630"/>
      <c r="D10" s="46"/>
      <c r="E10" s="46"/>
      <c r="F10" s="46"/>
      <c r="G10" s="631"/>
      <c r="H10" s="631" t="s">
        <v>419</v>
      </c>
      <c r="I10" s="631"/>
      <c r="J10" s="653"/>
      <c r="K10" s="632"/>
    </row>
    <row r="11" spans="2:15" ht="12.75" x14ac:dyDescent="0.2">
      <c r="C11" s="630"/>
      <c r="D11" s="46"/>
      <c r="E11" s="46"/>
      <c r="F11" s="46"/>
      <c r="G11" s="631"/>
      <c r="H11" s="631" t="s">
        <v>1093</v>
      </c>
      <c r="I11" s="631"/>
      <c r="J11" s="653"/>
      <c r="K11" s="632"/>
    </row>
    <row r="12" spans="2:15" ht="12.75" x14ac:dyDescent="0.2">
      <c r="C12" s="630"/>
      <c r="D12" s="46"/>
      <c r="E12" s="46"/>
      <c r="F12" s="46"/>
      <c r="G12" s="631"/>
      <c r="H12" s="631" t="s">
        <v>1094</v>
      </c>
      <c r="I12" s="631"/>
      <c r="J12" s="653"/>
      <c r="K12" s="632"/>
    </row>
    <row r="13" spans="2:15" s="558" customFormat="1" ht="12.75" x14ac:dyDescent="0.2">
      <c r="C13" s="630"/>
      <c r="D13" s="46"/>
      <c r="E13" s="46"/>
      <c r="F13" s="46"/>
      <c r="G13" s="334"/>
      <c r="H13" s="334"/>
      <c r="I13" s="334"/>
      <c r="J13" s="370"/>
      <c r="K13" s="632"/>
    </row>
    <row r="14" spans="2:15" ht="12.75" thickBot="1" x14ac:dyDescent="0.25">
      <c r="C14" s="630"/>
      <c r="D14" s="46"/>
      <c r="E14" s="46"/>
      <c r="F14" s="46"/>
      <c r="G14" s="46"/>
      <c r="H14" s="46"/>
      <c r="I14" s="46"/>
      <c r="J14" s="654"/>
      <c r="K14" s="632"/>
    </row>
    <row r="15" spans="2:15" ht="16.5" thickTop="1" thickBot="1" x14ac:dyDescent="0.4">
      <c r="C15" s="630"/>
      <c r="D15" s="46"/>
      <c r="E15" s="46"/>
      <c r="F15" s="687" t="s">
        <v>253</v>
      </c>
      <c r="H15" s="631" t="s">
        <v>1152</v>
      </c>
      <c r="I15" s="46"/>
      <c r="J15" s="652">
        <v>43496.391860995369</v>
      </c>
      <c r="K15" s="632"/>
      <c r="N15" t="s">
        <v>1142</v>
      </c>
      <c r="O15" s="46" t="str">
        <f>INDEX(Year_Tbl[Indirect],MATCH(Tariff_Year,Year_Tbl[Year],0))</f>
        <v>FY_21</v>
      </c>
    </row>
    <row r="16" spans="2:15" ht="4.1500000000000004" customHeight="1" thickTop="1" x14ac:dyDescent="0.2">
      <c r="B16" s="558"/>
      <c r="C16" s="630"/>
      <c r="K16" s="632"/>
      <c r="L16" s="558"/>
    </row>
    <row r="17" spans="3:15" s="558" customFormat="1" ht="12.75" x14ac:dyDescent="0.2">
      <c r="C17" s="630"/>
      <c r="F17" s="687" t="s">
        <v>1001</v>
      </c>
      <c r="H17" s="631" t="s">
        <v>1135</v>
      </c>
      <c r="K17" s="632"/>
      <c r="N17" s="558" t="s">
        <v>1143</v>
      </c>
      <c r="O17" s="558">
        <f>IFERROR(INDEX(Table3[],MATCH($O$18,Table3[Calendar Year],0),MATCH(CPI_Year,Table3[#Headers],0)),RegYrNominal)</f>
        <v>1.0561399728997289</v>
      </c>
    </row>
    <row r="18" spans="3:15" s="558" customFormat="1" ht="12.75" thickBot="1" x14ac:dyDescent="0.25">
      <c r="C18" s="634"/>
      <c r="D18" s="635"/>
      <c r="E18" s="635"/>
      <c r="F18" s="635"/>
      <c r="G18" s="635"/>
      <c r="H18" s="635"/>
      <c r="I18" s="635"/>
      <c r="J18" s="635"/>
      <c r="K18" s="636"/>
      <c r="N18" s="558" t="s">
        <v>17</v>
      </c>
      <c r="O18" s="558">
        <v>2017</v>
      </c>
    </row>
    <row r="19" spans="3:15" s="558" customFormat="1" ht="4.1500000000000004" customHeight="1" thickBot="1" x14ac:dyDescent="0.25"/>
    <row r="20" spans="3:15" s="558" customFormat="1" ht="12.75" x14ac:dyDescent="0.2">
      <c r="C20" s="638"/>
      <c r="D20" s="628"/>
      <c r="E20" s="628"/>
      <c r="F20" s="628"/>
      <c r="G20" s="628"/>
      <c r="H20" s="628"/>
      <c r="I20" s="628"/>
      <c r="J20" s="628"/>
      <c r="K20" s="629"/>
    </row>
    <row r="21" spans="3:15" x14ac:dyDescent="0.2">
      <c r="C21" s="630"/>
      <c r="D21" s="46"/>
      <c r="F21" s="656"/>
      <c r="H21" s="637" t="s">
        <v>1098</v>
      </c>
      <c r="I21" s="46"/>
      <c r="J21" s="46"/>
      <c r="K21" s="632"/>
    </row>
    <row r="22" spans="3:15" ht="4.1500000000000004" customHeight="1" x14ac:dyDescent="0.2">
      <c r="C22" s="630"/>
      <c r="D22" s="46"/>
      <c r="F22" s="46"/>
      <c r="H22" s="46"/>
      <c r="I22" s="46"/>
      <c r="J22" s="46"/>
      <c r="K22" s="632"/>
    </row>
    <row r="23" spans="3:15" x14ac:dyDescent="0.2">
      <c r="C23" s="630"/>
      <c r="D23" s="46"/>
      <c r="F23" s="655"/>
      <c r="H23" s="637" t="s">
        <v>1095</v>
      </c>
      <c r="I23" s="46"/>
      <c r="J23" s="46"/>
      <c r="K23" s="632"/>
    </row>
    <row r="24" spans="3:15" ht="12.75" thickBot="1" x14ac:dyDescent="0.25">
      <c r="C24" s="634"/>
      <c r="D24" s="635"/>
      <c r="E24" s="635"/>
      <c r="F24" s="635"/>
      <c r="G24" s="635"/>
      <c r="H24" s="635"/>
      <c r="I24" s="635"/>
      <c r="J24" s="635"/>
      <c r="K24" s="636"/>
    </row>
    <row r="25" spans="3:15" ht="4.1500000000000004" customHeight="1" thickBot="1" x14ac:dyDescent="0.25"/>
    <row r="26" spans="3:15" ht="12.75" x14ac:dyDescent="0.2">
      <c r="C26" s="638"/>
      <c r="D26" s="628"/>
      <c r="E26" s="628"/>
      <c r="F26" s="628"/>
      <c r="G26" s="628"/>
      <c r="H26" s="628"/>
      <c r="I26" s="628"/>
      <c r="J26" s="628"/>
      <c r="K26" s="629"/>
    </row>
    <row r="27" spans="3:15" x14ac:dyDescent="0.2">
      <c r="C27" s="630"/>
      <c r="D27" s="46"/>
      <c r="F27" s="191"/>
      <c r="G27" s="637" t="s">
        <v>1106</v>
      </c>
      <c r="H27" s="46"/>
      <c r="I27" s="46"/>
      <c r="J27" s="46"/>
      <c r="K27" s="632"/>
    </row>
    <row r="28" spans="3:15" x14ac:dyDescent="0.2">
      <c r="C28" s="630"/>
      <c r="D28" s="46"/>
      <c r="E28" s="46"/>
      <c r="F28" s="46"/>
      <c r="G28" s="46"/>
      <c r="H28" s="46"/>
      <c r="I28" s="46"/>
      <c r="J28" s="46"/>
      <c r="K28" s="632"/>
    </row>
    <row r="29" spans="3:15" ht="12.75" thickBot="1" x14ac:dyDescent="0.25">
      <c r="C29" s="634"/>
      <c r="D29" s="635"/>
      <c r="E29" s="635"/>
      <c r="F29" s="635"/>
      <c r="G29" s="635"/>
      <c r="H29" s="635"/>
      <c r="I29" s="635"/>
      <c r="J29" s="635"/>
      <c r="K29" s="636"/>
    </row>
    <row r="30" spans="3:15" x14ac:dyDescent="0.2"/>
  </sheetData>
  <dataValidations count="4">
    <dataValidation type="list" allowBlank="1" showInputMessage="1" showErrorMessage="1" sqref="F15" xr:uid="{00000000-0002-0000-0A00-000000000000}">
      <formula1>Year_lst</formula1>
    </dataValidation>
    <dataValidation type="list" allowBlank="1" showInputMessage="1" showErrorMessage="1" sqref="F23" xr:uid="{00000000-0002-0000-0A00-000001000000}">
      <formula1>"P,V"</formula1>
    </dataValidation>
    <dataValidation type="list" allowBlank="1" showInputMessage="1" showErrorMessage="1" sqref="F27" xr:uid="{00000000-0002-0000-0A00-000002000000}">
      <formula1>LED_Lst</formula1>
    </dataValidation>
    <dataValidation type="list" allowBlank="1" showInputMessage="1" showErrorMessage="1" sqref="F17" xr:uid="{00000000-0002-0000-0A00-000003000000}">
      <formula1>INDIRECT($O$15)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0">
    <tabColor theme="5"/>
  </sheetPr>
  <dimension ref="A1:U246"/>
  <sheetViews>
    <sheetView showGridLines="0" zoomScale="85" zoomScaleNormal="85" workbookViewId="0">
      <selection activeCell="B7" sqref="B7"/>
    </sheetView>
  </sheetViews>
  <sheetFormatPr defaultColWidth="9.1640625" defaultRowHeight="12" outlineLevelRow="1" x14ac:dyDescent="0.2"/>
  <cols>
    <col min="1" max="1" width="7.5" style="386" customWidth="1"/>
    <col min="2" max="2" width="7.33203125" style="386" bestFit="1" customWidth="1"/>
    <col min="3" max="5" width="2.5" style="386" customWidth="1"/>
    <col min="6" max="6" width="36.5" style="386" customWidth="1"/>
    <col min="7" max="7" width="19.83203125" style="386" bestFit="1" customWidth="1"/>
    <col min="8" max="17" width="21.1640625" style="386" customWidth="1"/>
    <col min="18" max="18" width="4.6640625" style="386" customWidth="1"/>
    <col min="19" max="19" width="30" style="386" customWidth="1"/>
    <col min="20" max="20" width="75.6640625" style="386" bestFit="1" customWidth="1"/>
    <col min="21" max="16384" width="9.1640625" style="386"/>
  </cols>
  <sheetData>
    <row r="1" spans="1:21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1" ht="16.5" thickBot="1" x14ac:dyDescent="0.3">
      <c r="A2" s="394" t="s">
        <v>1265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5.75" thickTop="1" x14ac:dyDescent="0.25">
      <c r="A3" s="6"/>
      <c r="D3" s="34"/>
      <c r="F3" s="337"/>
      <c r="G3" s="337"/>
    </row>
    <row r="4" spans="1:21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O4" s="558"/>
      <c r="P4" s="558"/>
      <c r="Q4" s="558"/>
      <c r="S4" s="5" t="s">
        <v>1</v>
      </c>
      <c r="T4" s="5" t="s">
        <v>0</v>
      </c>
    </row>
    <row r="5" spans="1:21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558"/>
      <c r="P5" s="558"/>
      <c r="Q5" s="558"/>
    </row>
    <row r="6" spans="1:21" x14ac:dyDescent="0.2">
      <c r="G6" s="48"/>
      <c r="J6" s="45"/>
      <c r="K6" s="45"/>
      <c r="L6" s="45"/>
      <c r="M6" s="45"/>
      <c r="N6" s="45"/>
      <c r="O6" s="558"/>
      <c r="P6" s="558"/>
      <c r="Q6" s="558"/>
    </row>
    <row r="7" spans="1:21" ht="15" x14ac:dyDescent="0.25">
      <c r="A7" s="36" t="s">
        <v>38</v>
      </c>
      <c r="B7" s="36"/>
      <c r="C7" s="36"/>
      <c r="D7" s="36"/>
      <c r="E7" s="36"/>
      <c r="F7" s="36"/>
      <c r="G7" s="54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spans="1:21" s="558" customFormat="1" ht="15" x14ac:dyDescent="0.25">
      <c r="A8" s="36"/>
      <c r="B8" s="36"/>
      <c r="C8" s="36"/>
      <c r="D8" s="36"/>
      <c r="E8" s="36"/>
      <c r="F8" s="588" t="s">
        <v>1083</v>
      </c>
      <c r="G8" s="588" t="s">
        <v>1034</v>
      </c>
      <c r="H8" s="588">
        <v>3648773.6631871215</v>
      </c>
      <c r="I8" s="588">
        <v>3949479.2217415255</v>
      </c>
      <c r="J8" s="588">
        <v>3619982.1729570497</v>
      </c>
      <c r="K8" s="588">
        <v>3699491.5489379037</v>
      </c>
      <c r="L8" s="588">
        <v>3714302.0770568303</v>
      </c>
      <c r="M8" s="588">
        <v>3741345.1872865823</v>
      </c>
      <c r="N8" s="588">
        <v>3767523.8331138762</v>
      </c>
      <c r="O8" s="36"/>
      <c r="P8" s="36"/>
      <c r="Q8" s="36"/>
      <c r="R8" s="36"/>
      <c r="S8" s="36"/>
      <c r="T8" s="36"/>
    </row>
    <row r="9" spans="1:21" s="558" customFormat="1" ht="15" x14ac:dyDescent="0.25">
      <c r="A9" s="36"/>
      <c r="B9" s="36"/>
      <c r="C9" s="36"/>
      <c r="D9" s="36"/>
      <c r="E9" s="36"/>
      <c r="F9" s="36"/>
      <c r="G9" s="54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</row>
    <row r="11" spans="1:21" ht="12.75" x14ac:dyDescent="0.2">
      <c r="F11" s="80" t="s">
        <v>1033</v>
      </c>
      <c r="G11" s="609"/>
      <c r="H11" s="620"/>
      <c r="I11" s="620"/>
      <c r="J11" s="620">
        <v>3619982.1729570497</v>
      </c>
      <c r="K11" s="620">
        <v>3699491.5489379037</v>
      </c>
      <c r="L11" s="620">
        <v>3714302.0770568303</v>
      </c>
      <c r="M11" s="620">
        <v>3741345.1872865823</v>
      </c>
      <c r="N11" s="620">
        <v>3767523.8331138762</v>
      </c>
      <c r="O11" s="620"/>
      <c r="P11" s="620"/>
      <c r="Q11" s="620"/>
    </row>
    <row r="13" spans="1:21" s="558" customFormat="1" x14ac:dyDescent="0.2"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21" s="558" customFormat="1" x14ac:dyDescent="0.2">
      <c r="F14" s="608" t="s">
        <v>1042</v>
      </c>
      <c r="G14" s="609" t="s">
        <v>1034</v>
      </c>
      <c r="H14" s="695">
        <v>3648773.6631871215</v>
      </c>
      <c r="I14" s="695">
        <v>3949479.2217415255</v>
      </c>
      <c r="J14" s="620"/>
      <c r="K14" s="620"/>
      <c r="L14" s="620"/>
      <c r="M14" s="620"/>
      <c r="N14" s="620"/>
      <c r="O14" s="620"/>
      <c r="P14" s="620"/>
      <c r="Q14" s="620"/>
    </row>
    <row r="15" spans="1:21" s="558" customFormat="1" x14ac:dyDescent="0.2">
      <c r="F15" s="431"/>
      <c r="G15" s="48"/>
      <c r="H15" s="53"/>
      <c r="I15" s="53"/>
      <c r="J15" s="53"/>
      <c r="K15" s="53"/>
      <c r="L15" s="53"/>
      <c r="M15" s="53"/>
      <c r="N15" s="53"/>
      <c r="O15" s="53"/>
      <c r="P15" s="53"/>
      <c r="Q15" s="53"/>
    </row>
    <row r="16" spans="1:21" s="558" customFormat="1" ht="12.75" x14ac:dyDescent="0.2">
      <c r="F16" s="80" t="s">
        <v>1082</v>
      </c>
      <c r="H16" s="737">
        <v>3454820.153401712</v>
      </c>
      <c r="I16" s="737">
        <v>3739541.465226308</v>
      </c>
    </row>
    <row r="17" spans="1:20" s="558" customFormat="1" x14ac:dyDescent="0.2">
      <c r="F17" s="608"/>
      <c r="G17" s="609"/>
      <c r="J17" s="620"/>
      <c r="K17" s="620"/>
      <c r="L17" s="620"/>
      <c r="M17" s="620"/>
      <c r="N17" s="620"/>
      <c r="O17" s="620"/>
      <c r="P17" s="620"/>
      <c r="Q17" s="620"/>
    </row>
    <row r="18" spans="1:20" s="558" customFormat="1" x14ac:dyDescent="0.2">
      <c r="F18" s="431"/>
      <c r="G18" s="48"/>
      <c r="H18" s="53"/>
      <c r="I18" s="53"/>
      <c r="J18" s="53"/>
      <c r="K18" s="53"/>
      <c r="L18" s="53"/>
      <c r="M18" s="53"/>
      <c r="N18" s="53"/>
      <c r="O18" s="53"/>
      <c r="P18" s="53"/>
      <c r="Q18" s="53"/>
    </row>
    <row r="19" spans="1:20" ht="15.75" thickBot="1" x14ac:dyDescent="0.3">
      <c r="A19" s="10" t="s">
        <v>37</v>
      </c>
      <c r="B19" s="10"/>
      <c r="C19" s="10"/>
      <c r="D19" s="10"/>
      <c r="E19" s="10"/>
      <c r="F19" s="10"/>
      <c r="G19" s="49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2.75" outlineLevel="1" x14ac:dyDescent="0.2">
      <c r="G20" s="48"/>
      <c r="H20" s="43" t="s">
        <v>251</v>
      </c>
      <c r="I20" s="43" t="s">
        <v>252</v>
      </c>
      <c r="J20" s="43" t="s">
        <v>253</v>
      </c>
      <c r="K20" s="43" t="s">
        <v>254</v>
      </c>
      <c r="L20" s="43" t="s">
        <v>255</v>
      </c>
      <c r="M20" s="43" t="s">
        <v>256</v>
      </c>
      <c r="N20" s="43" t="s">
        <v>257</v>
      </c>
      <c r="O20" s="53"/>
      <c r="P20" s="53"/>
      <c r="Q20" s="53"/>
      <c r="S20" s="5"/>
      <c r="T20" s="5"/>
    </row>
    <row r="21" spans="1:20" outlineLevel="1" x14ac:dyDescent="0.2">
      <c r="G21" s="48"/>
      <c r="I21" s="119"/>
      <c r="J21" s="119"/>
      <c r="K21" s="119"/>
      <c r="L21" s="119"/>
      <c r="M21" s="119"/>
      <c r="N21" s="119"/>
      <c r="O21" s="53"/>
      <c r="P21" s="53"/>
      <c r="Q21" s="53"/>
    </row>
    <row r="22" spans="1:20" ht="12.75" outlineLevel="1" x14ac:dyDescent="0.2">
      <c r="A22" s="120"/>
      <c r="D22" s="80" t="s">
        <v>835</v>
      </c>
      <c r="G22" s="48"/>
      <c r="O22" s="53"/>
      <c r="P22" s="53"/>
      <c r="Q22" s="53"/>
    </row>
    <row r="23" spans="1:20" ht="4.1500000000000004" customHeight="1" outlineLevel="1" x14ac:dyDescent="0.2">
      <c r="B23" s="6"/>
      <c r="F23" s="55"/>
      <c r="G23" s="6"/>
      <c r="O23" s="53"/>
      <c r="P23" s="53"/>
      <c r="Q23" s="53"/>
    </row>
    <row r="24" spans="1:20" outlineLevel="1" x14ac:dyDescent="0.2">
      <c r="A24" s="6"/>
      <c r="F24" s="431" t="s">
        <v>357</v>
      </c>
      <c r="G24" s="119" t="s">
        <v>869</v>
      </c>
      <c r="H24" s="53">
        <v>105097.78236389119</v>
      </c>
      <c r="I24" s="53">
        <v>437465.33322223998</v>
      </c>
      <c r="J24" s="53">
        <v>620403.89189688</v>
      </c>
      <c r="K24" s="53">
        <v>806398.59934081614</v>
      </c>
      <c r="L24" s="53">
        <v>995682.4943416639</v>
      </c>
      <c r="M24" s="53">
        <v>1002286.231773056</v>
      </c>
      <c r="N24" s="53">
        <v>1008194.838948512</v>
      </c>
      <c r="O24" s="53"/>
      <c r="P24" s="53"/>
      <c r="Q24" s="53"/>
    </row>
    <row r="25" spans="1:20" outlineLevel="1" x14ac:dyDescent="0.2">
      <c r="A25" s="6"/>
      <c r="F25" s="431" t="s">
        <v>958</v>
      </c>
      <c r="G25" s="119" t="s">
        <v>869</v>
      </c>
      <c r="H25" s="53">
        <v>3215175.2570119863</v>
      </c>
      <c r="I25" s="53">
        <v>3227414.4963136259</v>
      </c>
      <c r="J25" s="53">
        <v>1152897.3863317131</v>
      </c>
      <c r="K25" s="53">
        <v>1160240.9335175911</v>
      </c>
      <c r="L25" s="53">
        <v>1168740.4094271718</v>
      </c>
      <c r="M25" s="53">
        <v>1176491.9314567097</v>
      </c>
      <c r="N25" s="53">
        <v>1183427.5037989279</v>
      </c>
      <c r="O25" s="53"/>
      <c r="P25" s="53"/>
      <c r="Q25" s="53"/>
    </row>
    <row r="26" spans="1:20" outlineLevel="1" x14ac:dyDescent="0.2">
      <c r="A26" s="6"/>
      <c r="F26" s="431" t="s">
        <v>1174</v>
      </c>
      <c r="G26" s="119" t="s">
        <v>869</v>
      </c>
      <c r="H26" s="53">
        <v>23682.89901466736</v>
      </c>
      <c r="I26" s="53">
        <v>23773.052939485278</v>
      </c>
      <c r="J26" s="53">
        <v>23884.336690432399</v>
      </c>
      <c r="K26" s="53">
        <v>24036.471438562643</v>
      </c>
      <c r="L26" s="53">
        <v>24212.553322972639</v>
      </c>
      <c r="M26" s="53">
        <v>24373.140001554559</v>
      </c>
      <c r="N26" s="53">
        <v>24516.822819233119</v>
      </c>
      <c r="O26" s="53"/>
      <c r="P26" s="53"/>
      <c r="Q26" s="53"/>
    </row>
    <row r="27" spans="1:20" ht="4.1500000000000004" customHeight="1" outlineLevel="1" x14ac:dyDescent="0.2">
      <c r="A27" s="6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1:20" outlineLevel="1" x14ac:dyDescent="0.2">
      <c r="A28" s="6"/>
      <c r="F28" s="85" t="s">
        <v>863</v>
      </c>
      <c r="G28" s="85"/>
      <c r="H28" s="101">
        <v>3343955.9383905446</v>
      </c>
      <c r="I28" s="101">
        <v>3688652.8824753514</v>
      </c>
      <c r="J28" s="101">
        <v>1797185.6149190255</v>
      </c>
      <c r="K28" s="101">
        <v>1990676.0042969699</v>
      </c>
      <c r="L28" s="101">
        <v>2188635.4570918083</v>
      </c>
      <c r="M28" s="101">
        <v>2203151.3032313203</v>
      </c>
      <c r="N28" s="101">
        <v>2216139.1655666726</v>
      </c>
      <c r="O28" s="53"/>
      <c r="P28" s="53"/>
      <c r="Q28" s="53"/>
    </row>
    <row r="29" spans="1:20" outlineLevel="1" x14ac:dyDescent="0.2">
      <c r="A29" s="6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20" outlineLevel="1" x14ac:dyDescent="0.2">
      <c r="A30" s="6"/>
      <c r="F30" s="177" t="s">
        <v>834</v>
      </c>
      <c r="G30" s="177"/>
      <c r="H30" s="639">
        <v>500000</v>
      </c>
      <c r="I30" s="639">
        <v>500000</v>
      </c>
      <c r="J30" s="639">
        <v>300000</v>
      </c>
      <c r="K30" s="639">
        <v>100000</v>
      </c>
      <c r="L30" s="639">
        <v>100000</v>
      </c>
      <c r="M30" s="639">
        <v>100000</v>
      </c>
      <c r="N30" s="639">
        <v>100000</v>
      </c>
      <c r="O30" s="53"/>
      <c r="P30" s="53"/>
      <c r="Q30" s="53"/>
    </row>
    <row r="31" spans="1:20" outlineLevel="1" x14ac:dyDescent="0.2">
      <c r="B31" s="6"/>
      <c r="G31" s="48"/>
      <c r="O31" s="53"/>
      <c r="P31" s="53"/>
      <c r="Q31" s="53"/>
    </row>
    <row r="32" spans="1:20" ht="12.75" outlineLevel="1" x14ac:dyDescent="0.2">
      <c r="B32" s="6"/>
      <c r="D32" s="80" t="s">
        <v>886</v>
      </c>
      <c r="G32" s="48"/>
      <c r="O32" s="53"/>
      <c r="P32" s="53"/>
      <c r="Q32" s="53"/>
    </row>
    <row r="33" spans="2:17" s="558" customFormat="1" ht="12.75" outlineLevel="1" x14ac:dyDescent="0.2">
      <c r="B33" s="6"/>
      <c r="D33" s="80"/>
      <c r="E33" s="38" t="s">
        <v>885</v>
      </c>
      <c r="G33" s="48"/>
      <c r="H33" s="119" t="s">
        <v>883</v>
      </c>
      <c r="I33" s="119" t="s">
        <v>884</v>
      </c>
      <c r="O33" s="53"/>
      <c r="P33" s="53"/>
      <c r="Q33" s="53"/>
    </row>
    <row r="34" spans="2:17" outlineLevel="1" x14ac:dyDescent="0.2">
      <c r="B34" s="6"/>
      <c r="G34" s="48"/>
      <c r="H34" s="582">
        <v>1.0175000000000001</v>
      </c>
      <c r="I34" s="582">
        <v>1.04039375</v>
      </c>
      <c r="O34" s="53"/>
      <c r="P34" s="53"/>
      <c r="Q34" s="53"/>
    </row>
    <row r="35" spans="2:17" s="558" customFormat="1" outlineLevel="1" x14ac:dyDescent="0.2">
      <c r="B35" s="6"/>
      <c r="E35" s="38"/>
      <c r="F35" s="386" t="s">
        <v>863</v>
      </c>
      <c r="G35" s="48"/>
      <c r="H35" s="150">
        <v>3402475.1673123795</v>
      </c>
      <c r="I35" s="150">
        <v>3837651.4048468401</v>
      </c>
      <c r="O35" s="53"/>
      <c r="P35" s="53"/>
      <c r="Q35" s="53"/>
    </row>
    <row r="36" spans="2:17" outlineLevel="1" x14ac:dyDescent="0.2">
      <c r="B36" s="6"/>
      <c r="F36" s="386" t="s">
        <v>834</v>
      </c>
      <c r="G36" s="48"/>
      <c r="H36" s="150">
        <v>508750.00000000006</v>
      </c>
      <c r="I36" s="150">
        <v>520196.875</v>
      </c>
      <c r="O36" s="53"/>
      <c r="P36" s="53"/>
      <c r="Q36" s="53"/>
    </row>
    <row r="37" spans="2:17" outlineLevel="1" x14ac:dyDescent="0.2">
      <c r="B37" s="6"/>
      <c r="G37" s="48"/>
      <c r="H37" s="48"/>
      <c r="I37" s="48"/>
      <c r="O37" s="53"/>
      <c r="P37" s="53"/>
      <c r="Q37" s="53"/>
    </row>
    <row r="38" spans="2:17" s="558" customFormat="1" outlineLevel="1" x14ac:dyDescent="0.2">
      <c r="B38" s="6"/>
      <c r="G38" s="48"/>
      <c r="H38" s="48"/>
      <c r="I38" s="48"/>
      <c r="O38" s="53"/>
      <c r="P38" s="53"/>
      <c r="Q38" s="53"/>
    </row>
    <row r="39" spans="2:17" s="558" customFormat="1" ht="12.75" outlineLevel="1" x14ac:dyDescent="0.2">
      <c r="B39" s="6"/>
      <c r="D39" s="80" t="s">
        <v>1075</v>
      </c>
      <c r="G39" s="48"/>
      <c r="O39" s="53"/>
      <c r="P39" s="53"/>
      <c r="Q39" s="53"/>
    </row>
    <row r="40" spans="2:17" s="558" customFormat="1" outlineLevel="1" x14ac:dyDescent="0.2">
      <c r="B40" s="6"/>
      <c r="E40" s="38" t="s">
        <v>862</v>
      </c>
      <c r="G40" s="48"/>
      <c r="H40" s="119" t="s">
        <v>1076</v>
      </c>
      <c r="I40" s="119" t="s">
        <v>1076</v>
      </c>
      <c r="O40" s="53"/>
      <c r="P40" s="53"/>
      <c r="Q40" s="53"/>
    </row>
    <row r="41" spans="2:17" s="558" customFormat="1" outlineLevel="1" x14ac:dyDescent="0.2">
      <c r="B41" s="6"/>
      <c r="E41" s="38"/>
      <c r="F41" s="431" t="s">
        <v>864</v>
      </c>
      <c r="G41" s="533">
        <v>1.0126467931345979</v>
      </c>
      <c r="H41" s="150">
        <v>3386246.2573945802</v>
      </c>
      <c r="I41" s="150">
        <v>3735302.5124253556</v>
      </c>
      <c r="O41" s="53"/>
      <c r="P41" s="53"/>
      <c r="Q41" s="53"/>
    </row>
    <row r="42" spans="2:17" s="558" customFormat="1" outlineLevel="1" x14ac:dyDescent="0.2">
      <c r="B42" s="6"/>
      <c r="F42" s="431" t="s">
        <v>833</v>
      </c>
      <c r="G42" s="533">
        <v>1.0126467931345979</v>
      </c>
      <c r="H42" s="150">
        <v>506323.39656729897</v>
      </c>
      <c r="I42" s="150">
        <v>506323.39656729897</v>
      </c>
      <c r="O42" s="53"/>
      <c r="P42" s="53"/>
      <c r="Q42" s="53"/>
    </row>
    <row r="43" spans="2:17" s="558" customFormat="1" outlineLevel="1" x14ac:dyDescent="0.2">
      <c r="B43" s="6"/>
      <c r="O43" s="53"/>
      <c r="P43" s="53"/>
      <c r="Q43" s="53"/>
    </row>
    <row r="44" spans="2:17" s="558" customFormat="1" outlineLevel="1" x14ac:dyDescent="0.2">
      <c r="B44" s="6"/>
      <c r="O44" s="53"/>
      <c r="P44" s="53"/>
      <c r="Q44" s="53"/>
    </row>
    <row r="45" spans="2:17" ht="12.75" outlineLevel="1" x14ac:dyDescent="0.2">
      <c r="B45" s="6"/>
      <c r="D45" s="80" t="s">
        <v>1074</v>
      </c>
      <c r="G45" s="48"/>
      <c r="O45" s="53"/>
      <c r="P45" s="53"/>
      <c r="Q45" s="53"/>
    </row>
    <row r="46" spans="2:17" outlineLevel="1" x14ac:dyDescent="0.2">
      <c r="B46" s="6"/>
      <c r="E46" s="38" t="s">
        <v>862</v>
      </c>
      <c r="G46" s="48" t="s">
        <v>1042</v>
      </c>
      <c r="H46" s="558"/>
      <c r="I46" s="558"/>
      <c r="J46" s="119" t="s">
        <v>1034</v>
      </c>
      <c r="K46" s="119" t="s">
        <v>1034</v>
      </c>
      <c r="L46" s="119" t="s">
        <v>1034</v>
      </c>
      <c r="M46" s="119" t="s">
        <v>1034</v>
      </c>
      <c r="N46" s="119" t="s">
        <v>1034</v>
      </c>
      <c r="O46" s="53"/>
      <c r="P46" s="53"/>
      <c r="Q46" s="53"/>
    </row>
    <row r="47" spans="2:17" s="558" customFormat="1" outlineLevel="1" x14ac:dyDescent="0.2">
      <c r="B47" s="6"/>
      <c r="E47" s="38"/>
      <c r="F47" s="431" t="s">
        <v>864</v>
      </c>
      <c r="G47" s="533">
        <v>1.0561399728997289</v>
      </c>
      <c r="J47" s="150">
        <v>1898079.5666363623</v>
      </c>
      <c r="K47" s="150">
        <v>2102432.5012303423</v>
      </c>
      <c r="L47" s="150">
        <v>2311505.3923403281</v>
      </c>
      <c r="M47" s="150">
        <v>2326836.157688729</v>
      </c>
      <c r="N47" s="150">
        <v>2340553.1582636135</v>
      </c>
      <c r="O47" s="53"/>
      <c r="P47" s="53"/>
      <c r="Q47" s="53"/>
    </row>
    <row r="48" spans="2:17" outlineLevel="1" x14ac:dyDescent="0.2">
      <c r="B48" s="6"/>
      <c r="F48" s="431" t="s">
        <v>833</v>
      </c>
      <c r="G48" s="533">
        <v>1.0561399728997289</v>
      </c>
      <c r="H48" s="558"/>
      <c r="I48" s="558"/>
      <c r="J48" s="150">
        <v>316841.99186991871</v>
      </c>
      <c r="K48" s="150">
        <v>105613.99728997289</v>
      </c>
      <c r="L48" s="150">
        <v>105613.99728997289</v>
      </c>
      <c r="M48" s="150">
        <v>105613.99728997289</v>
      </c>
      <c r="N48" s="150">
        <v>105613.99728997289</v>
      </c>
      <c r="O48" s="53"/>
      <c r="P48" s="53"/>
      <c r="Q48" s="53"/>
    </row>
    <row r="49" spans="1:20" x14ac:dyDescent="0.2">
      <c r="B49" s="6"/>
      <c r="H49" s="558"/>
      <c r="I49" s="558"/>
      <c r="J49" s="558"/>
      <c r="K49" s="558"/>
      <c r="L49" s="558"/>
      <c r="M49" s="558"/>
      <c r="N49" s="558"/>
      <c r="O49" s="558"/>
      <c r="P49" s="558"/>
      <c r="Q49" s="558"/>
    </row>
    <row r="50" spans="1:20" ht="15.75" thickBot="1" x14ac:dyDescent="0.3">
      <c r="A50" s="10" t="s">
        <v>892</v>
      </c>
      <c r="B50" s="10"/>
      <c r="C50" s="10"/>
      <c r="D50" s="10"/>
      <c r="E50" s="10"/>
      <c r="F50" s="10"/>
      <c r="G50" s="4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outlineLevel="1" x14ac:dyDescent="0.2"/>
    <row r="52" spans="1:20" outlineLevel="1" x14ac:dyDescent="0.2">
      <c r="B52" s="545" t="s">
        <v>890</v>
      </c>
      <c r="F52" s="544">
        <v>1000000</v>
      </c>
    </row>
    <row r="53" spans="1:20" outlineLevel="1" x14ac:dyDescent="0.2"/>
    <row r="54" spans="1:20" ht="15" outlineLevel="1" x14ac:dyDescent="0.3">
      <c r="B54" s="541" t="s">
        <v>872</v>
      </c>
      <c r="C54" s="541"/>
      <c r="D54" s="541"/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1"/>
      <c r="Q54" s="541"/>
    </row>
    <row r="55" spans="1:20" ht="24" outlineLevel="1" x14ac:dyDescent="0.2">
      <c r="G55" s="111" t="s">
        <v>873</v>
      </c>
      <c r="H55" s="111" t="s">
        <v>874</v>
      </c>
      <c r="I55" s="111" t="s">
        <v>875</v>
      </c>
      <c r="J55" s="111" t="s">
        <v>876</v>
      </c>
      <c r="K55" s="111" t="s">
        <v>877</v>
      </c>
      <c r="L55" s="111" t="s">
        <v>878</v>
      </c>
      <c r="M55" s="111" t="s">
        <v>881</v>
      </c>
    </row>
    <row r="56" spans="1:20" outlineLevel="1" x14ac:dyDescent="0.2">
      <c r="G56" s="111"/>
      <c r="H56" s="111"/>
      <c r="I56" s="111"/>
      <c r="J56" s="111"/>
      <c r="K56" s="111"/>
      <c r="L56" s="111"/>
      <c r="M56" s="536" t="s">
        <v>882</v>
      </c>
    </row>
    <row r="57" spans="1:20" outlineLevel="1" x14ac:dyDescent="0.2">
      <c r="C57" s="38" t="s">
        <v>880</v>
      </c>
      <c r="G57" s="537">
        <v>17.565351523823818</v>
      </c>
      <c r="H57" s="537">
        <v>6</v>
      </c>
      <c r="I57" s="537">
        <v>28</v>
      </c>
      <c r="J57" s="537">
        <v>0</v>
      </c>
      <c r="K57" s="537"/>
      <c r="L57" s="537">
        <v>15</v>
      </c>
    </row>
    <row r="58" spans="1:20" outlineLevel="1" x14ac:dyDescent="0.2">
      <c r="C58" s="38" t="s">
        <v>868</v>
      </c>
      <c r="G58" s="537">
        <v>22.569723292521207</v>
      </c>
      <c r="H58" s="537">
        <v>20.883518620498482</v>
      </c>
      <c r="I58" s="538">
        <v>28</v>
      </c>
      <c r="J58" s="537">
        <v>14.304266666666669</v>
      </c>
      <c r="K58" s="537">
        <v>8.6535188546077855</v>
      </c>
      <c r="L58" s="537">
        <v>15</v>
      </c>
    </row>
    <row r="59" spans="1:20" outlineLevel="1" x14ac:dyDescent="0.2">
      <c r="C59" s="38" t="s">
        <v>833</v>
      </c>
      <c r="G59" s="537">
        <v>0</v>
      </c>
      <c r="H59" s="537">
        <v>0</v>
      </c>
      <c r="I59" s="538">
        <v>7</v>
      </c>
      <c r="J59" s="537"/>
      <c r="K59" s="537"/>
      <c r="L59" s="538">
        <v>5</v>
      </c>
    </row>
    <row r="60" spans="1:20" outlineLevel="1" x14ac:dyDescent="0.2"/>
    <row r="61" spans="1:20" outlineLevel="1" x14ac:dyDescent="0.2"/>
    <row r="62" spans="1:20" ht="15" outlineLevel="1" x14ac:dyDescent="0.3">
      <c r="B62" s="541" t="s">
        <v>879</v>
      </c>
      <c r="C62" s="541"/>
      <c r="D62" s="541"/>
      <c r="E62" s="541"/>
      <c r="F62" s="541"/>
      <c r="G62" s="541"/>
      <c r="H62" s="541"/>
      <c r="I62" s="541"/>
      <c r="J62" s="541"/>
      <c r="K62" s="541"/>
      <c r="L62" s="541"/>
      <c r="M62" s="541"/>
      <c r="N62" s="541"/>
      <c r="O62" s="541"/>
      <c r="P62" s="541"/>
      <c r="Q62" s="541"/>
    </row>
    <row r="63" spans="1:20" outlineLevel="1" x14ac:dyDescent="0.2">
      <c r="G63" s="553" t="s">
        <v>882</v>
      </c>
      <c r="H63" s="539" t="s">
        <v>1266</v>
      </c>
      <c r="I63" s="539" t="s">
        <v>1267</v>
      </c>
      <c r="J63" s="539" t="s">
        <v>1268</v>
      </c>
      <c r="K63" s="539" t="s">
        <v>1269</v>
      </c>
      <c r="L63" s="539" t="s">
        <v>1270</v>
      </c>
      <c r="M63" s="539" t="s">
        <v>1271</v>
      </c>
      <c r="N63" s="539" t="s">
        <v>1068</v>
      </c>
      <c r="O63" s="539" t="s">
        <v>1070</v>
      </c>
      <c r="P63" s="539" t="s">
        <v>887</v>
      </c>
    </row>
    <row r="64" spans="1:20" outlineLevel="1" x14ac:dyDescent="0.2">
      <c r="C64" s="38" t="s">
        <v>868</v>
      </c>
      <c r="G64" s="589">
        <v>6.758</v>
      </c>
      <c r="H64" s="589">
        <v>6.8490000000000002</v>
      </c>
      <c r="I64" s="589">
        <v>5.9560000000000004</v>
      </c>
      <c r="J64" s="589">
        <v>6.2949999999999999</v>
      </c>
      <c r="K64" s="589">
        <v>5.4010000000000007</v>
      </c>
      <c r="L64" s="589">
        <v>4.1145319999999996</v>
      </c>
      <c r="M64" s="589">
        <v>5.2779999999999996</v>
      </c>
      <c r="N64" s="589">
        <v>6.9089999999999998</v>
      </c>
      <c r="O64" s="543">
        <v>3.4024751673123794</v>
      </c>
      <c r="P64" s="543">
        <v>3.8376514048468402</v>
      </c>
      <c r="S64" s="7" t="s">
        <v>1012</v>
      </c>
      <c r="T64" s="417"/>
    </row>
    <row r="65" spans="1:20" outlineLevel="1" x14ac:dyDescent="0.2">
      <c r="C65" s="38" t="s">
        <v>833</v>
      </c>
      <c r="D65" s="38"/>
      <c r="G65" s="9"/>
      <c r="H65" s="9"/>
      <c r="I65" s="9"/>
      <c r="J65" s="9"/>
      <c r="K65" s="9"/>
      <c r="L65" s="9"/>
      <c r="M65" s="9"/>
      <c r="N65" s="9"/>
      <c r="O65" s="543">
        <v>0.50875000000000004</v>
      </c>
      <c r="P65" s="543">
        <v>0.520196875</v>
      </c>
      <c r="S65" s="7"/>
      <c r="T65" s="417"/>
    </row>
    <row r="66" spans="1:20" outlineLevel="1" x14ac:dyDescent="0.2"/>
    <row r="67" spans="1:20" outlineLevel="1" x14ac:dyDescent="0.2"/>
    <row r="68" spans="1:20" ht="15" outlineLevel="1" x14ac:dyDescent="0.3">
      <c r="B68" s="541" t="s">
        <v>888</v>
      </c>
      <c r="C68" s="541"/>
      <c r="D68" s="541"/>
      <c r="E68" s="541"/>
      <c r="F68" s="541"/>
      <c r="G68" s="541"/>
      <c r="H68" s="541"/>
      <c r="I68" s="541"/>
      <c r="J68" s="541"/>
      <c r="K68" s="541"/>
      <c r="L68" s="541"/>
      <c r="M68" s="541"/>
      <c r="N68" s="541"/>
      <c r="O68" s="541"/>
      <c r="P68" s="541"/>
      <c r="Q68" s="541"/>
    </row>
    <row r="69" spans="1:20" outlineLevel="1" x14ac:dyDescent="0.2">
      <c r="G69" s="553" t="s">
        <v>882</v>
      </c>
      <c r="H69" s="553" t="s">
        <v>1266</v>
      </c>
      <c r="I69" s="553" t="s">
        <v>1267</v>
      </c>
      <c r="J69" s="553" t="s">
        <v>1268</v>
      </c>
      <c r="K69" s="553" t="s">
        <v>1269</v>
      </c>
      <c r="L69" s="553" t="s">
        <v>1270</v>
      </c>
      <c r="M69" s="553" t="s">
        <v>1271</v>
      </c>
      <c r="N69" s="553" t="s">
        <v>1068</v>
      </c>
      <c r="O69" s="553" t="s">
        <v>1070</v>
      </c>
      <c r="P69" s="553" t="s">
        <v>887</v>
      </c>
    </row>
    <row r="70" spans="1:20" outlineLevel="1" x14ac:dyDescent="0.2">
      <c r="C70" s="38" t="s">
        <v>868</v>
      </c>
      <c r="G70" s="589">
        <v>4.3330000000000002</v>
      </c>
      <c r="H70" s="589">
        <v>3.9790000000000001</v>
      </c>
      <c r="I70" s="589">
        <v>3.0219999999999998</v>
      </c>
      <c r="J70" s="589">
        <v>3.835</v>
      </c>
      <c r="K70" s="589">
        <v>2.1360000000000001</v>
      </c>
      <c r="L70" s="589">
        <v>1.399</v>
      </c>
      <c r="M70" s="589">
        <v>2.3530000000000002</v>
      </c>
      <c r="N70" s="589">
        <v>1.948</v>
      </c>
      <c r="O70" s="589">
        <v>1.1577118900000001</v>
      </c>
      <c r="P70" s="589">
        <v>1.1577118900000001</v>
      </c>
      <c r="S70" s="7" t="s">
        <v>1012</v>
      </c>
      <c r="T70" s="417"/>
    </row>
    <row r="71" spans="1:20" outlineLevel="1" x14ac:dyDescent="0.2">
      <c r="C71" s="38" t="s">
        <v>833</v>
      </c>
      <c r="G71" s="540"/>
      <c r="H71" s="540"/>
      <c r="I71" s="540"/>
      <c r="J71" s="540"/>
      <c r="K71" s="540"/>
      <c r="L71" s="540"/>
      <c r="M71" s="540"/>
      <c r="N71" s="540"/>
      <c r="O71" s="540"/>
      <c r="P71" s="540"/>
    </row>
    <row r="72" spans="1:20" outlineLevel="1" x14ac:dyDescent="0.2"/>
    <row r="73" spans="1:20" outlineLevel="1" x14ac:dyDescent="0.2"/>
    <row r="74" spans="1:20" ht="15" outlineLevel="1" x14ac:dyDescent="0.3">
      <c r="B74" s="541" t="s">
        <v>889</v>
      </c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</row>
    <row r="75" spans="1:20" outlineLevel="1" x14ac:dyDescent="0.2">
      <c r="G75" s="553" t="s">
        <v>882</v>
      </c>
      <c r="H75" s="553" t="s">
        <v>1266</v>
      </c>
      <c r="I75" s="553" t="s">
        <v>1267</v>
      </c>
      <c r="J75" s="553" t="s">
        <v>1268</v>
      </c>
      <c r="K75" s="553" t="s">
        <v>1269</v>
      </c>
      <c r="L75" s="553" t="s">
        <v>1270</v>
      </c>
      <c r="M75" s="553" t="s">
        <v>1271</v>
      </c>
      <c r="N75" s="553" t="s">
        <v>1068</v>
      </c>
      <c r="O75" s="553" t="s">
        <v>1070</v>
      </c>
      <c r="P75" s="553" t="s">
        <v>887</v>
      </c>
    </row>
    <row r="76" spans="1:20" outlineLevel="1" x14ac:dyDescent="0.2">
      <c r="C76" s="38" t="s">
        <v>1028</v>
      </c>
      <c r="G76" s="534">
        <v>3.3300000000000003E-2</v>
      </c>
      <c r="H76" s="534">
        <v>1.5800000000000002E-2</v>
      </c>
      <c r="I76" s="534">
        <v>2.5000000000000001E-2</v>
      </c>
      <c r="J76" s="534">
        <v>2.93E-2</v>
      </c>
      <c r="K76" s="534">
        <v>1.3299999999999999E-2</v>
      </c>
      <c r="L76" s="534">
        <v>1.6885553470919357E-2</v>
      </c>
      <c r="M76" s="534">
        <v>1.4760147601476037E-2</v>
      </c>
      <c r="N76" s="534">
        <v>1.9090909090909047E-2</v>
      </c>
      <c r="O76" s="534">
        <v>0.02</v>
      </c>
      <c r="P76" s="534">
        <v>2.2499999999999999E-2</v>
      </c>
      <c r="S76" s="7" t="s">
        <v>1026</v>
      </c>
      <c r="T76" s="417" t="s">
        <v>1027</v>
      </c>
    </row>
    <row r="77" spans="1:20" outlineLevel="1" x14ac:dyDescent="0.2">
      <c r="C77" s="38" t="s">
        <v>1025</v>
      </c>
      <c r="G77" s="534">
        <v>2.52E-2</v>
      </c>
      <c r="H77" s="534">
        <v>2.52E-2</v>
      </c>
      <c r="I77" s="534">
        <v>2.52E-2</v>
      </c>
      <c r="J77" s="534">
        <v>2.52E-2</v>
      </c>
      <c r="K77" s="534">
        <v>2.52E-2</v>
      </c>
      <c r="L77" s="534">
        <v>2.5000000000000001E-2</v>
      </c>
      <c r="M77" s="534">
        <v>2.5000000000000001E-2</v>
      </c>
      <c r="N77" s="534">
        <v>2.5000000000000001E-2</v>
      </c>
      <c r="O77" s="534">
        <v>2.5000000000000001E-2</v>
      </c>
      <c r="P77" s="534">
        <v>2.5000000000000001E-2</v>
      </c>
      <c r="S77" s="7" t="s">
        <v>1026</v>
      </c>
      <c r="T77" s="417" t="s">
        <v>1027</v>
      </c>
    </row>
    <row r="78" spans="1:20" s="558" customFormat="1" outlineLevel="1" x14ac:dyDescent="0.2">
      <c r="C78" s="38" t="s">
        <v>555</v>
      </c>
      <c r="G78" s="534">
        <v>9.758E-2</v>
      </c>
      <c r="H78" s="534">
        <v>9.758E-2</v>
      </c>
      <c r="I78" s="534">
        <v>9.758E-2</v>
      </c>
      <c r="J78" s="534">
        <v>9.758E-2</v>
      </c>
      <c r="K78" s="534">
        <v>9.758E-2</v>
      </c>
      <c r="L78" s="534">
        <v>6.1679999999999999E-2</v>
      </c>
      <c r="M78" s="534">
        <v>6.1856401757822851E-2</v>
      </c>
      <c r="N78" s="534">
        <v>6.1753980592531385E-2</v>
      </c>
      <c r="O78" s="534">
        <v>6.1290228084052739E-2</v>
      </c>
      <c r="P78" s="534">
        <v>6.1290228084052739E-2</v>
      </c>
      <c r="S78" s="7" t="s">
        <v>1026</v>
      </c>
      <c r="T78" s="417" t="s">
        <v>1027</v>
      </c>
    </row>
    <row r="79" spans="1:20" s="558" customFormat="1" x14ac:dyDescent="0.2"/>
    <row r="80" spans="1:20" ht="15.75" thickBot="1" x14ac:dyDescent="0.3">
      <c r="A80" s="10" t="s">
        <v>891</v>
      </c>
      <c r="B80" s="10"/>
      <c r="C80" s="10"/>
      <c r="D80" s="10"/>
      <c r="E80" s="10"/>
      <c r="F80" s="10"/>
      <c r="G80" s="49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2" spans="2:17" s="552" customFormat="1" x14ac:dyDescent="0.2">
      <c r="B82" s="38" t="s">
        <v>932</v>
      </c>
      <c r="F82" s="555">
        <v>43496.391049189813</v>
      </c>
    </row>
    <row r="83" spans="2:17" s="552" customFormat="1" outlineLevel="1" x14ac:dyDescent="0.2"/>
    <row r="84" spans="2:17" ht="15" outlineLevel="1" x14ac:dyDescent="0.3">
      <c r="B84" s="541" t="s">
        <v>1029</v>
      </c>
      <c r="C84" s="541"/>
      <c r="D84" s="541"/>
      <c r="E84" s="541"/>
      <c r="F84" s="541"/>
      <c r="G84" s="541"/>
      <c r="H84" s="541"/>
      <c r="I84" s="541"/>
      <c r="J84" s="541"/>
      <c r="K84" s="541"/>
      <c r="L84" s="541"/>
      <c r="M84" s="541"/>
      <c r="N84" s="541"/>
      <c r="O84" s="541"/>
      <c r="P84" s="541"/>
      <c r="Q84" s="541"/>
    </row>
    <row r="85" spans="2:17" outlineLevel="1" x14ac:dyDescent="0.2">
      <c r="N85" s="539" t="s">
        <v>1068</v>
      </c>
      <c r="P85" s="539" t="s">
        <v>887</v>
      </c>
    </row>
    <row r="86" spans="2:17" outlineLevel="1" x14ac:dyDescent="0.2">
      <c r="C86" s="38" t="s">
        <v>868</v>
      </c>
      <c r="N86" s="542">
        <v>40.205069007884163</v>
      </c>
      <c r="P86" s="542">
        <v>42.273236578642397</v>
      </c>
    </row>
    <row r="87" spans="2:17" outlineLevel="1" x14ac:dyDescent="0.2">
      <c r="C87" s="38" t="s">
        <v>833</v>
      </c>
      <c r="N87" s="542">
        <v>0</v>
      </c>
      <c r="P87" s="542">
        <v>0.99365636346120856</v>
      </c>
    </row>
    <row r="88" spans="2:17" s="558" customFormat="1" outlineLevel="1" x14ac:dyDescent="0.2">
      <c r="C88" s="38"/>
    </row>
    <row r="89" spans="2:17" s="558" customFormat="1" ht="15" outlineLevel="1" x14ac:dyDescent="0.3">
      <c r="B89" s="541" t="s">
        <v>1030</v>
      </c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</row>
    <row r="90" spans="2:17" s="558" customFormat="1" outlineLevel="1" x14ac:dyDescent="0.2">
      <c r="N90" s="539" t="s">
        <v>1068</v>
      </c>
      <c r="P90" s="539" t="s">
        <v>887</v>
      </c>
    </row>
    <row r="91" spans="2:17" s="558" customFormat="1" outlineLevel="1" x14ac:dyDescent="0.2">
      <c r="C91" s="38" t="s">
        <v>868</v>
      </c>
      <c r="N91" s="542">
        <v>20.003273263911328</v>
      </c>
      <c r="P91" s="542">
        <v>19.395729125362497</v>
      </c>
    </row>
    <row r="92" spans="2:17" s="558" customFormat="1" outlineLevel="1" x14ac:dyDescent="0.2">
      <c r="C92" s="38" t="s">
        <v>833</v>
      </c>
      <c r="N92" s="542">
        <v>0</v>
      </c>
      <c r="P92" s="542">
        <v>6.543986319589588</v>
      </c>
    </row>
    <row r="93" spans="2:17" s="558" customFormat="1" outlineLevel="1" x14ac:dyDescent="0.2">
      <c r="C93" s="38"/>
    </row>
    <row r="94" spans="2:17" s="558" customFormat="1" ht="15" outlineLevel="1" x14ac:dyDescent="0.3">
      <c r="B94" s="541" t="s">
        <v>1031</v>
      </c>
      <c r="C94" s="541"/>
      <c r="D94" s="541"/>
      <c r="E94" s="541"/>
      <c r="F94" s="541"/>
      <c r="G94" s="541"/>
      <c r="H94" s="541"/>
      <c r="I94" s="541"/>
      <c r="J94" s="541"/>
      <c r="K94" s="541"/>
      <c r="L94" s="541"/>
      <c r="M94" s="541"/>
      <c r="N94" s="541"/>
      <c r="O94" s="541"/>
      <c r="P94" s="541"/>
      <c r="Q94" s="541"/>
    </row>
    <row r="95" spans="2:17" s="558" customFormat="1" outlineLevel="1" x14ac:dyDescent="0.2">
      <c r="N95" s="539" t="s">
        <v>1068</v>
      </c>
      <c r="P95" s="539" t="s">
        <v>887</v>
      </c>
    </row>
    <row r="96" spans="2:17" s="558" customFormat="1" outlineLevel="1" x14ac:dyDescent="0.2">
      <c r="C96" s="38" t="s">
        <v>868</v>
      </c>
      <c r="N96" s="542">
        <v>37.102794400000001</v>
      </c>
      <c r="P96" s="542">
        <v>36.694418361005056</v>
      </c>
    </row>
    <row r="97" spans="1:20" s="558" customFormat="1" outlineLevel="1" x14ac:dyDescent="0.2">
      <c r="C97" s="38" t="s">
        <v>833</v>
      </c>
      <c r="N97" s="542">
        <v>0</v>
      </c>
      <c r="P97" s="542">
        <v>0.92719687499999992</v>
      </c>
    </row>
    <row r="98" spans="1:20" s="558" customFormat="1" outlineLevel="1" x14ac:dyDescent="0.2">
      <c r="C98" s="38"/>
    </row>
    <row r="99" spans="1:20" s="558" customFormat="1" ht="15" outlineLevel="1" x14ac:dyDescent="0.3">
      <c r="B99" s="541" t="s">
        <v>1032</v>
      </c>
      <c r="C99" s="541"/>
      <c r="D99" s="541"/>
      <c r="E99" s="541"/>
      <c r="F99" s="541"/>
      <c r="G99" s="541"/>
      <c r="H99" s="541"/>
      <c r="I99" s="541"/>
      <c r="J99" s="541"/>
      <c r="K99" s="541"/>
      <c r="L99" s="541"/>
      <c r="M99" s="541"/>
      <c r="N99" s="541"/>
      <c r="O99" s="541"/>
      <c r="P99" s="541"/>
      <c r="Q99" s="541"/>
    </row>
    <row r="100" spans="1:20" s="558" customFormat="1" outlineLevel="1" x14ac:dyDescent="0.2">
      <c r="N100" s="539" t="s">
        <v>1068</v>
      </c>
      <c r="P100" s="539" t="s">
        <v>887</v>
      </c>
    </row>
    <row r="101" spans="1:20" s="558" customFormat="1" outlineLevel="1" x14ac:dyDescent="0.2">
      <c r="C101" s="38" t="s">
        <v>868</v>
      </c>
      <c r="N101" s="542">
        <v>11.530629307568747</v>
      </c>
      <c r="P101" s="542">
        <v>10.838952875048573</v>
      </c>
    </row>
    <row r="102" spans="1:20" s="558" customFormat="1" outlineLevel="1" x14ac:dyDescent="0.2">
      <c r="C102" s="38" t="s">
        <v>833</v>
      </c>
      <c r="N102" s="542">
        <v>0</v>
      </c>
      <c r="P102" s="542">
        <v>4.5610425240054866</v>
      </c>
    </row>
    <row r="103" spans="1:20" outlineLevel="1" x14ac:dyDescent="0.2"/>
    <row r="105" spans="1:20" s="558" customFormat="1" ht="15.75" thickBot="1" x14ac:dyDescent="0.3">
      <c r="A105" s="10" t="s">
        <v>1067</v>
      </c>
      <c r="B105" s="10"/>
      <c r="C105" s="10"/>
      <c r="D105" s="10"/>
      <c r="E105" s="10"/>
      <c r="F105" s="10"/>
      <c r="G105" s="49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s="558" customFormat="1" outlineLevel="1" x14ac:dyDescent="0.2"/>
    <row r="107" spans="1:20" s="558" customFormat="1" outlineLevel="1" x14ac:dyDescent="0.2">
      <c r="B107" s="545" t="s">
        <v>893</v>
      </c>
      <c r="F107" s="544">
        <v>1000000</v>
      </c>
    </row>
    <row r="108" spans="1:20" s="558" customFormat="1" outlineLevel="1" x14ac:dyDescent="0.2"/>
    <row r="109" spans="1:20" s="558" customFormat="1" ht="15" outlineLevel="1" x14ac:dyDescent="0.3">
      <c r="B109" s="541" t="s">
        <v>1079</v>
      </c>
      <c r="C109" s="541"/>
      <c r="D109" s="541"/>
      <c r="E109" s="541"/>
      <c r="F109" s="541"/>
      <c r="G109" s="541"/>
      <c r="H109" s="541"/>
      <c r="I109" s="541"/>
      <c r="J109" s="541"/>
      <c r="K109" s="541"/>
      <c r="L109" s="541"/>
      <c r="M109" s="541"/>
      <c r="N109" s="541"/>
      <c r="O109" s="541"/>
      <c r="P109" s="541"/>
      <c r="Q109" s="541"/>
    </row>
    <row r="110" spans="1:20" s="558" customFormat="1" ht="24" outlineLevel="1" x14ac:dyDescent="0.2">
      <c r="C110" s="547" t="s">
        <v>895</v>
      </c>
      <c r="D110" s="109"/>
      <c r="E110" s="109"/>
      <c r="F110" s="109"/>
      <c r="G110" s="111" t="s">
        <v>873</v>
      </c>
      <c r="H110" s="111" t="s">
        <v>896</v>
      </c>
      <c r="I110" s="111" t="s">
        <v>874</v>
      </c>
      <c r="J110" s="111" t="s">
        <v>875</v>
      </c>
      <c r="K110" s="111" t="s">
        <v>876</v>
      </c>
      <c r="L110" s="111" t="s">
        <v>877</v>
      </c>
      <c r="M110" s="111" t="s">
        <v>878</v>
      </c>
      <c r="N110" s="111" t="s">
        <v>897</v>
      </c>
      <c r="O110" s="111" t="s">
        <v>898</v>
      </c>
    </row>
    <row r="111" spans="1:20" s="558" customFormat="1" outlineLevel="1" x14ac:dyDescent="0.2">
      <c r="C111" s="38" t="s">
        <v>868</v>
      </c>
      <c r="G111" s="542">
        <v>40.205069007884163</v>
      </c>
      <c r="H111" s="540"/>
      <c r="I111" s="542">
        <v>20.003273263911328</v>
      </c>
      <c r="J111" s="542">
        <v>28</v>
      </c>
      <c r="K111" s="542">
        <v>37.102794400000001</v>
      </c>
      <c r="L111" s="542">
        <v>11.530629307568747</v>
      </c>
      <c r="M111" s="542">
        <v>15</v>
      </c>
      <c r="N111" s="546" t="s">
        <v>1070</v>
      </c>
      <c r="O111" s="546">
        <v>2</v>
      </c>
    </row>
    <row r="112" spans="1:20" s="558" customFormat="1" outlineLevel="1" x14ac:dyDescent="0.2">
      <c r="C112" s="38" t="s">
        <v>833</v>
      </c>
      <c r="G112" s="554">
        <v>0</v>
      </c>
      <c r="H112" s="540"/>
      <c r="I112" s="542">
        <v>0</v>
      </c>
      <c r="J112" s="536">
        <v>5</v>
      </c>
      <c r="K112" s="542">
        <v>0</v>
      </c>
      <c r="L112" s="542">
        <v>0</v>
      </c>
      <c r="M112" s="542">
        <v>5</v>
      </c>
    </row>
    <row r="113" spans="2:19" s="558" customFormat="1" outlineLevel="1" x14ac:dyDescent="0.2"/>
    <row r="114" spans="2:19" s="558" customFormat="1" outlineLevel="1" x14ac:dyDescent="0.2"/>
    <row r="115" spans="2:19" s="558" customFormat="1" outlineLevel="1" x14ac:dyDescent="0.2"/>
    <row r="116" spans="2:19" s="558" customFormat="1" ht="15" outlineLevel="1" x14ac:dyDescent="0.3">
      <c r="B116" s="541" t="s">
        <v>1080</v>
      </c>
      <c r="C116" s="541"/>
      <c r="D116" s="541"/>
      <c r="E116" s="541"/>
      <c r="F116" s="541"/>
      <c r="G116" s="541"/>
      <c r="H116" s="541"/>
      <c r="I116" s="541"/>
      <c r="J116" s="541"/>
      <c r="K116" s="541"/>
      <c r="L116" s="541"/>
      <c r="M116" s="541"/>
      <c r="N116" s="541"/>
      <c r="O116" s="541"/>
      <c r="P116" s="541"/>
      <c r="Q116" s="541"/>
    </row>
    <row r="117" spans="2:19" s="558" customFormat="1" outlineLevel="1" x14ac:dyDescent="0.2">
      <c r="H117" s="539" t="s">
        <v>1070</v>
      </c>
      <c r="I117" s="539" t="s">
        <v>887</v>
      </c>
    </row>
    <row r="118" spans="2:19" s="558" customFormat="1" outlineLevel="1" x14ac:dyDescent="0.2">
      <c r="C118" s="38" t="s">
        <v>868</v>
      </c>
      <c r="H118" s="548">
        <v>3.3862462573945802</v>
      </c>
      <c r="I118" s="548">
        <v>3.7353025124253558</v>
      </c>
    </row>
    <row r="119" spans="2:19" s="558" customFormat="1" outlineLevel="1" x14ac:dyDescent="0.2">
      <c r="C119" s="38" t="s">
        <v>833</v>
      </c>
      <c r="H119" s="548">
        <v>0.50632339656729897</v>
      </c>
      <c r="I119" s="548">
        <v>0.50632339656729897</v>
      </c>
    </row>
    <row r="120" spans="2:19" s="558" customFormat="1" outlineLevel="1" x14ac:dyDescent="0.2"/>
    <row r="121" spans="2:19" s="558" customFormat="1" outlineLevel="1" x14ac:dyDescent="0.2"/>
    <row r="122" spans="2:19" s="558" customFormat="1" outlineLevel="1" x14ac:dyDescent="0.2"/>
    <row r="123" spans="2:19" s="558" customFormat="1" ht="15" outlineLevel="1" x14ac:dyDescent="0.3">
      <c r="B123" s="541" t="s">
        <v>1081</v>
      </c>
      <c r="C123" s="541"/>
      <c r="D123" s="541"/>
      <c r="E123" s="541"/>
      <c r="F123" s="541"/>
      <c r="G123" s="541"/>
      <c r="H123" s="541"/>
      <c r="I123" s="541"/>
      <c r="J123" s="541"/>
      <c r="K123" s="541"/>
      <c r="L123" s="541"/>
      <c r="M123" s="541"/>
      <c r="N123" s="541"/>
      <c r="O123" s="541"/>
      <c r="P123" s="541"/>
      <c r="Q123" s="541"/>
    </row>
    <row r="124" spans="2:19" s="558" customFormat="1" outlineLevel="1" x14ac:dyDescent="0.2">
      <c r="H124" s="539" t="s">
        <v>1070</v>
      </c>
      <c r="I124" s="539" t="s">
        <v>887</v>
      </c>
    </row>
    <row r="125" spans="2:19" s="558" customFormat="1" outlineLevel="1" x14ac:dyDescent="0.2">
      <c r="C125" s="38" t="s">
        <v>868</v>
      </c>
      <c r="H125" s="590">
        <v>0.15771188999999999</v>
      </c>
      <c r="I125" s="590">
        <v>0.15771188999999999</v>
      </c>
      <c r="S125" s="7" t="s">
        <v>1012</v>
      </c>
    </row>
    <row r="126" spans="2:19" s="558" customFormat="1" outlineLevel="1" x14ac:dyDescent="0.2">
      <c r="C126" s="38" t="s">
        <v>833</v>
      </c>
      <c r="H126" s="549"/>
      <c r="I126" s="549"/>
    </row>
    <row r="127" spans="2:19" s="558" customFormat="1" outlineLevel="1" x14ac:dyDescent="0.2"/>
    <row r="128" spans="2:19" s="558" customFormat="1" outlineLevel="1" x14ac:dyDescent="0.2"/>
    <row r="129" spans="2:20" s="558" customFormat="1" outlineLevel="1" x14ac:dyDescent="0.2"/>
    <row r="130" spans="2:20" s="558" customFormat="1" ht="15" outlineLevel="1" x14ac:dyDescent="0.3">
      <c r="B130" s="541" t="s">
        <v>906</v>
      </c>
      <c r="C130" s="541"/>
      <c r="D130" s="541"/>
      <c r="E130" s="541"/>
      <c r="F130" s="541"/>
      <c r="G130" s="541"/>
      <c r="H130" s="541"/>
      <c r="I130" s="541"/>
      <c r="J130" s="541"/>
      <c r="K130" s="541"/>
      <c r="L130" s="541"/>
      <c r="M130" s="541"/>
      <c r="N130" s="541"/>
      <c r="O130" s="541"/>
      <c r="P130" s="541"/>
      <c r="Q130" s="541"/>
    </row>
    <row r="131" spans="2:20" s="558" customFormat="1" outlineLevel="1" x14ac:dyDescent="0.2">
      <c r="H131" s="539" t="s">
        <v>1070</v>
      </c>
      <c r="I131" s="539" t="s">
        <v>887</v>
      </c>
    </row>
    <row r="132" spans="2:20" s="558" customFormat="1" outlineLevel="1" x14ac:dyDescent="0.2">
      <c r="C132" s="558" t="s">
        <v>907</v>
      </c>
      <c r="H132" s="550">
        <v>0.3</v>
      </c>
      <c r="I132" s="550">
        <v>0.3</v>
      </c>
    </row>
    <row r="133" spans="2:20" s="558" customFormat="1" outlineLevel="1" x14ac:dyDescent="0.2"/>
    <row r="134" spans="2:20" s="558" customFormat="1" outlineLevel="1" x14ac:dyDescent="0.2">
      <c r="G134" s="109" t="s">
        <v>1068</v>
      </c>
    </row>
    <row r="135" spans="2:20" s="558" customFormat="1" outlineLevel="1" x14ac:dyDescent="0.2">
      <c r="C135" s="558" t="s">
        <v>908</v>
      </c>
      <c r="G135" s="549">
        <v>0</v>
      </c>
      <c r="S135" s="7" t="s">
        <v>910</v>
      </c>
      <c r="T135" s="417" t="s">
        <v>909</v>
      </c>
    </row>
    <row r="136" spans="2:20" s="558" customFormat="1" outlineLevel="1" x14ac:dyDescent="0.2"/>
    <row r="137" spans="2:20" s="558" customFormat="1" outlineLevel="1" x14ac:dyDescent="0.2"/>
    <row r="138" spans="2:20" s="558" customFormat="1" ht="15" outlineLevel="1" x14ac:dyDescent="0.3">
      <c r="B138" s="541" t="s">
        <v>865</v>
      </c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  <c r="M138" s="541"/>
      <c r="N138" s="541"/>
      <c r="O138" s="541"/>
      <c r="P138" s="541"/>
      <c r="Q138" s="541"/>
    </row>
    <row r="139" spans="2:20" s="558" customFormat="1" outlineLevel="1" x14ac:dyDescent="0.2">
      <c r="H139" s="109" t="s">
        <v>1105</v>
      </c>
    </row>
    <row r="140" spans="2:20" s="558" customFormat="1" outlineLevel="1" x14ac:dyDescent="0.2">
      <c r="C140" s="558" t="s">
        <v>867</v>
      </c>
      <c r="G140" s="558" t="s">
        <v>913</v>
      </c>
      <c r="H140" s="551">
        <v>2.5000000000000001E-2</v>
      </c>
      <c r="S140" s="7" t="s">
        <v>1071</v>
      </c>
    </row>
    <row r="141" spans="2:20" s="558" customFormat="1" outlineLevel="1" x14ac:dyDescent="0.2">
      <c r="C141" s="558" t="s">
        <v>866</v>
      </c>
      <c r="G141" s="558" t="s">
        <v>914</v>
      </c>
      <c r="H141" s="551">
        <v>7.4999999999999997E-2</v>
      </c>
      <c r="S141" s="7" t="s">
        <v>1071</v>
      </c>
    </row>
    <row r="142" spans="2:20" s="558" customFormat="1" outlineLevel="1" x14ac:dyDescent="0.2">
      <c r="C142" s="558" t="s">
        <v>911</v>
      </c>
      <c r="G142" s="558" t="s">
        <v>915</v>
      </c>
      <c r="H142" s="551">
        <v>0.4</v>
      </c>
      <c r="S142" s="7" t="s">
        <v>1071</v>
      </c>
    </row>
    <row r="143" spans="2:20" s="558" customFormat="1" outlineLevel="1" x14ac:dyDescent="0.2">
      <c r="C143" s="558" t="s">
        <v>606</v>
      </c>
      <c r="G143" s="558" t="s">
        <v>916</v>
      </c>
      <c r="H143" s="551">
        <v>0.6</v>
      </c>
      <c r="S143" s="7" t="s">
        <v>1071</v>
      </c>
    </row>
    <row r="144" spans="2:20" s="558" customFormat="1" outlineLevel="1" x14ac:dyDescent="0.2"/>
    <row r="145" spans="1:20" s="558" customFormat="1" outlineLevel="1" x14ac:dyDescent="0.2">
      <c r="H145" s="109" t="s">
        <v>1070</v>
      </c>
      <c r="I145" s="109" t="s">
        <v>887</v>
      </c>
    </row>
    <row r="146" spans="1:20" s="558" customFormat="1" outlineLevel="1" x14ac:dyDescent="0.2">
      <c r="C146" s="558" t="s">
        <v>917</v>
      </c>
      <c r="H146" s="532">
        <v>5.2200000000000003E-2</v>
      </c>
      <c r="I146" s="532"/>
      <c r="S146" s="7" t="s">
        <v>1071</v>
      </c>
    </row>
    <row r="147" spans="1:20" s="558" customFormat="1" outlineLevel="1" x14ac:dyDescent="0.2"/>
    <row r="148" spans="1:20" s="558" customFormat="1" outlineLevel="1" x14ac:dyDescent="0.2"/>
    <row r="149" spans="1:20" s="558" customFormat="1" ht="15" outlineLevel="1" x14ac:dyDescent="0.3">
      <c r="B149" s="541" t="s">
        <v>919</v>
      </c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  <c r="M149" s="541"/>
      <c r="N149" s="541"/>
      <c r="O149" s="541"/>
      <c r="P149" s="541"/>
      <c r="Q149" s="541"/>
    </row>
    <row r="150" spans="1:20" s="558" customFormat="1" outlineLevel="1" x14ac:dyDescent="0.2">
      <c r="H150" s="109" t="s">
        <v>920</v>
      </c>
    </row>
    <row r="151" spans="1:20" s="558" customFormat="1" outlineLevel="1" x14ac:dyDescent="0.2">
      <c r="C151" s="558" t="s">
        <v>921</v>
      </c>
      <c r="G151" s="558" t="s">
        <v>926</v>
      </c>
      <c r="H151" s="551"/>
      <c r="S151" s="7" t="s">
        <v>1071</v>
      </c>
    </row>
    <row r="152" spans="1:20" s="558" customFormat="1" outlineLevel="1" x14ac:dyDescent="0.2">
      <c r="C152" s="558" t="s">
        <v>922</v>
      </c>
      <c r="G152" s="558" t="s">
        <v>927</v>
      </c>
      <c r="H152" s="551"/>
      <c r="S152" s="7" t="s">
        <v>1071</v>
      </c>
    </row>
    <row r="153" spans="1:20" s="558" customFormat="1" outlineLevel="1" x14ac:dyDescent="0.2">
      <c r="C153" s="558" t="s">
        <v>923</v>
      </c>
      <c r="G153" s="558" t="s">
        <v>928</v>
      </c>
      <c r="H153" s="551"/>
      <c r="S153" s="7" t="s">
        <v>1071</v>
      </c>
    </row>
    <row r="154" spans="1:20" s="558" customFormat="1" outlineLevel="1" x14ac:dyDescent="0.2">
      <c r="C154" s="558" t="s">
        <v>924</v>
      </c>
      <c r="G154" s="558" t="s">
        <v>929</v>
      </c>
      <c r="H154" s="551"/>
      <c r="S154" s="7" t="s">
        <v>1071</v>
      </c>
    </row>
    <row r="155" spans="1:20" s="558" customFormat="1" outlineLevel="1" x14ac:dyDescent="0.2">
      <c r="C155" s="558" t="s">
        <v>925</v>
      </c>
      <c r="G155" s="558" t="s">
        <v>930</v>
      </c>
      <c r="H155" s="619">
        <v>8.4000000000000003E-4</v>
      </c>
      <c r="S155" s="7" t="s">
        <v>1071</v>
      </c>
    </row>
    <row r="156" spans="1:20" s="558" customFormat="1" x14ac:dyDescent="0.2"/>
    <row r="157" spans="1:20" s="558" customFormat="1" ht="15.75" thickBot="1" x14ac:dyDescent="0.3">
      <c r="A157" s="10" t="s">
        <v>1069</v>
      </c>
      <c r="B157" s="10"/>
      <c r="C157" s="10"/>
      <c r="D157" s="10"/>
      <c r="E157" s="10"/>
      <c r="F157" s="10"/>
      <c r="G157" s="49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s="558" customFormat="1" x14ac:dyDescent="0.2"/>
    <row r="159" spans="1:20" s="558" customFormat="1" x14ac:dyDescent="0.2">
      <c r="B159" s="38" t="s">
        <v>932</v>
      </c>
      <c r="F159" s="555">
        <v>43490.609519907404</v>
      </c>
    </row>
    <row r="160" spans="1:20" s="558" customFormat="1" outlineLevel="1" x14ac:dyDescent="0.2"/>
    <row r="161" spans="1:20" s="558" customFormat="1" ht="15" outlineLevel="1" x14ac:dyDescent="0.3">
      <c r="B161" s="541" t="s">
        <v>1082</v>
      </c>
      <c r="C161" s="541"/>
      <c r="D161" s="541"/>
      <c r="E161" s="541"/>
      <c r="F161" s="541"/>
      <c r="G161" s="541"/>
      <c r="H161" s="541"/>
      <c r="I161" s="541"/>
      <c r="J161" s="541"/>
      <c r="K161" s="541"/>
      <c r="L161" s="541"/>
      <c r="M161" s="541"/>
      <c r="N161" s="541"/>
      <c r="O161" s="541"/>
      <c r="P161" s="541"/>
      <c r="Q161" s="541"/>
    </row>
    <row r="162" spans="1:20" s="558" customFormat="1" outlineLevel="1" x14ac:dyDescent="0.2">
      <c r="H162" s="109" t="s">
        <v>1070</v>
      </c>
      <c r="I162" s="109" t="s">
        <v>887</v>
      </c>
    </row>
    <row r="163" spans="1:20" s="558" customFormat="1" outlineLevel="1" x14ac:dyDescent="0.2">
      <c r="C163" s="558" t="s">
        <v>529</v>
      </c>
      <c r="H163" s="585">
        <v>2.4052437381106899</v>
      </c>
      <c r="I163" s="585">
        <v>2.5123609837703391</v>
      </c>
    </row>
    <row r="164" spans="1:20" s="558" customFormat="1" outlineLevel="1" x14ac:dyDescent="0.2">
      <c r="C164" s="558" t="s">
        <v>528</v>
      </c>
      <c r="H164" s="585">
        <v>1.0293130605110485</v>
      </c>
      <c r="I164" s="585">
        <v>1.206014700565301</v>
      </c>
    </row>
    <row r="165" spans="1:20" s="558" customFormat="1" outlineLevel="1" x14ac:dyDescent="0.2">
      <c r="C165" s="558" t="s">
        <v>527</v>
      </c>
      <c r="H165" s="585">
        <v>2.0263354779973618E-2</v>
      </c>
      <c r="I165" s="585">
        <v>2.1165780890667927E-2</v>
      </c>
    </row>
    <row r="166" spans="1:20" s="558" customFormat="1" outlineLevel="1" x14ac:dyDescent="0.2">
      <c r="C166" s="558" t="s">
        <v>918</v>
      </c>
      <c r="H166" s="585">
        <v>0</v>
      </c>
      <c r="I166" s="585">
        <v>0</v>
      </c>
    </row>
    <row r="167" spans="1:20" s="558" customFormat="1" outlineLevel="1" x14ac:dyDescent="0.2">
      <c r="C167" s="558" t="s">
        <v>525</v>
      </c>
      <c r="H167" s="586">
        <v>0</v>
      </c>
      <c r="I167" s="586">
        <v>0</v>
      </c>
    </row>
    <row r="168" spans="1:20" s="558" customFormat="1" outlineLevel="1" x14ac:dyDescent="0.2">
      <c r="C168" s="38" t="s">
        <v>531</v>
      </c>
      <c r="H168" s="587">
        <v>3.454820153401712</v>
      </c>
      <c r="I168" s="587">
        <v>3.7395414652263081</v>
      </c>
    </row>
    <row r="169" spans="1:20" s="558" customFormat="1" outlineLevel="1" x14ac:dyDescent="0.2"/>
    <row r="170" spans="1:20" s="558" customFormat="1" outlineLevel="1" x14ac:dyDescent="0.2">
      <c r="C170" s="558" t="s">
        <v>1039</v>
      </c>
      <c r="G170" s="596">
        <v>7.5000000001506084E-2</v>
      </c>
    </row>
    <row r="171" spans="1:20" s="558" customFormat="1" outlineLevel="1" x14ac:dyDescent="0.2">
      <c r="C171" s="558" t="s">
        <v>555</v>
      </c>
      <c r="G171" s="596">
        <v>6.1320000000007147E-2</v>
      </c>
    </row>
    <row r="172" spans="1:20" s="558" customFormat="1" outlineLevel="1" x14ac:dyDescent="0.2">
      <c r="C172" s="558" t="s">
        <v>607</v>
      </c>
      <c r="G172" s="596">
        <v>3.5434146341460915E-2</v>
      </c>
    </row>
    <row r="173" spans="1:20" s="558" customFormat="1" outlineLevel="1" x14ac:dyDescent="0.2">
      <c r="C173" s="558" t="s">
        <v>1040</v>
      </c>
      <c r="G173" s="596">
        <v>3.9133397309864204E-2</v>
      </c>
    </row>
    <row r="174" spans="1:20" s="558" customFormat="1" outlineLevel="1" x14ac:dyDescent="0.2"/>
    <row r="175" spans="1:20" ht="15.75" thickBot="1" x14ac:dyDescent="0.3">
      <c r="A175" s="10" t="s">
        <v>1065</v>
      </c>
      <c r="B175" s="10"/>
      <c r="C175" s="10"/>
      <c r="D175" s="10"/>
      <c r="E175" s="10"/>
      <c r="F175" s="10"/>
      <c r="G175" s="49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outlineLevel="1" x14ac:dyDescent="0.2"/>
    <row r="177" spans="2:20" outlineLevel="1" x14ac:dyDescent="0.2">
      <c r="B177" s="545" t="s">
        <v>893</v>
      </c>
      <c r="F177" s="544">
        <v>1000000</v>
      </c>
    </row>
    <row r="178" spans="2:20" outlineLevel="1" x14ac:dyDescent="0.2"/>
    <row r="179" spans="2:20" ht="15" outlineLevel="1" x14ac:dyDescent="0.3">
      <c r="B179" s="541" t="s">
        <v>894</v>
      </c>
      <c r="C179" s="541"/>
      <c r="D179" s="541"/>
      <c r="E179" s="541"/>
      <c r="F179" s="541"/>
      <c r="G179" s="541"/>
      <c r="H179" s="541"/>
      <c r="I179" s="541"/>
      <c r="J179" s="541"/>
      <c r="K179" s="541"/>
      <c r="L179" s="541"/>
      <c r="M179" s="541"/>
      <c r="N179" s="541"/>
      <c r="O179" s="541"/>
      <c r="P179" s="541"/>
      <c r="Q179" s="541"/>
    </row>
    <row r="180" spans="2:20" ht="24" outlineLevel="1" x14ac:dyDescent="0.2">
      <c r="C180" s="547" t="s">
        <v>895</v>
      </c>
      <c r="D180" s="109"/>
      <c r="E180" s="109"/>
      <c r="F180" s="109"/>
      <c r="G180" s="111" t="s">
        <v>873</v>
      </c>
      <c r="H180" s="111" t="s">
        <v>896</v>
      </c>
      <c r="I180" s="111" t="s">
        <v>874</v>
      </c>
      <c r="J180" s="111" t="s">
        <v>875</v>
      </c>
      <c r="K180" s="111" t="s">
        <v>876</v>
      </c>
      <c r="L180" s="111" t="s">
        <v>877</v>
      </c>
      <c r="M180" s="111" t="s">
        <v>878</v>
      </c>
      <c r="N180" s="111" t="s">
        <v>897</v>
      </c>
      <c r="O180" s="111" t="s">
        <v>898</v>
      </c>
    </row>
    <row r="181" spans="2:20" outlineLevel="1" x14ac:dyDescent="0.2">
      <c r="C181" s="38" t="s">
        <v>868</v>
      </c>
      <c r="G181" s="542">
        <v>42.273236578642397</v>
      </c>
      <c r="H181" s="540"/>
      <c r="I181" s="542">
        <v>19.395729125362497</v>
      </c>
      <c r="J181" s="542">
        <v>28</v>
      </c>
      <c r="K181" s="542">
        <v>36.694418361005056</v>
      </c>
      <c r="L181" s="542">
        <v>10.838952875048573</v>
      </c>
      <c r="M181" s="542">
        <v>15</v>
      </c>
      <c r="N181" s="546" t="s">
        <v>899</v>
      </c>
      <c r="O181" s="546">
        <v>5</v>
      </c>
    </row>
    <row r="182" spans="2:20" outlineLevel="1" x14ac:dyDescent="0.2">
      <c r="C182" s="38" t="s">
        <v>833</v>
      </c>
      <c r="G182" s="554">
        <v>0.99365636346120856</v>
      </c>
      <c r="H182" s="540"/>
      <c r="I182" s="542">
        <v>6.543986319589588</v>
      </c>
      <c r="J182" s="536">
        <v>5</v>
      </c>
      <c r="K182" s="542">
        <v>0.92719687499999992</v>
      </c>
      <c r="L182" s="542">
        <v>4.5610425240054866</v>
      </c>
      <c r="M182" s="542">
        <v>5</v>
      </c>
    </row>
    <row r="183" spans="2:20" outlineLevel="1" x14ac:dyDescent="0.2">
      <c r="C183" s="38" t="s">
        <v>1255</v>
      </c>
      <c r="G183" s="549"/>
      <c r="H183" s="9"/>
      <c r="I183" s="9">
        <v>0</v>
      </c>
      <c r="J183" s="9">
        <v>28</v>
      </c>
      <c r="K183" s="9"/>
      <c r="L183" s="9">
        <v>0</v>
      </c>
      <c r="M183" s="9">
        <v>5</v>
      </c>
      <c r="T183" s="417" t="s">
        <v>931</v>
      </c>
    </row>
    <row r="184" spans="2:20" outlineLevel="1" x14ac:dyDescent="0.2"/>
    <row r="185" spans="2:20" outlineLevel="1" x14ac:dyDescent="0.2"/>
    <row r="186" spans="2:20" ht="15" outlineLevel="1" x14ac:dyDescent="0.3">
      <c r="B186" s="541" t="s">
        <v>900</v>
      </c>
      <c r="C186" s="541"/>
      <c r="D186" s="541"/>
      <c r="E186" s="541"/>
      <c r="F186" s="541"/>
      <c r="G186" s="541"/>
      <c r="H186" s="541"/>
      <c r="I186" s="541"/>
      <c r="J186" s="541"/>
      <c r="K186" s="541"/>
      <c r="L186" s="541"/>
      <c r="M186" s="541"/>
      <c r="N186" s="541"/>
      <c r="O186" s="541"/>
      <c r="P186" s="541"/>
      <c r="Q186" s="541"/>
    </row>
    <row r="187" spans="2:20" outlineLevel="1" x14ac:dyDescent="0.2">
      <c r="J187" s="539" t="s">
        <v>899</v>
      </c>
      <c r="K187" s="539" t="s">
        <v>901</v>
      </c>
      <c r="L187" s="539" t="s">
        <v>902</v>
      </c>
      <c r="M187" s="539" t="s">
        <v>903</v>
      </c>
      <c r="N187" s="539" t="s">
        <v>904</v>
      </c>
    </row>
    <row r="188" spans="2:20" outlineLevel="1" x14ac:dyDescent="0.2">
      <c r="C188" s="38" t="s">
        <v>868</v>
      </c>
      <c r="J188" s="548">
        <v>1.8980795666363623</v>
      </c>
      <c r="K188" s="548">
        <v>2.1024325012303424</v>
      </c>
      <c r="L188" s="548">
        <v>2.3115053923403281</v>
      </c>
      <c r="M188" s="548">
        <v>2.3268361576887289</v>
      </c>
      <c r="N188" s="548">
        <v>2.3405531582636137</v>
      </c>
    </row>
    <row r="189" spans="2:20" outlineLevel="1" x14ac:dyDescent="0.2">
      <c r="C189" s="38" t="s">
        <v>833</v>
      </c>
      <c r="J189" s="548">
        <v>0.31684199186991874</v>
      </c>
      <c r="K189" s="548">
        <v>0.10561399728997289</v>
      </c>
      <c r="L189" s="548">
        <v>0.10561399728997289</v>
      </c>
      <c r="M189" s="548">
        <v>0.10561399728997289</v>
      </c>
      <c r="N189" s="548">
        <v>0.10561399728997289</v>
      </c>
    </row>
    <row r="190" spans="2:20" outlineLevel="1" x14ac:dyDescent="0.2">
      <c r="C190" s="38" t="s">
        <v>1255</v>
      </c>
      <c r="D190" s="558"/>
      <c r="E190" s="558"/>
      <c r="F190" s="558"/>
      <c r="G190" s="558"/>
      <c r="H190" s="558"/>
      <c r="I190" s="558"/>
      <c r="J190" s="590">
        <v>0.39</v>
      </c>
      <c r="K190" s="590"/>
      <c r="L190" s="590"/>
      <c r="M190" s="590"/>
      <c r="N190" s="590"/>
    </row>
    <row r="191" spans="2:20" outlineLevel="1" x14ac:dyDescent="0.2"/>
    <row r="192" spans="2:20" outlineLevel="1" x14ac:dyDescent="0.2"/>
    <row r="193" spans="2:20" ht="15" outlineLevel="1" x14ac:dyDescent="0.3">
      <c r="B193" s="541" t="s">
        <v>905</v>
      </c>
      <c r="C193" s="541"/>
      <c r="D193" s="541"/>
      <c r="E193" s="541"/>
      <c r="F193" s="541"/>
      <c r="G193" s="541"/>
      <c r="H193" s="541"/>
      <c r="I193" s="541"/>
      <c r="J193" s="541"/>
      <c r="K193" s="541"/>
      <c r="L193" s="541"/>
      <c r="M193" s="541"/>
      <c r="N193" s="541"/>
      <c r="O193" s="541"/>
      <c r="P193" s="541"/>
      <c r="Q193" s="541"/>
    </row>
    <row r="194" spans="2:20" outlineLevel="1" x14ac:dyDescent="0.2">
      <c r="J194" s="539" t="s">
        <v>899</v>
      </c>
      <c r="K194" s="539" t="s">
        <v>901</v>
      </c>
      <c r="L194" s="539" t="s">
        <v>902</v>
      </c>
      <c r="M194" s="539" t="s">
        <v>903</v>
      </c>
      <c r="N194" s="539" t="s">
        <v>904</v>
      </c>
    </row>
    <row r="195" spans="2:20" outlineLevel="1" x14ac:dyDescent="0.2">
      <c r="C195" s="38" t="s">
        <v>868</v>
      </c>
      <c r="J195" s="590">
        <v>1.1577118900000001</v>
      </c>
      <c r="K195" s="590">
        <v>1.1577118900000001</v>
      </c>
      <c r="L195" s="590">
        <v>1.1577118900000001</v>
      </c>
      <c r="M195" s="590">
        <v>1.1577118900000001</v>
      </c>
      <c r="N195" s="590">
        <v>1.1577118900000001</v>
      </c>
      <c r="O195" s="558"/>
      <c r="S195" s="7" t="s">
        <v>1012</v>
      </c>
    </row>
    <row r="196" spans="2:20" outlineLevel="1" x14ac:dyDescent="0.2">
      <c r="C196" s="38" t="s">
        <v>833</v>
      </c>
      <c r="J196" s="549"/>
      <c r="K196" s="549"/>
      <c r="L196" s="549"/>
      <c r="M196" s="549"/>
      <c r="N196" s="549"/>
      <c r="S196" s="7" t="s">
        <v>1012</v>
      </c>
    </row>
    <row r="197" spans="2:20" outlineLevel="1" x14ac:dyDescent="0.2"/>
    <row r="198" spans="2:20" outlineLevel="1" x14ac:dyDescent="0.2">
      <c r="C198" s="558"/>
      <c r="D198" s="558"/>
      <c r="E198" s="558"/>
      <c r="F198" s="558"/>
      <c r="G198" s="558"/>
      <c r="H198" s="558"/>
      <c r="I198" s="558"/>
      <c r="J198" s="558"/>
      <c r="K198" s="558"/>
      <c r="L198" s="558"/>
      <c r="M198" s="558"/>
      <c r="N198" s="558"/>
    </row>
    <row r="199" spans="2:20" outlineLevel="1" x14ac:dyDescent="0.2"/>
    <row r="200" spans="2:20" ht="15" outlineLevel="1" x14ac:dyDescent="0.3">
      <c r="B200" s="541" t="s">
        <v>906</v>
      </c>
      <c r="C200" s="541"/>
      <c r="D200" s="541"/>
      <c r="E200" s="541"/>
      <c r="F200" s="541"/>
      <c r="G200" s="541"/>
      <c r="H200" s="541"/>
      <c r="I200" s="541"/>
      <c r="J200" s="541"/>
      <c r="K200" s="541"/>
      <c r="L200" s="541"/>
      <c r="M200" s="541"/>
      <c r="N200" s="541"/>
      <c r="O200" s="541"/>
      <c r="P200" s="541"/>
      <c r="Q200" s="541"/>
    </row>
    <row r="201" spans="2:20" outlineLevel="1" x14ac:dyDescent="0.2">
      <c r="J201" s="109" t="s">
        <v>899</v>
      </c>
      <c r="K201" s="109" t="s">
        <v>901</v>
      </c>
      <c r="L201" s="109" t="s">
        <v>902</v>
      </c>
      <c r="M201" s="109" t="s">
        <v>903</v>
      </c>
      <c r="N201" s="109" t="s">
        <v>904</v>
      </c>
    </row>
    <row r="202" spans="2:20" outlineLevel="1" x14ac:dyDescent="0.2">
      <c r="C202" s="386" t="s">
        <v>907</v>
      </c>
      <c r="J202" s="550">
        <v>0.3</v>
      </c>
      <c r="K202" s="550">
        <v>0.3</v>
      </c>
      <c r="L202" s="550">
        <v>0.3</v>
      </c>
      <c r="M202" s="550">
        <v>0.3</v>
      </c>
      <c r="N202" s="550">
        <v>0.3</v>
      </c>
    </row>
    <row r="203" spans="2:20" outlineLevel="1" x14ac:dyDescent="0.2"/>
    <row r="204" spans="2:20" outlineLevel="1" x14ac:dyDescent="0.2">
      <c r="G204" s="109" t="s">
        <v>887</v>
      </c>
    </row>
    <row r="205" spans="2:20" outlineLevel="1" x14ac:dyDescent="0.2">
      <c r="C205" s="386" t="s">
        <v>908</v>
      </c>
      <c r="G205" s="549">
        <v>0</v>
      </c>
      <c r="S205" s="7" t="s">
        <v>910</v>
      </c>
      <c r="T205" s="417" t="s">
        <v>909</v>
      </c>
    </row>
    <row r="206" spans="2:20" outlineLevel="1" x14ac:dyDescent="0.2"/>
    <row r="207" spans="2:20" outlineLevel="1" x14ac:dyDescent="0.2"/>
    <row r="208" spans="2:20" ht="15" outlineLevel="1" x14ac:dyDescent="0.3">
      <c r="B208" s="541" t="s">
        <v>865</v>
      </c>
      <c r="C208" s="541"/>
      <c r="D208" s="541"/>
      <c r="E208" s="541"/>
      <c r="F208" s="541"/>
      <c r="G208" s="541"/>
      <c r="H208" s="541"/>
      <c r="I208" s="541"/>
      <c r="J208" s="541"/>
      <c r="K208" s="541"/>
      <c r="L208" s="541"/>
      <c r="M208" s="541"/>
      <c r="N208" s="541"/>
      <c r="O208" s="541"/>
      <c r="P208" s="541"/>
      <c r="Q208" s="541"/>
    </row>
    <row r="209" spans="2:19" outlineLevel="1" x14ac:dyDescent="0.2">
      <c r="H209" s="109" t="s">
        <v>912</v>
      </c>
    </row>
    <row r="210" spans="2:19" outlineLevel="1" x14ac:dyDescent="0.2">
      <c r="C210" s="386" t="s">
        <v>867</v>
      </c>
      <c r="G210" s="386" t="s">
        <v>913</v>
      </c>
      <c r="H210" s="551">
        <v>2.47E-2</v>
      </c>
      <c r="S210" s="7" t="s">
        <v>1071</v>
      </c>
    </row>
    <row r="211" spans="2:19" outlineLevel="1" x14ac:dyDescent="0.2">
      <c r="C211" s="386" t="s">
        <v>866</v>
      </c>
      <c r="G211" s="386" t="s">
        <v>914</v>
      </c>
      <c r="H211" s="551">
        <v>6.0999999999999999E-2</v>
      </c>
      <c r="S211" s="7" t="s">
        <v>1071</v>
      </c>
    </row>
    <row r="212" spans="2:19" outlineLevel="1" x14ac:dyDescent="0.2">
      <c r="C212" s="386" t="s">
        <v>911</v>
      </c>
      <c r="G212" s="386" t="s">
        <v>915</v>
      </c>
      <c r="H212" s="551">
        <v>0.58499999999999996</v>
      </c>
      <c r="S212" s="7" t="s">
        <v>1071</v>
      </c>
    </row>
    <row r="213" spans="2:19" outlineLevel="1" x14ac:dyDescent="0.2">
      <c r="C213" s="386" t="s">
        <v>606</v>
      </c>
      <c r="G213" s="386" t="s">
        <v>916</v>
      </c>
      <c r="H213" s="551">
        <v>0.6</v>
      </c>
      <c r="S213" s="7" t="s">
        <v>1071</v>
      </c>
    </row>
    <row r="214" spans="2:19" outlineLevel="1" x14ac:dyDescent="0.2">
      <c r="S214" s="558"/>
    </row>
    <row r="215" spans="2:19" outlineLevel="1" x14ac:dyDescent="0.2">
      <c r="J215" s="109" t="s">
        <v>899</v>
      </c>
      <c r="K215" s="109" t="s">
        <v>901</v>
      </c>
      <c r="L215" s="109" t="s">
        <v>902</v>
      </c>
      <c r="M215" s="109" t="s">
        <v>903</v>
      </c>
      <c r="N215" s="109" t="s">
        <v>904</v>
      </c>
      <c r="S215" s="558"/>
    </row>
    <row r="216" spans="2:19" outlineLevel="1" x14ac:dyDescent="0.2">
      <c r="C216" s="386" t="s">
        <v>917</v>
      </c>
      <c r="J216" s="532">
        <v>4.9799999999999997E-2</v>
      </c>
      <c r="K216" s="532"/>
      <c r="L216" s="532"/>
      <c r="M216" s="532"/>
      <c r="N216" s="532"/>
      <c r="S216" s="7" t="s">
        <v>1071</v>
      </c>
    </row>
    <row r="217" spans="2:19" outlineLevel="1" x14ac:dyDescent="0.2">
      <c r="S217" s="558"/>
    </row>
    <row r="218" spans="2:19" s="552" customFormat="1" outlineLevel="1" x14ac:dyDescent="0.2">
      <c r="S218" s="558"/>
    </row>
    <row r="219" spans="2:19" s="552" customFormat="1" ht="15" outlineLevel="1" x14ac:dyDescent="0.3">
      <c r="B219" s="541" t="s">
        <v>919</v>
      </c>
      <c r="C219" s="541"/>
      <c r="D219" s="541"/>
      <c r="E219" s="541"/>
      <c r="F219" s="541"/>
      <c r="G219" s="541"/>
      <c r="H219" s="541"/>
      <c r="I219" s="541"/>
      <c r="J219" s="541"/>
      <c r="K219" s="541"/>
      <c r="L219" s="541"/>
      <c r="M219" s="541"/>
      <c r="N219" s="541"/>
      <c r="O219" s="541"/>
      <c r="P219" s="541"/>
      <c r="Q219" s="541"/>
      <c r="S219" s="558"/>
    </row>
    <row r="220" spans="2:19" s="552" customFormat="1" outlineLevel="1" x14ac:dyDescent="0.2">
      <c r="H220" s="109" t="s">
        <v>920</v>
      </c>
      <c r="S220" s="558"/>
    </row>
    <row r="221" spans="2:19" s="552" customFormat="1" outlineLevel="1" x14ac:dyDescent="0.2">
      <c r="C221" s="552" t="s">
        <v>921</v>
      </c>
      <c r="G221" s="552" t="s">
        <v>926</v>
      </c>
      <c r="H221" s="551">
        <v>0.88</v>
      </c>
      <c r="S221" s="7" t="s">
        <v>1071</v>
      </c>
    </row>
    <row r="222" spans="2:19" s="552" customFormat="1" outlineLevel="1" x14ac:dyDescent="0.2">
      <c r="C222" s="552" t="s">
        <v>922</v>
      </c>
      <c r="G222" s="552" t="s">
        <v>927</v>
      </c>
      <c r="H222" s="551">
        <v>0.03</v>
      </c>
      <c r="S222" s="7" t="s">
        <v>1071</v>
      </c>
    </row>
    <row r="223" spans="2:19" s="552" customFormat="1" outlineLevel="1" x14ac:dyDescent="0.2">
      <c r="C223" s="552" t="s">
        <v>923</v>
      </c>
      <c r="G223" s="552" t="s">
        <v>928</v>
      </c>
      <c r="H223" s="551">
        <v>0.01</v>
      </c>
      <c r="S223" s="7" t="s">
        <v>1071</v>
      </c>
    </row>
    <row r="224" spans="2:19" s="552" customFormat="1" outlineLevel="1" x14ac:dyDescent="0.2">
      <c r="C224" s="552" t="s">
        <v>924</v>
      </c>
      <c r="G224" s="552" t="s">
        <v>929</v>
      </c>
      <c r="H224" s="551">
        <v>0.3</v>
      </c>
      <c r="S224" s="7" t="s">
        <v>1071</v>
      </c>
    </row>
    <row r="225" spans="1:20" s="552" customFormat="1" outlineLevel="1" x14ac:dyDescent="0.2">
      <c r="C225" s="552" t="s">
        <v>925</v>
      </c>
      <c r="G225" s="552" t="s">
        <v>930</v>
      </c>
      <c r="H225" s="735">
        <v>1.5269999999999999E-3</v>
      </c>
      <c r="S225" s="7" t="s">
        <v>1071</v>
      </c>
    </row>
    <row r="226" spans="1:20" s="552" customFormat="1" x14ac:dyDescent="0.2"/>
    <row r="227" spans="1:20" ht="15.75" thickBot="1" x14ac:dyDescent="0.3">
      <c r="A227" s="10" t="s">
        <v>1066</v>
      </c>
      <c r="B227" s="10"/>
      <c r="C227" s="10"/>
      <c r="D227" s="10"/>
      <c r="E227" s="10"/>
      <c r="F227" s="10"/>
      <c r="G227" s="49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9" spans="1:20" s="552" customFormat="1" x14ac:dyDescent="0.2">
      <c r="B229" s="38" t="s">
        <v>932</v>
      </c>
      <c r="F229" s="555">
        <v>43496.391237962962</v>
      </c>
    </row>
    <row r="230" spans="1:20" s="552" customFormat="1" outlineLevel="1" x14ac:dyDescent="0.2"/>
    <row r="231" spans="1:20" ht="15" outlineLevel="1" x14ac:dyDescent="0.3">
      <c r="B231" s="541" t="s">
        <v>1033</v>
      </c>
      <c r="C231" s="541"/>
      <c r="D231" s="541"/>
      <c r="E231" s="541"/>
      <c r="F231" s="541"/>
      <c r="G231" s="541"/>
      <c r="H231" s="541"/>
      <c r="I231" s="541"/>
      <c r="J231" s="541"/>
      <c r="K231" s="541"/>
      <c r="L231" s="541"/>
      <c r="M231" s="541"/>
      <c r="N231" s="541"/>
      <c r="O231" s="541"/>
      <c r="P231" s="541"/>
      <c r="Q231" s="541"/>
    </row>
    <row r="232" spans="1:20" outlineLevel="1" x14ac:dyDescent="0.2">
      <c r="J232" s="109" t="s">
        <v>899</v>
      </c>
      <c r="K232" s="109" t="s">
        <v>901</v>
      </c>
      <c r="L232" s="109" t="s">
        <v>902</v>
      </c>
      <c r="M232" s="109" t="s">
        <v>903</v>
      </c>
      <c r="N232" s="109" t="s">
        <v>904</v>
      </c>
    </row>
    <row r="233" spans="1:20" outlineLevel="1" x14ac:dyDescent="0.2">
      <c r="C233" s="386" t="s">
        <v>529</v>
      </c>
      <c r="J233" s="585">
        <v>2.2919166086633975</v>
      </c>
      <c r="K233" s="585">
        <v>2.2461806128071014</v>
      </c>
      <c r="L233" s="585">
        <v>2.1735462770427754</v>
      </c>
      <c r="M233" s="585">
        <v>2.10919776047561</v>
      </c>
      <c r="N233" s="585">
        <v>2.0423239564197018</v>
      </c>
    </row>
    <row r="234" spans="1:20" outlineLevel="1" x14ac:dyDescent="0.2">
      <c r="C234" s="386" t="s">
        <v>528</v>
      </c>
      <c r="J234" s="585">
        <v>1.2884234610847125</v>
      </c>
      <c r="K234" s="585">
        <v>1.4144608613484337</v>
      </c>
      <c r="L234" s="585">
        <v>1.5031620130654078</v>
      </c>
      <c r="M234" s="585">
        <v>1.5956666156695758</v>
      </c>
      <c r="N234" s="585">
        <v>1.6898757188840998</v>
      </c>
    </row>
    <row r="235" spans="1:20" outlineLevel="1" x14ac:dyDescent="0.2">
      <c r="C235" s="386" t="s">
        <v>527</v>
      </c>
      <c r="J235" s="585">
        <v>3.9641127313555326E-2</v>
      </c>
      <c r="K235" s="585">
        <v>3.8850074782368758E-2</v>
      </c>
      <c r="L235" s="585">
        <v>3.7593786948646783E-2</v>
      </c>
      <c r="M235" s="585">
        <v>3.6480811141396521E-2</v>
      </c>
      <c r="N235" s="585">
        <v>3.5324157810074835E-2</v>
      </c>
    </row>
    <row r="236" spans="1:20" outlineLevel="1" x14ac:dyDescent="0.2">
      <c r="C236" s="386" t="s">
        <v>918</v>
      </c>
      <c r="J236" s="585">
        <v>0</v>
      </c>
      <c r="K236" s="585">
        <v>0</v>
      </c>
      <c r="L236" s="585">
        <v>0</v>
      </c>
      <c r="M236" s="585">
        <v>0</v>
      </c>
      <c r="N236" s="585">
        <v>0</v>
      </c>
    </row>
    <row r="237" spans="1:20" outlineLevel="1" x14ac:dyDescent="0.2">
      <c r="C237" s="386" t="s">
        <v>525</v>
      </c>
      <c r="J237" s="586">
        <v>9.758953840148337E-7</v>
      </c>
      <c r="K237" s="586">
        <v>0</v>
      </c>
      <c r="L237" s="586">
        <v>0</v>
      </c>
      <c r="M237" s="586">
        <v>0</v>
      </c>
      <c r="N237" s="586">
        <v>0</v>
      </c>
    </row>
    <row r="238" spans="1:20" outlineLevel="1" x14ac:dyDescent="0.2">
      <c r="C238" s="38" t="s">
        <v>531</v>
      </c>
      <c r="J238" s="587">
        <v>3.6199821729570498</v>
      </c>
      <c r="K238" s="587">
        <v>3.6994915489379037</v>
      </c>
      <c r="L238" s="587">
        <v>3.7143020770568302</v>
      </c>
      <c r="M238" s="587">
        <v>3.7413451872865822</v>
      </c>
      <c r="N238" s="587">
        <v>3.7675238331138763</v>
      </c>
    </row>
    <row r="239" spans="1:20" outlineLevel="1" x14ac:dyDescent="0.2"/>
    <row r="240" spans="1:20" outlineLevel="1" x14ac:dyDescent="0.2">
      <c r="C240" s="386" t="s">
        <v>1039</v>
      </c>
      <c r="G240" s="596">
        <v>6.1000000000005938E-2</v>
      </c>
    </row>
    <row r="241" spans="2:17" outlineLevel="1" x14ac:dyDescent="0.2">
      <c r="B241" s="558"/>
      <c r="C241" s="558" t="s">
        <v>555</v>
      </c>
      <c r="D241" s="558"/>
      <c r="E241" s="558"/>
      <c r="F241" s="558"/>
      <c r="G241" s="596">
        <v>5.4280000284219865E-2</v>
      </c>
      <c r="H241" s="558"/>
      <c r="I241" s="558"/>
      <c r="J241" s="558"/>
      <c r="K241" s="558"/>
      <c r="L241" s="558"/>
      <c r="M241" s="558"/>
      <c r="N241" s="558"/>
      <c r="O241" s="558"/>
      <c r="P241" s="558"/>
      <c r="Q241" s="558"/>
    </row>
    <row r="242" spans="2:17" outlineLevel="1" x14ac:dyDescent="0.2">
      <c r="B242" s="558"/>
      <c r="C242" s="558" t="s">
        <v>607</v>
      </c>
      <c r="D242" s="558"/>
      <c r="E242" s="558"/>
      <c r="F242" s="558"/>
      <c r="G242" s="596">
        <v>2.8866985736080375E-2</v>
      </c>
      <c r="H242" s="558"/>
      <c r="I242" s="558"/>
      <c r="J242" s="558"/>
      <c r="K242" s="558"/>
      <c r="L242" s="558"/>
      <c r="M242" s="558"/>
      <c r="N242" s="558"/>
      <c r="O242" s="558"/>
      <c r="P242" s="558"/>
      <c r="Q242" s="558"/>
    </row>
    <row r="243" spans="2:17" outlineLevel="1" x14ac:dyDescent="0.2">
      <c r="B243" s="558"/>
      <c r="C243" s="558" t="s">
        <v>1040</v>
      </c>
      <c r="D243" s="558"/>
      <c r="E243" s="558"/>
      <c r="F243" s="558"/>
      <c r="G243" s="596">
        <v>3.0046522081278448E-2</v>
      </c>
      <c r="H243" s="558"/>
      <c r="I243" s="558"/>
      <c r="J243" s="558"/>
      <c r="K243" s="558"/>
      <c r="L243" s="558"/>
      <c r="M243" s="558"/>
      <c r="N243" s="558"/>
      <c r="O243" s="558"/>
      <c r="P243" s="558"/>
      <c r="Q243" s="558"/>
    </row>
    <row r="244" spans="2:17" outlineLevel="1" x14ac:dyDescent="0.2">
      <c r="B244" s="558"/>
      <c r="C244" s="558"/>
      <c r="D244" s="558"/>
      <c r="E244" s="558"/>
      <c r="F244" s="558"/>
      <c r="G244" s="558"/>
      <c r="H244" s="558"/>
      <c r="I244" s="558"/>
      <c r="J244" s="558"/>
      <c r="K244" s="558"/>
      <c r="L244" s="558"/>
      <c r="M244" s="558"/>
      <c r="N244" s="558"/>
      <c r="O244" s="558"/>
      <c r="P244" s="558"/>
      <c r="Q244" s="558"/>
    </row>
    <row r="245" spans="2:17" s="552" customFormat="1" outlineLevel="1" x14ac:dyDescent="0.2">
      <c r="B245" s="558"/>
      <c r="C245" s="558"/>
      <c r="D245" s="558"/>
      <c r="E245" s="558"/>
      <c r="F245" s="558"/>
      <c r="G245" s="558"/>
      <c r="H245" s="558"/>
      <c r="I245" s="558"/>
      <c r="J245" s="558"/>
      <c r="K245" s="558"/>
      <c r="L245" s="558"/>
      <c r="M245" s="558"/>
      <c r="N245" s="558"/>
      <c r="O245" s="558"/>
      <c r="P245" s="558"/>
      <c r="Q245" s="558"/>
    </row>
    <row r="246" spans="2:17" outlineLevel="1" x14ac:dyDescent="0.2">
      <c r="B246" s="558"/>
      <c r="C246" s="558"/>
      <c r="D246" s="558"/>
      <c r="E246" s="558"/>
      <c r="F246" s="558"/>
      <c r="G246" s="558"/>
      <c r="H246" s="558"/>
      <c r="I246" s="558"/>
      <c r="J246" s="558"/>
      <c r="K246" s="558"/>
      <c r="L246" s="558"/>
      <c r="M246" s="558"/>
      <c r="N246" s="558"/>
      <c r="O246" s="558"/>
      <c r="P246" s="558"/>
      <c r="Q246" s="558"/>
    </row>
  </sheetData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8">
    <tabColor theme="5" tint="0.39997558519241921"/>
  </sheetPr>
  <dimension ref="A1:R52"/>
  <sheetViews>
    <sheetView showGridLines="0" zoomScale="115" zoomScaleNormal="115" workbookViewId="0">
      <selection activeCell="J35" sqref="J35"/>
    </sheetView>
  </sheetViews>
  <sheetFormatPr defaultColWidth="9.1640625" defaultRowHeight="12" outlineLevelRow="1" x14ac:dyDescent="0.2"/>
  <cols>
    <col min="1" max="1" width="7.5" style="58" customWidth="1"/>
    <col min="2" max="2" width="7.33203125" style="58" bestFit="1" customWidth="1"/>
    <col min="3" max="5" width="2.5" style="58" customWidth="1"/>
    <col min="6" max="6" width="34.1640625" style="58" customWidth="1"/>
    <col min="7" max="7" width="16.5" style="58" bestFit="1" customWidth="1"/>
    <col min="8" max="8" width="18.6640625" style="58" customWidth="1"/>
    <col min="9" max="9" width="13" style="58" customWidth="1"/>
    <col min="10" max="10" width="15.5" style="58" customWidth="1"/>
    <col min="11" max="11" width="13.33203125" style="58" customWidth="1"/>
    <col min="12" max="12" width="12.83203125" style="58" bestFit="1" customWidth="1"/>
    <col min="13" max="14" width="13.6640625" style="58" customWidth="1"/>
    <col min="15" max="15" width="4.6640625" style="58" customWidth="1"/>
    <col min="16" max="16" width="30" style="58" customWidth="1"/>
    <col min="17" max="17" width="75.6640625" style="58" bestFit="1" customWidth="1"/>
    <col min="18" max="16384" width="9.1640625" style="58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1"/>
      <c r="H1" s="62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357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G6" s="48"/>
      <c r="H6" s="45"/>
      <c r="I6" s="45"/>
      <c r="J6" s="45"/>
      <c r="K6" s="45"/>
      <c r="L6" s="45"/>
      <c r="M6" s="45"/>
      <c r="N6" s="45"/>
    </row>
    <row r="7" spans="1:18" s="558" customFormat="1" x14ac:dyDescent="0.2">
      <c r="G7" s="48"/>
      <c r="H7" s="559"/>
      <c r="I7" s="559"/>
      <c r="J7" s="559"/>
      <c r="K7" s="559"/>
      <c r="L7" s="559"/>
      <c r="M7" s="559"/>
      <c r="N7" s="559"/>
    </row>
    <row r="8" spans="1:18" s="558" customFormat="1" ht="15" x14ac:dyDescent="0.25">
      <c r="A8" s="36" t="s">
        <v>38</v>
      </c>
      <c r="G8" s="48"/>
      <c r="H8" s="559"/>
      <c r="I8" s="559"/>
      <c r="J8" s="559"/>
      <c r="K8" s="559"/>
      <c r="L8" s="559"/>
      <c r="M8" s="559"/>
      <c r="N8" s="559"/>
    </row>
    <row r="9" spans="1:18" ht="15" x14ac:dyDescent="0.25">
      <c r="B9" s="38" t="s">
        <v>1188</v>
      </c>
      <c r="C9" s="36"/>
      <c r="D9" s="36"/>
      <c r="E9" s="36"/>
      <c r="F9" s="36"/>
      <c r="G9" s="36"/>
      <c r="H9" s="693" t="s">
        <v>1261</v>
      </c>
      <c r="I9" s="693" t="s">
        <v>1261</v>
      </c>
      <c r="J9" s="36"/>
      <c r="K9" s="36"/>
      <c r="L9" s="36"/>
      <c r="M9" s="36"/>
      <c r="N9" s="36"/>
      <c r="O9" s="36"/>
      <c r="P9" s="36"/>
      <c r="Q9" s="36"/>
    </row>
    <row r="10" spans="1:18" s="558" customFormat="1" ht="15" x14ac:dyDescent="0.25">
      <c r="A10" s="36"/>
      <c r="B10" s="36"/>
      <c r="C10" s="36"/>
      <c r="D10" s="36"/>
      <c r="E10" s="36"/>
      <c r="F10" s="588" t="s">
        <v>1042</v>
      </c>
      <c r="G10" s="610" t="s">
        <v>1034</v>
      </c>
      <c r="H10" s="607">
        <v>110997.96901762165</v>
      </c>
      <c r="I10" s="607">
        <v>462024.62517390744</v>
      </c>
      <c r="J10" s="607">
        <v>655233.34957485716</v>
      </c>
      <c r="K10" s="607">
        <v>851669.79485418892</v>
      </c>
      <c r="L10" s="607">
        <v>1051580.0825907395</v>
      </c>
      <c r="M10" s="607">
        <v>1058554.5536625667</v>
      </c>
      <c r="N10" s="607">
        <v>1064794.869884728</v>
      </c>
      <c r="O10" s="36"/>
      <c r="P10" s="36"/>
      <c r="Q10" s="36"/>
    </row>
    <row r="11" spans="1:18" s="558" customFormat="1" ht="15" x14ac:dyDescent="0.25">
      <c r="A11" s="36"/>
      <c r="B11" s="36"/>
      <c r="C11" s="36"/>
      <c r="D11" s="36"/>
      <c r="E11" s="36"/>
      <c r="F11" s="36"/>
      <c r="G11" s="54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8" s="558" customFormat="1" ht="15" x14ac:dyDescent="0.25">
      <c r="A12" s="36"/>
      <c r="B12" s="38" t="s">
        <v>1187</v>
      </c>
      <c r="C12" s="36"/>
      <c r="D12" s="36"/>
      <c r="E12" s="36"/>
      <c r="F12" s="36"/>
      <c r="G12" s="54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8" x14ac:dyDescent="0.2">
      <c r="F13" s="38" t="s">
        <v>870</v>
      </c>
      <c r="G13" s="48" t="s">
        <v>869</v>
      </c>
      <c r="H13" s="606">
        <v>105097.78236389119</v>
      </c>
      <c r="I13" s="606">
        <v>437465.33322223998</v>
      </c>
      <c r="J13" s="606">
        <v>620403.89189688</v>
      </c>
      <c r="K13" s="606">
        <v>806398.59934081614</v>
      </c>
      <c r="L13" s="606">
        <v>995682.4943416639</v>
      </c>
      <c r="M13" s="606">
        <v>1002286.231773056</v>
      </c>
      <c r="N13" s="606">
        <v>1008194.838948512</v>
      </c>
    </row>
    <row r="14" spans="1:18" s="558" customFormat="1" x14ac:dyDescent="0.2">
      <c r="G14" s="48"/>
    </row>
    <row r="15" spans="1:18" s="558" customFormat="1" x14ac:dyDescent="0.2">
      <c r="F15" s="558" t="s">
        <v>1053</v>
      </c>
      <c r="G15" s="48" t="s">
        <v>869</v>
      </c>
      <c r="H15" s="53">
        <v>104710.208</v>
      </c>
      <c r="I15" s="53">
        <v>434199.2</v>
      </c>
      <c r="J15" s="53">
        <v>612902.88</v>
      </c>
      <c r="K15" s="53">
        <v>791606.56</v>
      </c>
      <c r="L15" s="53">
        <v>970310.24</v>
      </c>
      <c r="M15" s="53">
        <v>970310.24</v>
      </c>
      <c r="N15" s="53">
        <v>970310.24</v>
      </c>
    </row>
    <row r="16" spans="1:18" s="558" customFormat="1" x14ac:dyDescent="0.2">
      <c r="F16" s="431"/>
      <c r="G16" s="48"/>
      <c r="H16" s="53"/>
      <c r="I16" s="53"/>
      <c r="J16" s="53"/>
      <c r="K16" s="53"/>
      <c r="L16" s="53"/>
      <c r="M16" s="53"/>
      <c r="N16" s="53"/>
    </row>
    <row r="17" spans="1:17" ht="15.75" thickBot="1" x14ac:dyDescent="0.3">
      <c r="A17" s="10" t="s">
        <v>37</v>
      </c>
      <c r="B17" s="10"/>
      <c r="C17" s="10"/>
      <c r="D17" s="10"/>
      <c r="E17" s="10"/>
      <c r="F17" s="10"/>
      <c r="G17" s="49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2.75" x14ac:dyDescent="0.2">
      <c r="G18" s="48"/>
      <c r="H18" s="43" t="s">
        <v>251</v>
      </c>
      <c r="I18" s="43" t="s">
        <v>252</v>
      </c>
      <c r="J18" s="43" t="s">
        <v>253</v>
      </c>
      <c r="K18" s="43" t="s">
        <v>254</v>
      </c>
      <c r="L18" s="43" t="s">
        <v>255</v>
      </c>
      <c r="M18" s="43" t="s">
        <v>256</v>
      </c>
      <c r="N18" s="43" t="s">
        <v>257</v>
      </c>
      <c r="P18" s="5"/>
      <c r="Q18" s="5"/>
    </row>
    <row r="19" spans="1:17" outlineLevel="1" x14ac:dyDescent="0.2">
      <c r="G19" s="48"/>
      <c r="H19" s="48"/>
      <c r="I19" s="48"/>
      <c r="J19" s="48"/>
      <c r="K19" s="48"/>
      <c r="L19" s="48"/>
      <c r="M19" s="48"/>
      <c r="N19" s="48"/>
    </row>
    <row r="20" spans="1:17" ht="4.1500000000000004" customHeight="1" outlineLevel="1" x14ac:dyDescent="0.2">
      <c r="A20" s="120"/>
      <c r="G20" s="48"/>
    </row>
    <row r="21" spans="1:17" outlineLevel="1" x14ac:dyDescent="0.2">
      <c r="B21" s="6"/>
      <c r="F21" s="58" t="s">
        <v>417</v>
      </c>
      <c r="G21" s="48" t="s">
        <v>943</v>
      </c>
      <c r="H21" s="775"/>
      <c r="I21" s="775"/>
      <c r="J21" s="775"/>
      <c r="K21" s="775"/>
      <c r="L21" s="775"/>
      <c r="M21" s="775"/>
      <c r="N21" s="775"/>
    </row>
    <row r="22" spans="1:17" outlineLevel="1" x14ac:dyDescent="0.2">
      <c r="B22" s="6"/>
      <c r="F22" s="58" t="s">
        <v>418</v>
      </c>
      <c r="G22" s="48" t="s">
        <v>943</v>
      </c>
      <c r="H22" s="766">
        <v>12560</v>
      </c>
      <c r="I22" s="766">
        <v>62800</v>
      </c>
      <c r="J22" s="766">
        <v>62800</v>
      </c>
      <c r="K22" s="766">
        <v>62800</v>
      </c>
      <c r="L22" s="766">
        <v>62800</v>
      </c>
      <c r="M22" s="766">
        <v>62800</v>
      </c>
      <c r="N22" s="766">
        <v>62800</v>
      </c>
    </row>
    <row r="23" spans="1:17" outlineLevel="1" x14ac:dyDescent="0.2">
      <c r="B23" s="6"/>
      <c r="F23" s="58" t="s">
        <v>413</v>
      </c>
      <c r="G23" s="6" t="s">
        <v>685</v>
      </c>
      <c r="H23" s="775"/>
      <c r="I23" s="775"/>
      <c r="J23" s="775"/>
      <c r="K23" s="775"/>
      <c r="L23" s="775"/>
      <c r="M23" s="775"/>
      <c r="N23" s="775"/>
    </row>
    <row r="24" spans="1:17" s="558" customFormat="1" ht="4.1500000000000004" customHeight="1" outlineLevel="1" x14ac:dyDescent="0.2">
      <c r="B24" s="6"/>
      <c r="G24" s="6"/>
      <c r="H24" s="53"/>
      <c r="I24" s="53"/>
      <c r="J24" s="53"/>
      <c r="K24" s="53"/>
      <c r="L24" s="53"/>
      <c r="M24" s="53"/>
      <c r="N24" s="53"/>
    </row>
    <row r="25" spans="1:17" outlineLevel="1" x14ac:dyDescent="0.2">
      <c r="A25" s="120"/>
      <c r="F25" s="85" t="s">
        <v>984</v>
      </c>
      <c r="G25" s="159" t="s">
        <v>42</v>
      </c>
      <c r="H25" s="101">
        <v>104710.208</v>
      </c>
      <c r="I25" s="101">
        <v>434199.2</v>
      </c>
      <c r="J25" s="101">
        <v>612902.88</v>
      </c>
      <c r="K25" s="101">
        <v>791606.56</v>
      </c>
      <c r="L25" s="101">
        <v>970310.24</v>
      </c>
      <c r="M25" s="101">
        <v>970310.24</v>
      </c>
      <c r="N25" s="101">
        <v>970310.24</v>
      </c>
    </row>
    <row r="26" spans="1:17" outlineLevel="1" x14ac:dyDescent="0.2"/>
    <row r="27" spans="1:17" outlineLevel="1" x14ac:dyDescent="0.2">
      <c r="D27" s="55" t="s">
        <v>1191</v>
      </c>
      <c r="G27" s="48"/>
      <c r="H27" s="154"/>
      <c r="I27" s="154"/>
      <c r="J27" s="154"/>
      <c r="K27" s="154"/>
      <c r="L27" s="154"/>
      <c r="M27" s="154"/>
      <c r="N27" s="154"/>
    </row>
    <row r="28" spans="1:17" outlineLevel="1" x14ac:dyDescent="0.2">
      <c r="F28" s="58" t="s">
        <v>381</v>
      </c>
      <c r="G28" s="48" t="s">
        <v>372</v>
      </c>
      <c r="H28" s="567">
        <v>0.5</v>
      </c>
      <c r="I28" s="567">
        <v>2</v>
      </c>
      <c r="J28" s="567">
        <v>3</v>
      </c>
      <c r="K28" s="567">
        <v>4</v>
      </c>
      <c r="L28" s="567">
        <v>5</v>
      </c>
      <c r="M28" s="567">
        <v>5</v>
      </c>
      <c r="N28" s="567">
        <v>5</v>
      </c>
      <c r="P28" s="7" t="s">
        <v>289</v>
      </c>
      <c r="Q28" s="417" t="s">
        <v>740</v>
      </c>
    </row>
    <row r="29" spans="1:17" outlineLevel="1" x14ac:dyDescent="0.2">
      <c r="F29" s="58" t="s">
        <v>382</v>
      </c>
      <c r="G29" s="48" t="s">
        <v>372</v>
      </c>
      <c r="H29" s="567">
        <v>0.1</v>
      </c>
      <c r="I29" s="567">
        <v>0.5</v>
      </c>
      <c r="J29" s="567">
        <v>0.5</v>
      </c>
      <c r="K29" s="567">
        <v>0.5</v>
      </c>
      <c r="L29" s="567">
        <v>0.5</v>
      </c>
      <c r="M29" s="567">
        <v>0.5</v>
      </c>
      <c r="N29" s="567">
        <v>0.5</v>
      </c>
      <c r="P29" s="7" t="s">
        <v>289</v>
      </c>
      <c r="Q29" s="417" t="s">
        <v>740</v>
      </c>
    </row>
    <row r="30" spans="1:17" ht="4.1500000000000004" customHeight="1" outlineLevel="1" x14ac:dyDescent="0.2">
      <c r="G30" s="48"/>
      <c r="H30" s="567"/>
      <c r="I30" s="567"/>
      <c r="J30" s="567"/>
      <c r="K30" s="567"/>
      <c r="L30" s="567"/>
      <c r="M30" s="567"/>
      <c r="N30" s="567"/>
    </row>
    <row r="31" spans="1:17" outlineLevel="1" x14ac:dyDescent="0.2">
      <c r="F31" s="85" t="s">
        <v>984</v>
      </c>
      <c r="G31" s="159" t="s">
        <v>372</v>
      </c>
      <c r="H31" s="568">
        <v>0.6</v>
      </c>
      <c r="I31" s="568">
        <v>2.5</v>
      </c>
      <c r="J31" s="568">
        <v>3.5</v>
      </c>
      <c r="K31" s="568">
        <v>4.5</v>
      </c>
      <c r="L31" s="568">
        <v>5.5</v>
      </c>
      <c r="M31" s="568">
        <v>5.5</v>
      </c>
      <c r="N31" s="568">
        <v>5.5</v>
      </c>
    </row>
    <row r="32" spans="1:17" outlineLevel="1" x14ac:dyDescent="0.2">
      <c r="G32" s="48"/>
    </row>
    <row r="33" spans="1:17" s="386" customFormat="1" ht="12.75" x14ac:dyDescent="0.2">
      <c r="A33" s="227" t="s">
        <v>523</v>
      </c>
      <c r="B33" s="80" t="s">
        <v>522</v>
      </c>
      <c r="G33" s="48"/>
    </row>
    <row r="34" spans="1:17" ht="15.75" thickBot="1" x14ac:dyDescent="0.3">
      <c r="A34" s="10" t="s">
        <v>31</v>
      </c>
      <c r="B34" s="10"/>
      <c r="C34" s="10"/>
      <c r="D34" s="10"/>
      <c r="E34" s="10"/>
      <c r="F34" s="10"/>
      <c r="G34" s="49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G35" s="48"/>
    </row>
    <row r="36" spans="1:17" x14ac:dyDescent="0.2">
      <c r="F36" s="79" t="s">
        <v>371</v>
      </c>
      <c r="H36" s="61" t="s">
        <v>991</v>
      </c>
    </row>
    <row r="37" spans="1:17" x14ac:dyDescent="0.2">
      <c r="F37" s="58" t="s">
        <v>374</v>
      </c>
      <c r="G37" s="157" t="s">
        <v>376</v>
      </c>
      <c r="H37" s="776"/>
      <c r="I37" s="6" t="s">
        <v>1045</v>
      </c>
      <c r="P37" s="7" t="s">
        <v>289</v>
      </c>
      <c r="Q37" s="417" t="s">
        <v>740</v>
      </c>
    </row>
    <row r="38" spans="1:17" x14ac:dyDescent="0.2">
      <c r="F38" s="58" t="s">
        <v>375</v>
      </c>
      <c r="G38" s="157" t="s">
        <v>376</v>
      </c>
      <c r="H38" s="158">
        <v>125600</v>
      </c>
      <c r="I38" s="6" t="s">
        <v>1045</v>
      </c>
      <c r="P38" s="7" t="s">
        <v>289</v>
      </c>
      <c r="Q38" s="417" t="s">
        <v>740</v>
      </c>
    </row>
    <row r="39" spans="1:17" x14ac:dyDescent="0.2">
      <c r="F39" s="58" t="s">
        <v>373</v>
      </c>
      <c r="G39" s="157" t="s">
        <v>376</v>
      </c>
      <c r="H39" s="776"/>
      <c r="I39" s="6" t="s">
        <v>1046</v>
      </c>
      <c r="P39" s="7" t="s">
        <v>289</v>
      </c>
      <c r="Q39" s="417" t="s">
        <v>740</v>
      </c>
    </row>
    <row r="41" spans="1:17" s="558" customFormat="1" x14ac:dyDescent="0.2"/>
    <row r="42" spans="1:17" s="431" customFormat="1" ht="12.75" x14ac:dyDescent="0.2">
      <c r="H42" s="604" t="s">
        <v>251</v>
      </c>
      <c r="I42" s="604" t="s">
        <v>252</v>
      </c>
      <c r="J42" s="604" t="s">
        <v>253</v>
      </c>
      <c r="K42" s="604" t="s">
        <v>254</v>
      </c>
      <c r="L42" s="604" t="s">
        <v>255</v>
      </c>
      <c r="M42" s="604" t="s">
        <v>256</v>
      </c>
      <c r="N42" s="604" t="s">
        <v>257</v>
      </c>
    </row>
    <row r="43" spans="1:17" s="431" customFormat="1" x14ac:dyDescent="0.2">
      <c r="F43" s="431" t="s">
        <v>1024</v>
      </c>
      <c r="H43" s="496">
        <v>1.0037014</v>
      </c>
      <c r="I43" s="496">
        <v>1.0075221999999999</v>
      </c>
      <c r="J43" s="496">
        <v>1.0122385</v>
      </c>
      <c r="K43" s="496">
        <v>1.0186861</v>
      </c>
      <c r="L43" s="496">
        <v>1.0261486</v>
      </c>
      <c r="M43" s="496">
        <v>1.0329543999999999</v>
      </c>
      <c r="N43" s="496">
        <v>1.0390438</v>
      </c>
    </row>
    <row r="44" spans="1:17" s="558" customFormat="1" x14ac:dyDescent="0.2"/>
    <row r="46" spans="1:17" x14ac:dyDescent="0.2">
      <c r="H46" s="168"/>
      <c r="I46" s="168"/>
      <c r="J46" s="168"/>
      <c r="K46" s="168"/>
      <c r="L46" s="168"/>
      <c r="M46" s="168"/>
      <c r="N46" s="168"/>
    </row>
    <row r="47" spans="1:17" x14ac:dyDescent="0.2">
      <c r="H47" s="168"/>
      <c r="I47" s="168"/>
      <c r="J47" s="168"/>
      <c r="K47" s="168"/>
      <c r="L47" s="168"/>
      <c r="M47" s="168"/>
      <c r="N47" s="168"/>
    </row>
    <row r="48" spans="1:17" x14ac:dyDescent="0.2">
      <c r="I48" s="558"/>
      <c r="J48" s="558"/>
      <c r="K48" s="558"/>
      <c r="L48" s="558"/>
      <c r="M48" s="558"/>
      <c r="N48" s="558"/>
    </row>
    <row r="49" spans="8:14" x14ac:dyDescent="0.2">
      <c r="H49" s="168"/>
      <c r="I49" s="168"/>
      <c r="J49" s="168"/>
      <c r="K49" s="168"/>
      <c r="L49" s="168"/>
      <c r="M49" s="168"/>
      <c r="N49" s="168"/>
    </row>
    <row r="50" spans="8:14" x14ac:dyDescent="0.2">
      <c r="H50" s="168"/>
      <c r="I50" s="168"/>
      <c r="J50" s="168"/>
      <c r="K50" s="168"/>
      <c r="L50" s="168"/>
      <c r="M50" s="168"/>
      <c r="N50" s="168"/>
    </row>
    <row r="51" spans="8:14" x14ac:dyDescent="0.2">
      <c r="I51" s="558"/>
      <c r="J51" s="558"/>
      <c r="K51" s="558"/>
      <c r="L51" s="558"/>
      <c r="M51" s="558"/>
      <c r="N51" s="558"/>
    </row>
    <row r="52" spans="8:14" x14ac:dyDescent="0.2">
      <c r="H52" s="168"/>
      <c r="I52" s="168"/>
      <c r="J52" s="168"/>
      <c r="K52" s="168"/>
      <c r="L52" s="168"/>
      <c r="M52" s="168"/>
      <c r="N52" s="168"/>
    </row>
  </sheetData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5" tint="0.39997558519241921"/>
  </sheetPr>
  <dimension ref="A1:R59"/>
  <sheetViews>
    <sheetView showGridLines="0" zoomScale="115" zoomScaleNormal="115" workbookViewId="0">
      <selection activeCell="G11" sqref="G11"/>
    </sheetView>
  </sheetViews>
  <sheetFormatPr defaultRowHeight="12" outlineLevelRow="1" x14ac:dyDescent="0.2"/>
  <cols>
    <col min="1" max="1" width="7.5" customWidth="1"/>
    <col min="2" max="2" width="7.33203125" bestFit="1" customWidth="1"/>
    <col min="3" max="5" width="2.5" customWidth="1"/>
    <col min="6" max="6" width="34.1640625" customWidth="1"/>
    <col min="7" max="7" width="17" bestFit="1" customWidth="1"/>
    <col min="8" max="14" width="14.1640625" customWidth="1"/>
    <col min="15" max="15" width="4.6640625" customWidth="1"/>
    <col min="16" max="16" width="30" customWidth="1"/>
    <col min="17" max="17" width="61.1640625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62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958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G6" s="48"/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36"/>
      <c r="C7" s="36"/>
      <c r="D7" s="36"/>
      <c r="E7" s="36"/>
      <c r="F7" s="36"/>
      <c r="G7" s="36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</row>
    <row r="8" spans="1:18" s="558" customFormat="1" ht="15" x14ac:dyDescent="0.25">
      <c r="A8" s="36"/>
      <c r="B8" s="36"/>
      <c r="C8" s="36"/>
      <c r="D8" s="36"/>
      <c r="E8" s="36"/>
      <c r="F8" s="558" t="s">
        <v>1172</v>
      </c>
      <c r="H8" s="53">
        <v>3000443.3724813913</v>
      </c>
      <c r="I8" s="53">
        <v>3011865.1898043286</v>
      </c>
      <c r="J8" s="53">
        <v>819027.58813220426</v>
      </c>
      <c r="K8" s="53">
        <v>824244.50319445611</v>
      </c>
      <c r="L8" s="53">
        <v>830282.59933132154</v>
      </c>
      <c r="M8" s="53">
        <v>835789.34300814278</v>
      </c>
      <c r="N8" s="53">
        <v>840716.42945582513</v>
      </c>
      <c r="O8" s="36"/>
      <c r="P8" s="36"/>
      <c r="Q8" s="36"/>
    </row>
    <row r="9" spans="1:18" s="558" customFormat="1" ht="15" x14ac:dyDescent="0.25">
      <c r="A9" s="36"/>
      <c r="B9" s="36"/>
      <c r="C9" s="36"/>
      <c r="D9" s="36"/>
      <c r="E9" s="36"/>
      <c r="F9" s="148" t="s">
        <v>1180</v>
      </c>
      <c r="G9" s="48"/>
      <c r="H9" s="53">
        <v>395231.73632712668</v>
      </c>
      <c r="I9" s="53">
        <v>396736.26886853657</v>
      </c>
      <c r="J9" s="53">
        <v>398593.42622433952</v>
      </c>
      <c r="K9" s="53">
        <v>401132.32488796872</v>
      </c>
      <c r="L9" s="53">
        <v>404070.86500790989</v>
      </c>
      <c r="M9" s="53">
        <v>406750.81359729631</v>
      </c>
      <c r="N9" s="53">
        <v>409148.66233516834</v>
      </c>
      <c r="O9" s="36"/>
      <c r="P9" s="36"/>
      <c r="Q9" s="36"/>
    </row>
    <row r="10" spans="1:18" s="558" customFormat="1" ht="15" x14ac:dyDescent="0.25">
      <c r="A10" s="36"/>
      <c r="B10" s="36"/>
      <c r="C10" s="36"/>
      <c r="D10" s="36"/>
      <c r="E10" s="36"/>
      <c r="F10" s="588" t="s">
        <v>1042</v>
      </c>
      <c r="G10" s="727" t="s">
        <v>1034</v>
      </c>
      <c r="H10" s="495">
        <v>3395675.1088085179</v>
      </c>
      <c r="I10" s="495">
        <v>3408601.4586728653</v>
      </c>
      <c r="J10" s="495">
        <v>1217621.0143565438</v>
      </c>
      <c r="K10" s="495">
        <v>1225376.8280824248</v>
      </c>
      <c r="L10" s="495">
        <v>1234353.4643392314</v>
      </c>
      <c r="M10" s="495">
        <v>1242540.156605439</v>
      </c>
      <c r="N10" s="495">
        <v>1249865.0917909935</v>
      </c>
      <c r="O10" s="36"/>
      <c r="P10" s="36"/>
      <c r="Q10" s="36"/>
    </row>
    <row r="11" spans="1:18" s="558" customFormat="1" ht="15" x14ac:dyDescent="0.25">
      <c r="A11" s="36"/>
      <c r="B11" s="36"/>
      <c r="C11" s="36"/>
      <c r="D11" s="36"/>
      <c r="E11" s="36"/>
      <c r="F11" s="6"/>
      <c r="G11" s="48"/>
      <c r="H11" s="53"/>
      <c r="I11" s="53"/>
      <c r="J11" s="53"/>
      <c r="K11" s="53"/>
      <c r="L11" s="53"/>
      <c r="M11" s="53"/>
      <c r="N11" s="53"/>
      <c r="O11" s="36"/>
      <c r="P11" s="36"/>
      <c r="Q11" s="36"/>
    </row>
    <row r="12" spans="1:18" s="558" customFormat="1" ht="15" x14ac:dyDescent="0.25">
      <c r="A12" s="36"/>
      <c r="B12" s="38" t="s">
        <v>1187</v>
      </c>
      <c r="C12" s="36"/>
      <c r="D12" s="36"/>
      <c r="E12" s="36"/>
      <c r="H12" s="53"/>
      <c r="I12" s="53"/>
      <c r="J12" s="53"/>
      <c r="K12" s="53"/>
      <c r="L12" s="53"/>
      <c r="M12" s="53"/>
      <c r="N12" s="53"/>
      <c r="O12" s="36"/>
      <c r="P12" s="36"/>
      <c r="Q12" s="36"/>
    </row>
    <row r="13" spans="1:18" s="558" customFormat="1" ht="15" x14ac:dyDescent="0.25">
      <c r="A13" s="36"/>
      <c r="B13" s="38"/>
      <c r="C13" s="36"/>
      <c r="D13" s="36"/>
      <c r="E13" s="36"/>
      <c r="F13" s="558" t="s">
        <v>1172</v>
      </c>
      <c r="H13" s="53">
        <v>2840952.3827068107</v>
      </c>
      <c r="I13" s="53">
        <v>2851767.0641089147</v>
      </c>
      <c r="J13" s="53">
        <v>775491.51546976203</v>
      </c>
      <c r="K13" s="53">
        <v>780431.12120017328</v>
      </c>
      <c r="L13" s="53">
        <v>786148.25746222318</v>
      </c>
      <c r="M13" s="53">
        <v>791362.28573321272</v>
      </c>
      <c r="N13" s="53">
        <v>796027.46892304556</v>
      </c>
      <c r="O13" s="36"/>
      <c r="P13" s="36"/>
      <c r="Q13" s="36"/>
    </row>
    <row r="14" spans="1:18" s="558" customFormat="1" ht="15" x14ac:dyDescent="0.25">
      <c r="A14" s="36"/>
      <c r="B14" s="38"/>
      <c r="C14" s="36"/>
      <c r="D14" s="36"/>
      <c r="E14" s="36"/>
      <c r="F14" s="148" t="s">
        <v>1180</v>
      </c>
      <c r="H14" s="53">
        <v>374222.87430517544</v>
      </c>
      <c r="I14" s="53">
        <v>375647.43220471131</v>
      </c>
      <c r="J14" s="53">
        <v>377405.87086195097</v>
      </c>
      <c r="K14" s="53">
        <v>379809.81231741776</v>
      </c>
      <c r="L14" s="53">
        <v>382592.15196494869</v>
      </c>
      <c r="M14" s="53">
        <v>385129.64572349697</v>
      </c>
      <c r="N14" s="53">
        <v>387400.03487588227</v>
      </c>
      <c r="O14" s="36"/>
      <c r="P14" s="36"/>
      <c r="Q14" s="36"/>
    </row>
    <row r="15" spans="1:18" s="58" customFormat="1" ht="15" x14ac:dyDescent="0.25">
      <c r="B15" s="6"/>
      <c r="F15" s="85" t="s">
        <v>870</v>
      </c>
      <c r="G15" s="726" t="s">
        <v>869</v>
      </c>
      <c r="H15" s="88">
        <v>3215175.2570119863</v>
      </c>
      <c r="I15" s="88">
        <v>3227414.4963136259</v>
      </c>
      <c r="J15" s="88">
        <v>1152897.3863317131</v>
      </c>
      <c r="K15" s="88">
        <v>1160240.9335175911</v>
      </c>
      <c r="L15" s="88">
        <v>1168740.4094271718</v>
      </c>
      <c r="M15" s="88">
        <v>1176491.9314567097</v>
      </c>
      <c r="N15" s="88">
        <v>1183427.5037989279</v>
      </c>
      <c r="P15" s="36"/>
      <c r="Q15" s="36"/>
    </row>
    <row r="16" spans="1:18" x14ac:dyDescent="0.2">
      <c r="F16" s="558"/>
      <c r="G16" s="558"/>
      <c r="H16" s="53"/>
      <c r="I16" s="53"/>
      <c r="J16" s="53"/>
      <c r="K16" s="53"/>
      <c r="L16" s="53"/>
      <c r="M16" s="53"/>
      <c r="N16" s="53"/>
    </row>
    <row r="17" spans="1:17" s="558" customFormat="1" x14ac:dyDescent="0.2">
      <c r="F17" s="558" t="s">
        <v>1172</v>
      </c>
      <c r="H17" s="53">
        <v>2830475.660098522</v>
      </c>
      <c r="I17" s="53">
        <v>2830475.660098522</v>
      </c>
      <c r="J17" s="53">
        <v>766115.41200000001</v>
      </c>
      <c r="K17" s="53">
        <v>766115.41200000001</v>
      </c>
      <c r="L17" s="53">
        <v>766115.41200000001</v>
      </c>
      <c r="M17" s="53">
        <v>766115.41200000001</v>
      </c>
      <c r="N17" s="53">
        <v>766115.41200000001</v>
      </c>
    </row>
    <row r="18" spans="1:17" s="558" customFormat="1" x14ac:dyDescent="0.2">
      <c r="F18" s="148" t="s">
        <v>1180</v>
      </c>
      <c r="H18" s="53">
        <v>372842.83384000009</v>
      </c>
      <c r="I18" s="53">
        <v>372842.83384000009</v>
      </c>
      <c r="J18" s="53">
        <v>372842.83384000009</v>
      </c>
      <c r="K18" s="53">
        <v>372842.83384000009</v>
      </c>
      <c r="L18" s="53">
        <v>372842.83384000009</v>
      </c>
      <c r="M18" s="53">
        <v>372842.83384000009</v>
      </c>
      <c r="N18" s="53">
        <v>372842.83384000009</v>
      </c>
    </row>
    <row r="19" spans="1:17" s="558" customFormat="1" x14ac:dyDescent="0.2">
      <c r="F19" s="85" t="s">
        <v>1054</v>
      </c>
      <c r="G19" s="726" t="s">
        <v>869</v>
      </c>
      <c r="H19" s="88">
        <v>3203318.4939385219</v>
      </c>
      <c r="I19" s="88">
        <v>3203318.4939385219</v>
      </c>
      <c r="J19" s="88">
        <v>1138958.24584</v>
      </c>
      <c r="K19" s="88">
        <v>1138958.24584</v>
      </c>
      <c r="L19" s="88">
        <v>1138958.24584</v>
      </c>
      <c r="M19" s="88">
        <v>1138958.24584</v>
      </c>
      <c r="N19" s="88">
        <v>1138958.24584</v>
      </c>
      <c r="O19" s="573"/>
    </row>
    <row r="20" spans="1:17" s="558" customFormat="1" x14ac:dyDescent="0.2"/>
    <row r="21" spans="1:17" ht="15.75" thickBot="1" x14ac:dyDescent="0.3">
      <c r="A21" s="10" t="s">
        <v>37</v>
      </c>
      <c r="B21" s="10"/>
      <c r="C21" s="10"/>
      <c r="D21" s="10"/>
      <c r="E21" s="10"/>
      <c r="F21" s="10"/>
      <c r="G21" s="49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.75" x14ac:dyDescent="0.2">
      <c r="G22" s="48"/>
      <c r="H22" s="43" t="s">
        <v>251</v>
      </c>
      <c r="I22" s="43" t="s">
        <v>252</v>
      </c>
      <c r="J22" s="43" t="s">
        <v>253</v>
      </c>
      <c r="K22" s="43" t="s">
        <v>254</v>
      </c>
      <c r="L22" s="43" t="s">
        <v>255</v>
      </c>
      <c r="M22" s="43" t="s">
        <v>256</v>
      </c>
      <c r="N22" s="43" t="s">
        <v>257</v>
      </c>
      <c r="P22" s="5"/>
      <c r="Q22" s="5"/>
    </row>
    <row r="23" spans="1:17" s="58" customFormat="1" outlineLevel="1" x14ac:dyDescent="0.2">
      <c r="G23" s="48"/>
    </row>
    <row r="24" spans="1:17" s="558" customFormat="1" outlineLevel="1" x14ac:dyDescent="0.2">
      <c r="B24" s="38" t="s">
        <v>1177</v>
      </c>
      <c r="G24" s="48"/>
    </row>
    <row r="25" spans="1:17" s="558" customFormat="1" outlineLevel="1" x14ac:dyDescent="0.2">
      <c r="D25" s="55" t="s">
        <v>1172</v>
      </c>
      <c r="G25" s="48"/>
    </row>
    <row r="26" spans="1:17" s="558" customFormat="1" outlineLevel="1" x14ac:dyDescent="0.2">
      <c r="F26" s="558" t="s">
        <v>417</v>
      </c>
      <c r="G26" s="48" t="s">
        <v>943</v>
      </c>
      <c r="H26" s="697">
        <v>2446647.7832512315</v>
      </c>
      <c r="I26" s="697">
        <v>2446647.7832512315</v>
      </c>
      <c r="J26" s="53">
        <v>662226</v>
      </c>
      <c r="K26" s="53">
        <v>662226</v>
      </c>
      <c r="L26" s="53">
        <v>662226</v>
      </c>
      <c r="M26" s="53">
        <v>662226</v>
      </c>
      <c r="N26" s="53">
        <v>662226</v>
      </c>
    </row>
    <row r="27" spans="1:17" s="558" customFormat="1" outlineLevel="1" x14ac:dyDescent="0.2">
      <c r="F27" s="558" t="s">
        <v>1167</v>
      </c>
      <c r="G27" s="6" t="s">
        <v>685</v>
      </c>
      <c r="H27" s="697">
        <v>383827.87684729067</v>
      </c>
      <c r="I27" s="697">
        <v>383827.87684729067</v>
      </c>
      <c r="J27" s="697">
        <v>103889.41200000003</v>
      </c>
      <c r="K27" s="697">
        <v>103889.41200000003</v>
      </c>
      <c r="L27" s="697">
        <v>103889.41200000003</v>
      </c>
      <c r="M27" s="697">
        <v>103889.41200000003</v>
      </c>
      <c r="N27" s="697">
        <v>103889.41200000003</v>
      </c>
    </row>
    <row r="28" spans="1:17" s="558" customFormat="1" ht="4.1500000000000004" customHeight="1" outlineLevel="1" x14ac:dyDescent="0.2">
      <c r="G28" s="48"/>
    </row>
    <row r="29" spans="1:17" s="558" customFormat="1" outlineLevel="1" x14ac:dyDescent="0.2">
      <c r="F29" s="85" t="s">
        <v>1175</v>
      </c>
      <c r="G29" s="159"/>
      <c r="H29" s="101">
        <v>2830475.660098522</v>
      </c>
      <c r="I29" s="101">
        <v>2830475.660098522</v>
      </c>
      <c r="J29" s="101">
        <v>766115.41200000001</v>
      </c>
      <c r="K29" s="101">
        <v>766115.41200000001</v>
      </c>
      <c r="L29" s="101">
        <v>766115.41200000001</v>
      </c>
      <c r="M29" s="101">
        <v>766115.41200000001</v>
      </c>
      <c r="N29" s="101">
        <v>766115.41200000001</v>
      </c>
    </row>
    <row r="30" spans="1:17" s="558" customFormat="1" outlineLevel="1" x14ac:dyDescent="0.2">
      <c r="G30" s="48"/>
    </row>
    <row r="31" spans="1:17" s="558" customFormat="1" outlineLevel="1" x14ac:dyDescent="0.2">
      <c r="D31" s="55" t="s">
        <v>1180</v>
      </c>
      <c r="G31" s="48"/>
    </row>
    <row r="32" spans="1:17" s="558" customFormat="1" outlineLevel="1" x14ac:dyDescent="0.2">
      <c r="F32" s="558" t="s">
        <v>417</v>
      </c>
      <c r="G32" s="48" t="s">
        <v>943</v>
      </c>
      <c r="H32" s="53">
        <v>257826.65600000005</v>
      </c>
      <c r="I32" s="53">
        <v>257826.65600000005</v>
      </c>
      <c r="J32" s="53">
        <v>257826.65600000005</v>
      </c>
      <c r="K32" s="53">
        <v>257826.65600000005</v>
      </c>
      <c r="L32" s="53">
        <v>257826.65600000005</v>
      </c>
      <c r="M32" s="53">
        <v>257826.65600000005</v>
      </c>
      <c r="N32" s="53">
        <v>257826.65600000005</v>
      </c>
    </row>
    <row r="33" spans="2:17" s="558" customFormat="1" outlineLevel="1" x14ac:dyDescent="0.2">
      <c r="F33" s="558" t="s">
        <v>418</v>
      </c>
      <c r="G33" s="48" t="s">
        <v>943</v>
      </c>
      <c r="H33" s="53">
        <v>64456.664000000012</v>
      </c>
      <c r="I33" s="53">
        <v>64456.664000000012</v>
      </c>
      <c r="J33" s="53">
        <v>64456.664000000012</v>
      </c>
      <c r="K33" s="53">
        <v>64456.664000000012</v>
      </c>
      <c r="L33" s="53">
        <v>64456.664000000012</v>
      </c>
      <c r="M33" s="53">
        <v>64456.664000000012</v>
      </c>
      <c r="N33" s="53">
        <v>64456.664000000012</v>
      </c>
    </row>
    <row r="34" spans="2:17" s="558" customFormat="1" outlineLevel="1" x14ac:dyDescent="0.2">
      <c r="F34" s="558" t="s">
        <v>1167</v>
      </c>
      <c r="G34" s="6" t="s">
        <v>685</v>
      </c>
      <c r="H34" s="53">
        <v>50559.513840000007</v>
      </c>
      <c r="I34" s="53">
        <v>50559.513840000007</v>
      </c>
      <c r="J34" s="53">
        <v>50559.513840000007</v>
      </c>
      <c r="K34" s="53">
        <v>50559.513840000007</v>
      </c>
      <c r="L34" s="53">
        <v>50559.513840000007</v>
      </c>
      <c r="M34" s="53">
        <v>50559.513840000007</v>
      </c>
      <c r="N34" s="53">
        <v>50559.513840000007</v>
      </c>
    </row>
    <row r="35" spans="2:17" s="558" customFormat="1" ht="4.1500000000000004" customHeight="1" outlineLevel="1" x14ac:dyDescent="0.2">
      <c r="G35" s="6"/>
      <c r="H35" s="53"/>
      <c r="I35" s="53"/>
      <c r="J35" s="53"/>
      <c r="K35" s="53"/>
      <c r="L35" s="53"/>
      <c r="M35" s="53"/>
      <c r="N35" s="53"/>
    </row>
    <row r="36" spans="2:17" s="558" customFormat="1" outlineLevel="1" x14ac:dyDescent="0.2">
      <c r="F36" s="85" t="s">
        <v>1176</v>
      </c>
      <c r="G36" s="159" t="s">
        <v>42</v>
      </c>
      <c r="H36" s="101">
        <v>372842.83384000009</v>
      </c>
      <c r="I36" s="101">
        <v>372842.83384000009</v>
      </c>
      <c r="J36" s="101">
        <v>372842.83384000009</v>
      </c>
      <c r="K36" s="101">
        <v>372842.83384000009</v>
      </c>
      <c r="L36" s="101">
        <v>372842.83384000009</v>
      </c>
      <c r="M36" s="101">
        <v>372842.83384000009</v>
      </c>
      <c r="N36" s="101">
        <v>372842.83384000009</v>
      </c>
    </row>
    <row r="37" spans="2:17" s="558" customFormat="1" outlineLevel="1" x14ac:dyDescent="0.2">
      <c r="G37" s="48"/>
    </row>
    <row r="38" spans="2:17" s="558" customFormat="1" outlineLevel="1" x14ac:dyDescent="0.2">
      <c r="B38" s="38" t="s">
        <v>1173</v>
      </c>
      <c r="G38" s="48"/>
    </row>
    <row r="39" spans="2:17" outlineLevel="1" x14ac:dyDescent="0.2">
      <c r="D39" s="55" t="s">
        <v>1172</v>
      </c>
      <c r="G39" s="48"/>
      <c r="H39" s="154"/>
      <c r="I39" s="154"/>
      <c r="J39" s="154"/>
      <c r="K39" s="154"/>
      <c r="L39" s="154"/>
      <c r="M39" s="154"/>
      <c r="N39" s="154"/>
    </row>
    <row r="40" spans="2:17" s="558" customFormat="1" outlineLevel="1" x14ac:dyDescent="0.2">
      <c r="F40" s="558" t="s">
        <v>388</v>
      </c>
      <c r="G40" s="48"/>
      <c r="H40" s="154">
        <v>554.18719211822656</v>
      </c>
      <c r="I40" s="154">
        <v>554.18719211822656</v>
      </c>
      <c r="J40" s="154">
        <v>150</v>
      </c>
      <c r="K40" s="154">
        <v>150</v>
      </c>
      <c r="L40" s="154">
        <v>150</v>
      </c>
      <c r="M40" s="154">
        <v>150</v>
      </c>
      <c r="N40" s="154">
        <v>150</v>
      </c>
      <c r="P40" s="7" t="s">
        <v>289</v>
      </c>
      <c r="Q40" s="417" t="s">
        <v>982</v>
      </c>
    </row>
    <row r="41" spans="2:17" s="558" customFormat="1" outlineLevel="1" x14ac:dyDescent="0.2">
      <c r="G41" s="48"/>
      <c r="H41" s="154"/>
      <c r="I41" s="154"/>
      <c r="J41" s="154"/>
      <c r="K41" s="154"/>
      <c r="L41" s="154"/>
      <c r="M41" s="154"/>
      <c r="N41" s="154"/>
    </row>
    <row r="42" spans="2:17" s="58" customFormat="1" outlineLevel="1" x14ac:dyDescent="0.2">
      <c r="D42" s="55" t="s">
        <v>1180</v>
      </c>
      <c r="G42" s="48"/>
      <c r="H42" s="154"/>
      <c r="I42" s="154"/>
      <c r="J42" s="154"/>
      <c r="K42" s="154"/>
      <c r="L42" s="154"/>
      <c r="M42" s="154"/>
      <c r="N42" s="154"/>
    </row>
    <row r="43" spans="2:17" s="58" customFormat="1" outlineLevel="1" x14ac:dyDescent="0.2">
      <c r="F43" s="58" t="s">
        <v>388</v>
      </c>
      <c r="G43" s="48" t="s">
        <v>57</v>
      </c>
      <c r="H43" s="37">
        <v>58.400000000000006</v>
      </c>
      <c r="I43" s="37">
        <v>58.400000000000006</v>
      </c>
      <c r="J43" s="37">
        <v>58.400000000000006</v>
      </c>
      <c r="K43" s="37">
        <v>58.400000000000006</v>
      </c>
      <c r="L43" s="37">
        <v>58.400000000000006</v>
      </c>
      <c r="M43" s="37">
        <v>58.400000000000006</v>
      </c>
      <c r="N43" s="37">
        <v>58.400000000000006</v>
      </c>
      <c r="P43" s="7" t="s">
        <v>289</v>
      </c>
      <c r="Q43" s="417" t="s">
        <v>740</v>
      </c>
    </row>
    <row r="44" spans="2:17" s="58" customFormat="1" outlineLevel="1" x14ac:dyDescent="0.2">
      <c r="F44" s="58" t="s">
        <v>389</v>
      </c>
      <c r="G44" s="48" t="s">
        <v>57</v>
      </c>
      <c r="H44" s="37">
        <v>14.600000000000001</v>
      </c>
      <c r="I44" s="37">
        <v>14.600000000000001</v>
      </c>
      <c r="J44" s="37">
        <v>14.600000000000001</v>
      </c>
      <c r="K44" s="37">
        <v>14.600000000000001</v>
      </c>
      <c r="L44" s="37">
        <v>14.600000000000001</v>
      </c>
      <c r="M44" s="37">
        <v>14.600000000000001</v>
      </c>
      <c r="N44" s="37">
        <v>14.600000000000001</v>
      </c>
      <c r="P44" s="7" t="s">
        <v>289</v>
      </c>
      <c r="Q44" s="417" t="s">
        <v>740</v>
      </c>
    </row>
    <row r="45" spans="2:17" s="558" customFormat="1" ht="4.1500000000000004" customHeight="1" outlineLevel="1" x14ac:dyDescent="0.2">
      <c r="G45" s="48"/>
      <c r="H45" s="37"/>
      <c r="I45" s="37"/>
      <c r="J45" s="37"/>
      <c r="K45" s="37"/>
      <c r="L45" s="37"/>
      <c r="M45" s="37"/>
      <c r="N45" s="37"/>
    </row>
    <row r="46" spans="2:17" s="58" customFormat="1" outlineLevel="1" x14ac:dyDescent="0.2">
      <c r="F46" s="38" t="s">
        <v>1190</v>
      </c>
      <c r="G46" s="48"/>
      <c r="H46" s="732">
        <v>73</v>
      </c>
      <c r="I46" s="732">
        <v>73</v>
      </c>
      <c r="J46" s="732">
        <v>73</v>
      </c>
      <c r="K46" s="732">
        <v>73</v>
      </c>
      <c r="L46" s="732">
        <v>73</v>
      </c>
      <c r="M46" s="732">
        <v>73</v>
      </c>
      <c r="N46" s="732">
        <v>73</v>
      </c>
    </row>
    <row r="47" spans="2:17" s="558" customFormat="1" ht="4.1500000000000004" customHeight="1" outlineLevel="1" x14ac:dyDescent="0.2">
      <c r="G47" s="48"/>
      <c r="H47" s="37"/>
      <c r="I47" s="37"/>
      <c r="J47" s="37"/>
      <c r="K47" s="37"/>
      <c r="L47" s="37"/>
      <c r="M47" s="37"/>
      <c r="N47" s="37"/>
    </row>
    <row r="48" spans="2:17" s="58" customFormat="1" outlineLevel="1" x14ac:dyDescent="0.2">
      <c r="F48" s="85" t="s">
        <v>983</v>
      </c>
      <c r="G48" s="159" t="s">
        <v>57</v>
      </c>
      <c r="H48" s="101">
        <v>627.18719211822656</v>
      </c>
      <c r="I48" s="101">
        <v>627.18719211822656</v>
      </c>
      <c r="J48" s="101">
        <v>223</v>
      </c>
      <c r="K48" s="101">
        <v>223</v>
      </c>
      <c r="L48" s="101">
        <v>223</v>
      </c>
      <c r="M48" s="101">
        <v>223</v>
      </c>
      <c r="N48" s="101">
        <v>223</v>
      </c>
    </row>
    <row r="49" spans="1:17" s="558" customFormat="1" outlineLevel="1" x14ac:dyDescent="0.2"/>
    <row r="50" spans="1:17" ht="12.75" x14ac:dyDescent="0.2">
      <c r="A50" s="227" t="s">
        <v>523</v>
      </c>
      <c r="B50" s="80" t="s">
        <v>522</v>
      </c>
      <c r="G50" s="48"/>
    </row>
    <row r="51" spans="1:17" ht="15.75" thickBot="1" x14ac:dyDescent="0.3">
      <c r="A51" s="10" t="s">
        <v>31</v>
      </c>
      <c r="B51" s="10"/>
      <c r="C51" s="10"/>
      <c r="D51" s="10"/>
      <c r="E51" s="10"/>
      <c r="F51" s="10"/>
      <c r="G51" s="49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x14ac:dyDescent="0.2">
      <c r="G52" s="48"/>
    </row>
    <row r="53" spans="1:17" s="58" customFormat="1" x14ac:dyDescent="0.2">
      <c r="F53" s="79" t="s">
        <v>377</v>
      </c>
      <c r="H53" s="61" t="s">
        <v>991</v>
      </c>
    </row>
    <row r="54" spans="1:17" s="58" customFormat="1" x14ac:dyDescent="0.2">
      <c r="F54" s="58" t="s">
        <v>379</v>
      </c>
      <c r="G54" s="48" t="s">
        <v>402</v>
      </c>
      <c r="H54" s="158">
        <v>4414.84</v>
      </c>
      <c r="I54" s="6" t="s">
        <v>1045</v>
      </c>
      <c r="P54" s="7" t="s">
        <v>289</v>
      </c>
      <c r="Q54" s="417" t="s">
        <v>740</v>
      </c>
    </row>
    <row r="55" spans="1:17" s="58" customFormat="1" x14ac:dyDescent="0.2">
      <c r="F55" s="58" t="s">
        <v>380</v>
      </c>
      <c r="G55" s="48" t="s">
        <v>402</v>
      </c>
      <c r="H55" s="158">
        <v>4414.84</v>
      </c>
      <c r="I55" s="6" t="s">
        <v>1045</v>
      </c>
      <c r="P55" s="7" t="s">
        <v>289</v>
      </c>
      <c r="Q55" s="417" t="s">
        <v>740</v>
      </c>
    </row>
    <row r="56" spans="1:17" s="58" customFormat="1" x14ac:dyDescent="0.2">
      <c r="F56" s="58" t="s">
        <v>378</v>
      </c>
      <c r="G56" s="48" t="s">
        <v>402</v>
      </c>
      <c r="H56" s="158">
        <v>692.59608000000014</v>
      </c>
      <c r="I56" s="6" t="s">
        <v>1046</v>
      </c>
      <c r="P56" s="7" t="s">
        <v>289</v>
      </c>
      <c r="Q56" s="417" t="s">
        <v>740</v>
      </c>
    </row>
    <row r="57" spans="1:17" s="58" customFormat="1" x14ac:dyDescent="0.2">
      <c r="G57" s="48"/>
    </row>
    <row r="58" spans="1:17" s="431" customFormat="1" ht="12.75" x14ac:dyDescent="0.2">
      <c r="H58" s="604" t="s">
        <v>251</v>
      </c>
      <c r="I58" s="604" t="s">
        <v>252</v>
      </c>
      <c r="J58" s="604" t="s">
        <v>253</v>
      </c>
      <c r="K58" s="604" t="s">
        <v>254</v>
      </c>
      <c r="L58" s="604" t="s">
        <v>255</v>
      </c>
      <c r="M58" s="604" t="s">
        <v>256</v>
      </c>
      <c r="N58" s="604" t="s">
        <v>257</v>
      </c>
    </row>
    <row r="59" spans="1:17" s="431" customFormat="1" x14ac:dyDescent="0.2">
      <c r="F59" s="431" t="s">
        <v>1024</v>
      </c>
      <c r="H59" s="496">
        <v>1.0037014</v>
      </c>
      <c r="I59" s="496">
        <v>1.0075221999999999</v>
      </c>
      <c r="J59" s="496">
        <v>1.0122385</v>
      </c>
      <c r="K59" s="496">
        <v>1.0186861</v>
      </c>
      <c r="L59" s="496">
        <v>1.0261486</v>
      </c>
      <c r="M59" s="496">
        <v>1.0329543999999999</v>
      </c>
      <c r="N59" s="496">
        <v>1.0390438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theme="5" tint="0.39997558519241921"/>
  </sheetPr>
  <dimension ref="A1:R62"/>
  <sheetViews>
    <sheetView showGridLines="0" zoomScale="115" zoomScaleNormal="115" workbookViewId="0">
      <selection activeCell="J40" sqref="J40"/>
    </sheetView>
  </sheetViews>
  <sheetFormatPr defaultRowHeight="12" outlineLevelRow="1" x14ac:dyDescent="0.2"/>
  <cols>
    <col min="1" max="1" width="7.5" customWidth="1"/>
    <col min="2" max="5" width="2.5" customWidth="1"/>
    <col min="6" max="6" width="34.1640625" customWidth="1"/>
    <col min="7" max="7" width="17" bestFit="1" customWidth="1"/>
    <col min="8" max="8" width="18.6640625" customWidth="1"/>
    <col min="9" max="9" width="13" customWidth="1"/>
    <col min="10" max="10" width="15.5" customWidth="1"/>
    <col min="11" max="11" width="13.33203125" customWidth="1"/>
    <col min="12" max="12" width="11.6640625" customWidth="1"/>
    <col min="13" max="14" width="13.6640625" customWidth="1"/>
    <col min="15" max="15" width="4.6640625" customWidth="1"/>
    <col min="16" max="16" width="30" customWidth="1"/>
    <col min="17" max="17" width="75.6640625" bestFit="1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572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1174</v>
      </c>
      <c r="B2" s="4"/>
      <c r="C2" s="4"/>
      <c r="D2" s="4"/>
      <c r="E2" s="4"/>
      <c r="F2" s="4"/>
      <c r="G2" s="4"/>
      <c r="H2" s="4" t="s">
        <v>412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G6" s="48"/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36"/>
      <c r="C7" s="36"/>
      <c r="D7" s="36"/>
      <c r="E7" s="36"/>
      <c r="F7" s="36"/>
      <c r="G7" s="36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</row>
    <row r="8" spans="1:18" s="558" customFormat="1" ht="15" x14ac:dyDescent="0.25">
      <c r="A8" s="36"/>
      <c r="B8" s="36"/>
      <c r="C8" s="36"/>
      <c r="D8" s="36"/>
      <c r="E8" s="36"/>
      <c r="F8" s="558" t="s">
        <v>1172</v>
      </c>
      <c r="G8" s="36"/>
      <c r="H8" s="53">
        <v>12662.353475496462</v>
      </c>
      <c r="I8" s="53">
        <v>12710.555381122154</v>
      </c>
      <c r="J8" s="53">
        <v>12770.054608378872</v>
      </c>
      <c r="K8" s="53">
        <v>12851.395324122232</v>
      </c>
      <c r="L8" s="53">
        <v>12945.539671047414</v>
      </c>
      <c r="M8" s="53">
        <v>13031.399315443181</v>
      </c>
      <c r="N8" s="53">
        <v>13108.221102534131</v>
      </c>
      <c r="O8" s="36"/>
      <c r="P8" s="36"/>
      <c r="Q8" s="36"/>
    </row>
    <row r="9" spans="1:18" s="558" customFormat="1" ht="15" x14ac:dyDescent="0.25">
      <c r="A9" s="36"/>
      <c r="B9" s="36"/>
      <c r="C9" s="36"/>
      <c r="D9" s="36"/>
      <c r="E9" s="36"/>
      <c r="F9" s="148" t="s">
        <v>1180</v>
      </c>
      <c r="G9" s="36"/>
      <c r="H9" s="53">
        <v>12350.102848041339</v>
      </c>
      <c r="I9" s="53">
        <v>12397.116106129648</v>
      </c>
      <c r="J9" s="53">
        <v>12455.148096582405</v>
      </c>
      <c r="K9" s="53">
        <v>12534.482969606424</v>
      </c>
      <c r="L9" s="53">
        <v>12626.305739310152</v>
      </c>
      <c r="M9" s="53">
        <v>12710.04810527995</v>
      </c>
      <c r="N9" s="53">
        <v>12784.975485358191</v>
      </c>
      <c r="O9" s="36"/>
      <c r="P9" s="36"/>
      <c r="Q9" s="36"/>
    </row>
    <row r="10" spans="1:18" s="558" customFormat="1" ht="15" x14ac:dyDescent="0.25">
      <c r="A10" s="36"/>
      <c r="B10" s="36"/>
      <c r="C10" s="36"/>
      <c r="D10" s="36"/>
      <c r="E10" s="36"/>
      <c r="F10" s="588" t="s">
        <v>1042</v>
      </c>
      <c r="G10" s="610" t="s">
        <v>1034</v>
      </c>
      <c r="H10" s="495">
        <v>25012.456323537801</v>
      </c>
      <c r="I10" s="495">
        <v>25107.671487251802</v>
      </c>
      <c r="J10" s="495">
        <v>25225.202704961277</v>
      </c>
      <c r="K10" s="495">
        <v>25385.878293728656</v>
      </c>
      <c r="L10" s="495">
        <v>25571.845410357564</v>
      </c>
      <c r="M10" s="495">
        <v>25741.447420723132</v>
      </c>
      <c r="N10" s="495">
        <v>25893.196587892322</v>
      </c>
      <c r="O10" s="36"/>
      <c r="P10" s="36"/>
      <c r="Q10" s="36"/>
    </row>
    <row r="11" spans="1:18" s="558" customFormat="1" ht="15" x14ac:dyDescent="0.25">
      <c r="A11" s="36"/>
      <c r="B11" s="36"/>
      <c r="C11" s="36"/>
      <c r="D11" s="36"/>
      <c r="E11" s="36"/>
      <c r="F11" s="36"/>
      <c r="G11" s="54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8" s="558" customFormat="1" ht="15" x14ac:dyDescent="0.25">
      <c r="A12" s="36"/>
      <c r="B12" s="38" t="s">
        <v>1187</v>
      </c>
      <c r="C12" s="36"/>
      <c r="D12" s="36"/>
      <c r="E12" s="36"/>
      <c r="F12" s="36"/>
      <c r="G12" s="54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8" s="558" customFormat="1" ht="15" x14ac:dyDescent="0.25">
      <c r="A13" s="36"/>
      <c r="B13" s="38"/>
      <c r="C13" s="36"/>
      <c r="D13" s="36"/>
      <c r="E13" s="36"/>
      <c r="F13" s="558" t="s">
        <v>1172</v>
      </c>
      <c r="G13" s="54"/>
      <c r="H13" s="53">
        <v>11989.27585396736</v>
      </c>
      <c r="I13" s="53">
        <v>12034.915548385279</v>
      </c>
      <c r="J13" s="53">
        <v>12091.252046182401</v>
      </c>
      <c r="K13" s="53">
        <v>12168.269030512642</v>
      </c>
      <c r="L13" s="53">
        <v>12257.40905867264</v>
      </c>
      <c r="M13" s="53">
        <v>12338.704764354559</v>
      </c>
      <c r="N13" s="53">
        <v>12411.44302733312</v>
      </c>
      <c r="O13" s="36"/>
      <c r="P13" s="36"/>
      <c r="Q13" s="36"/>
    </row>
    <row r="14" spans="1:18" s="558" customFormat="1" ht="15" x14ac:dyDescent="0.25">
      <c r="A14" s="36"/>
      <c r="B14" s="38"/>
      <c r="C14" s="36"/>
      <c r="D14" s="36"/>
      <c r="E14" s="36"/>
      <c r="F14" s="148" t="s">
        <v>1180</v>
      </c>
      <c r="G14" s="54"/>
      <c r="H14" s="53">
        <v>11693.623160699999</v>
      </c>
      <c r="I14" s="53">
        <v>11738.137391099999</v>
      </c>
      <c r="J14" s="53">
        <v>11793.084644250001</v>
      </c>
      <c r="K14" s="53">
        <v>11868.20240805</v>
      </c>
      <c r="L14" s="53">
        <v>11955.144264299999</v>
      </c>
      <c r="M14" s="53">
        <v>12034.435237199999</v>
      </c>
      <c r="N14" s="53">
        <v>12105.379791899999</v>
      </c>
      <c r="O14" s="36"/>
      <c r="P14" s="36"/>
      <c r="Q14" s="36"/>
    </row>
    <row r="15" spans="1:18" x14ac:dyDescent="0.2">
      <c r="F15" s="85" t="s">
        <v>870</v>
      </c>
      <c r="G15" s="726" t="s">
        <v>869</v>
      </c>
      <c r="H15" s="88">
        <v>23682.89901466736</v>
      </c>
      <c r="I15" s="88">
        <v>23773.052939485278</v>
      </c>
      <c r="J15" s="88">
        <v>23884.336690432399</v>
      </c>
      <c r="K15" s="88">
        <v>24036.471438562643</v>
      </c>
      <c r="L15" s="88">
        <v>24212.553322972639</v>
      </c>
      <c r="M15" s="88">
        <v>24373.140001554559</v>
      </c>
      <c r="N15" s="88">
        <v>24516.822819233119</v>
      </c>
    </row>
    <row r="16" spans="1:18" x14ac:dyDescent="0.2">
      <c r="F16" s="558"/>
      <c r="G16" s="48"/>
      <c r="H16" s="558"/>
      <c r="I16" s="558"/>
      <c r="J16" s="558"/>
      <c r="K16" s="558"/>
      <c r="L16" s="558"/>
      <c r="M16" s="558"/>
      <c r="N16" s="558"/>
    </row>
    <row r="17" spans="1:17" s="558" customFormat="1" x14ac:dyDescent="0.2">
      <c r="F17" s="558" t="s">
        <v>1172</v>
      </c>
      <c r="G17" s="48"/>
      <c r="H17" s="53">
        <v>11945.062400000001</v>
      </c>
      <c r="I17" s="53">
        <v>11945.062400000001</v>
      </c>
      <c r="J17" s="53">
        <v>11945.062400000001</v>
      </c>
      <c r="K17" s="53">
        <v>11945.062400000001</v>
      </c>
      <c r="L17" s="53">
        <v>11945.062400000001</v>
      </c>
      <c r="M17" s="53">
        <v>11945.062400000001</v>
      </c>
      <c r="N17" s="53">
        <v>11945.062400000001</v>
      </c>
    </row>
    <row r="18" spans="1:17" s="558" customFormat="1" x14ac:dyDescent="0.2">
      <c r="F18" s="148" t="s">
        <v>1180</v>
      </c>
      <c r="G18" s="48"/>
      <c r="H18" s="53">
        <v>11650.5</v>
      </c>
      <c r="I18" s="53">
        <v>11650.5</v>
      </c>
      <c r="J18" s="53">
        <v>11650.5</v>
      </c>
      <c r="K18" s="53">
        <v>11650.5</v>
      </c>
      <c r="L18" s="53">
        <v>11650.5</v>
      </c>
      <c r="M18" s="53">
        <v>11650.5</v>
      </c>
      <c r="N18" s="53">
        <v>11650.5</v>
      </c>
    </row>
    <row r="19" spans="1:17" s="558" customFormat="1" x14ac:dyDescent="0.2">
      <c r="F19" s="85" t="s">
        <v>1055</v>
      </c>
      <c r="G19" s="726" t="s">
        <v>869</v>
      </c>
      <c r="H19" s="88">
        <v>23595.562400000003</v>
      </c>
      <c r="I19" s="88">
        <v>23595.562400000003</v>
      </c>
      <c r="J19" s="88">
        <v>23595.562400000003</v>
      </c>
      <c r="K19" s="88">
        <v>23595.562400000003</v>
      </c>
      <c r="L19" s="88">
        <v>23595.562400000003</v>
      </c>
      <c r="M19" s="88">
        <v>23595.562400000003</v>
      </c>
      <c r="N19" s="88">
        <v>23595.562400000003</v>
      </c>
    </row>
    <row r="20" spans="1:17" s="558" customFormat="1" x14ac:dyDescent="0.2">
      <c r="G20" s="48"/>
    </row>
    <row r="21" spans="1:17" ht="15.75" thickBot="1" x14ac:dyDescent="0.3">
      <c r="A21" s="10" t="s">
        <v>37</v>
      </c>
      <c r="B21" s="10"/>
      <c r="C21" s="10"/>
      <c r="D21" s="10"/>
      <c r="E21" s="10"/>
      <c r="F21" s="10"/>
      <c r="G21" s="49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2.75" x14ac:dyDescent="0.2">
      <c r="G22" s="48"/>
      <c r="H22" s="43" t="s">
        <v>251</v>
      </c>
      <c r="I22" s="43" t="s">
        <v>252</v>
      </c>
      <c r="J22" s="43" t="s">
        <v>253</v>
      </c>
      <c r="K22" s="43" t="s">
        <v>254</v>
      </c>
      <c r="L22" s="43" t="s">
        <v>255</v>
      </c>
      <c r="M22" s="43" t="s">
        <v>256</v>
      </c>
      <c r="N22" s="43" t="s">
        <v>257</v>
      </c>
      <c r="P22" s="5"/>
      <c r="Q22" s="5"/>
    </row>
    <row r="24" spans="1:17" outlineLevel="1" x14ac:dyDescent="0.2">
      <c r="B24" s="38" t="s">
        <v>1177</v>
      </c>
      <c r="G24" s="48"/>
      <c r="H24" s="48"/>
      <c r="I24" s="48"/>
      <c r="J24" s="48"/>
      <c r="K24" s="48"/>
      <c r="L24" s="48"/>
      <c r="M24" s="48"/>
      <c r="N24" s="48"/>
    </row>
    <row r="25" spans="1:17" s="558" customFormat="1" outlineLevel="1" x14ac:dyDescent="0.2">
      <c r="D25" s="55" t="s">
        <v>1172</v>
      </c>
      <c r="G25" s="48"/>
      <c r="H25" s="48"/>
      <c r="I25" s="48"/>
      <c r="J25" s="48"/>
      <c r="K25" s="48"/>
      <c r="L25" s="48"/>
      <c r="M25" s="48"/>
      <c r="N25" s="48"/>
    </row>
    <row r="26" spans="1:17" s="558" customFormat="1" ht="4.1500000000000004" customHeight="1" outlineLevel="1" x14ac:dyDescent="0.2">
      <c r="G26" s="48"/>
    </row>
    <row r="27" spans="1:17" s="58" customFormat="1" outlineLevel="1" x14ac:dyDescent="0.2">
      <c r="B27" s="6"/>
      <c r="F27" s="58" t="s">
        <v>417</v>
      </c>
      <c r="G27" s="48" t="s">
        <v>943</v>
      </c>
      <c r="H27" s="775"/>
      <c r="I27" s="775"/>
      <c r="J27" s="775"/>
      <c r="K27" s="775"/>
      <c r="L27" s="775"/>
      <c r="M27" s="775"/>
      <c r="N27" s="775"/>
    </row>
    <row r="28" spans="1:17" s="58" customFormat="1" outlineLevel="1" x14ac:dyDescent="0.2">
      <c r="B28" s="6"/>
      <c r="F28" s="58" t="s">
        <v>418</v>
      </c>
      <c r="G28" s="48" t="s">
        <v>943</v>
      </c>
      <c r="H28" s="53">
        <v>6280</v>
      </c>
      <c r="I28" s="53">
        <v>6280</v>
      </c>
      <c r="J28" s="53">
        <v>6280</v>
      </c>
      <c r="K28" s="53">
        <v>6280</v>
      </c>
      <c r="L28" s="53">
        <v>6280</v>
      </c>
      <c r="M28" s="53">
        <v>6280</v>
      </c>
      <c r="N28" s="53">
        <v>6280</v>
      </c>
    </row>
    <row r="29" spans="1:17" s="58" customFormat="1" outlineLevel="1" x14ac:dyDescent="0.2">
      <c r="B29" s="6"/>
      <c r="F29" s="58" t="s">
        <v>1044</v>
      </c>
      <c r="G29" s="6" t="s">
        <v>685</v>
      </c>
      <c r="H29" s="775"/>
      <c r="I29" s="775"/>
      <c r="J29" s="775"/>
      <c r="K29" s="775"/>
      <c r="L29" s="775"/>
      <c r="M29" s="775"/>
      <c r="N29" s="775"/>
    </row>
    <row r="30" spans="1:17" s="386" customFormat="1" ht="4.1500000000000004" customHeight="1" outlineLevel="1" x14ac:dyDescent="0.2">
      <c r="B30" s="6"/>
      <c r="H30" s="53"/>
      <c r="I30" s="53"/>
      <c r="J30" s="53"/>
      <c r="K30" s="53"/>
      <c r="L30" s="53"/>
      <c r="M30" s="53"/>
      <c r="N30" s="53"/>
    </row>
    <row r="31" spans="1:17" s="58" customFormat="1" outlineLevel="1" x14ac:dyDescent="0.2">
      <c r="B31" s="6"/>
      <c r="F31" s="85" t="s">
        <v>1175</v>
      </c>
      <c r="G31" s="159" t="s">
        <v>42</v>
      </c>
      <c r="H31" s="101">
        <v>11945.062400000001</v>
      </c>
      <c r="I31" s="101">
        <v>11945.062400000001</v>
      </c>
      <c r="J31" s="101">
        <v>11945.062400000001</v>
      </c>
      <c r="K31" s="101">
        <v>11945.062400000001</v>
      </c>
      <c r="L31" s="101">
        <v>11945.062400000001</v>
      </c>
      <c r="M31" s="101">
        <v>11945.062400000001</v>
      </c>
      <c r="N31" s="101">
        <v>11945.062400000001</v>
      </c>
    </row>
    <row r="32" spans="1:17" s="558" customFormat="1" outlineLevel="1" x14ac:dyDescent="0.2">
      <c r="G32" s="48"/>
      <c r="H32" s="48"/>
      <c r="I32" s="48"/>
      <c r="J32" s="48"/>
      <c r="K32" s="48"/>
      <c r="L32" s="48"/>
      <c r="M32" s="48"/>
      <c r="N32" s="48"/>
    </row>
    <row r="33" spans="1:17" s="558" customFormat="1" outlineLevel="1" x14ac:dyDescent="0.2">
      <c r="D33" s="55" t="s">
        <v>1180</v>
      </c>
      <c r="G33" s="48"/>
      <c r="H33" s="48"/>
      <c r="I33" s="48"/>
      <c r="J33" s="48"/>
      <c r="K33" s="48"/>
      <c r="L33" s="48"/>
      <c r="M33" s="48"/>
      <c r="N33" s="48"/>
    </row>
    <row r="34" spans="1:17" s="558" customFormat="1" outlineLevel="1" x14ac:dyDescent="0.2">
      <c r="F34" s="58" t="s">
        <v>1043</v>
      </c>
      <c r="G34" s="6" t="s">
        <v>685</v>
      </c>
      <c r="H34" s="766">
        <v>11650.5</v>
      </c>
      <c r="I34" s="766">
        <v>11650.5</v>
      </c>
      <c r="J34" s="766">
        <v>11650.5</v>
      </c>
      <c r="K34" s="766">
        <v>11650.5</v>
      </c>
      <c r="L34" s="766">
        <v>11650.5</v>
      </c>
      <c r="M34" s="766">
        <v>11650.5</v>
      </c>
      <c r="N34" s="766">
        <v>11650.5</v>
      </c>
    </row>
    <row r="35" spans="1:17" s="558" customFormat="1" outlineLevel="1" x14ac:dyDescent="0.2">
      <c r="G35" s="48"/>
      <c r="H35" s="48"/>
      <c r="I35" s="48"/>
      <c r="J35" s="48"/>
      <c r="K35" s="48"/>
      <c r="L35" s="48"/>
      <c r="M35" s="48"/>
      <c r="N35" s="48"/>
    </row>
    <row r="36" spans="1:17" s="558" customFormat="1" outlineLevel="1" x14ac:dyDescent="0.2">
      <c r="B36" s="38" t="s">
        <v>1192</v>
      </c>
      <c r="G36" s="48"/>
      <c r="H36" s="48"/>
      <c r="I36" s="48"/>
      <c r="J36" s="48"/>
      <c r="K36" s="48"/>
      <c r="L36" s="48"/>
      <c r="M36" s="48"/>
      <c r="N36" s="48"/>
    </row>
    <row r="37" spans="1:17" outlineLevel="1" x14ac:dyDescent="0.2">
      <c r="D37" s="55" t="s">
        <v>1180</v>
      </c>
      <c r="G37" s="48" t="s">
        <v>57</v>
      </c>
      <c r="H37" s="37">
        <v>245.5</v>
      </c>
      <c r="I37" s="37">
        <v>245.5</v>
      </c>
      <c r="J37" s="37">
        <v>245.5</v>
      </c>
      <c r="K37" s="37">
        <v>245.5</v>
      </c>
      <c r="L37" s="37">
        <v>245.5</v>
      </c>
      <c r="M37" s="37">
        <v>245.5</v>
      </c>
      <c r="N37" s="37">
        <v>245.5</v>
      </c>
      <c r="P37" s="7" t="s">
        <v>360</v>
      </c>
      <c r="Q37" s="417" t="s">
        <v>1047</v>
      </c>
    </row>
    <row r="38" spans="1:17" s="58" customFormat="1" outlineLevel="1" x14ac:dyDescent="0.2">
      <c r="G38" s="48"/>
      <c r="H38" s="154"/>
      <c r="I38" s="154"/>
      <c r="J38" s="154"/>
      <c r="K38" s="154"/>
      <c r="L38" s="154"/>
      <c r="M38" s="154"/>
      <c r="N38" s="154"/>
    </row>
    <row r="39" spans="1:17" s="58" customFormat="1" outlineLevel="1" x14ac:dyDescent="0.2">
      <c r="D39" s="55" t="s">
        <v>1172</v>
      </c>
      <c r="G39" s="48"/>
      <c r="H39" s="154"/>
      <c r="I39" s="154"/>
      <c r="J39" s="154"/>
      <c r="K39" s="154"/>
      <c r="L39" s="154"/>
      <c r="M39" s="154"/>
      <c r="N39" s="154"/>
    </row>
    <row r="40" spans="1:17" s="58" customFormat="1" outlineLevel="1" x14ac:dyDescent="0.2">
      <c r="F40" s="58" t="s">
        <v>391</v>
      </c>
      <c r="G40" s="48" t="s">
        <v>57</v>
      </c>
      <c r="H40" s="37">
        <v>20</v>
      </c>
      <c r="I40" s="37">
        <v>20</v>
      </c>
      <c r="J40" s="37">
        <v>20</v>
      </c>
      <c r="K40" s="37">
        <v>20</v>
      </c>
      <c r="L40" s="37">
        <v>20</v>
      </c>
      <c r="M40" s="37">
        <v>20</v>
      </c>
      <c r="N40" s="37">
        <v>20</v>
      </c>
      <c r="P40" s="7" t="s">
        <v>289</v>
      </c>
      <c r="Q40" s="417" t="s">
        <v>740</v>
      </c>
    </row>
    <row r="41" spans="1:17" s="58" customFormat="1" outlineLevel="1" x14ac:dyDescent="0.2">
      <c r="F41" s="58" t="s">
        <v>392</v>
      </c>
      <c r="G41" s="48" t="s">
        <v>57</v>
      </c>
      <c r="H41" s="37">
        <v>100</v>
      </c>
      <c r="I41" s="37">
        <v>100</v>
      </c>
      <c r="J41" s="37">
        <v>100</v>
      </c>
      <c r="K41" s="37">
        <v>100</v>
      </c>
      <c r="L41" s="37">
        <v>100</v>
      </c>
      <c r="M41" s="37">
        <v>100</v>
      </c>
      <c r="N41" s="37">
        <v>100</v>
      </c>
      <c r="P41" s="7" t="s">
        <v>289</v>
      </c>
      <c r="Q41" s="417" t="s">
        <v>740</v>
      </c>
    </row>
    <row r="42" spans="1:17" s="58" customFormat="1" ht="4.1500000000000004" customHeight="1" outlineLevel="1" x14ac:dyDescent="0.2">
      <c r="G42" s="48"/>
      <c r="H42" s="37"/>
      <c r="I42" s="37"/>
      <c r="J42" s="37"/>
      <c r="K42" s="37"/>
      <c r="L42" s="37"/>
      <c r="M42" s="37"/>
      <c r="N42" s="37"/>
    </row>
    <row r="43" spans="1:17" outlineLevel="1" x14ac:dyDescent="0.2">
      <c r="F43" s="85" t="s">
        <v>404</v>
      </c>
      <c r="G43" s="159" t="s">
        <v>57</v>
      </c>
      <c r="H43" s="101">
        <v>120</v>
      </c>
      <c r="I43" s="101">
        <v>120</v>
      </c>
      <c r="J43" s="101">
        <v>120</v>
      </c>
      <c r="K43" s="101">
        <v>120</v>
      </c>
      <c r="L43" s="101">
        <v>120</v>
      </c>
      <c r="M43" s="101">
        <v>120</v>
      </c>
      <c r="N43" s="101">
        <v>120</v>
      </c>
    </row>
    <row r="44" spans="1:17" s="558" customFormat="1" outlineLevel="1" x14ac:dyDescent="0.2"/>
    <row r="45" spans="1:17" s="386" customFormat="1" ht="12.75" x14ac:dyDescent="0.2">
      <c r="A45" s="227" t="s">
        <v>523</v>
      </c>
      <c r="B45" s="80" t="s">
        <v>522</v>
      </c>
      <c r="G45" s="48"/>
    </row>
    <row r="46" spans="1:17" ht="15.75" thickBot="1" x14ac:dyDescent="0.3">
      <c r="A46" s="10" t="s">
        <v>31</v>
      </c>
      <c r="B46" s="10"/>
      <c r="C46" s="10"/>
      <c r="D46" s="10"/>
      <c r="E46" s="10"/>
      <c r="F46" s="10"/>
      <c r="G46" s="49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">
      <c r="G47" s="48"/>
    </row>
    <row r="48" spans="1:17" s="58" customFormat="1" x14ac:dyDescent="0.2">
      <c r="E48" s="38" t="s">
        <v>405</v>
      </c>
      <c r="G48" s="48"/>
      <c r="H48" s="61" t="s">
        <v>991</v>
      </c>
    </row>
    <row r="49" spans="5:17" x14ac:dyDescent="0.2">
      <c r="F49" s="13" t="s">
        <v>985</v>
      </c>
      <c r="G49" s="48" t="s">
        <v>42</v>
      </c>
      <c r="H49" s="158">
        <v>47.456211812627288</v>
      </c>
      <c r="J49" s="58"/>
      <c r="P49" s="7" t="s">
        <v>288</v>
      </c>
      <c r="Q49" s="8" t="s">
        <v>403</v>
      </c>
    </row>
    <row r="50" spans="5:17" x14ac:dyDescent="0.2">
      <c r="G50" s="48"/>
    </row>
    <row r="51" spans="5:17" x14ac:dyDescent="0.2">
      <c r="F51" s="13" t="s">
        <v>405</v>
      </c>
      <c r="H51" s="61" t="s">
        <v>366</v>
      </c>
      <c r="I51" s="61" t="s">
        <v>363</v>
      </c>
      <c r="J51" s="61" t="s">
        <v>364</v>
      </c>
      <c r="K51" s="61" t="s">
        <v>367</v>
      </c>
      <c r="L51" s="61" t="s">
        <v>368</v>
      </c>
      <c r="M51" s="61" t="s">
        <v>231</v>
      </c>
      <c r="P51" s="7" t="s">
        <v>360</v>
      </c>
      <c r="Q51" s="8" t="s">
        <v>365</v>
      </c>
    </row>
    <row r="52" spans="5:17" x14ac:dyDescent="0.2">
      <c r="H52" s="61" t="s">
        <v>361</v>
      </c>
      <c r="I52" s="61">
        <v>322</v>
      </c>
      <c r="J52" s="61">
        <v>2</v>
      </c>
      <c r="K52" s="777"/>
      <c r="L52" s="778"/>
      <c r="M52" s="778"/>
      <c r="P52" s="7" t="s">
        <v>360</v>
      </c>
      <c r="Q52" s="8" t="s">
        <v>406</v>
      </c>
    </row>
    <row r="53" spans="5:17" x14ac:dyDescent="0.2">
      <c r="F53" s="58"/>
      <c r="H53" s="61" t="s">
        <v>362</v>
      </c>
      <c r="I53" s="61">
        <v>169</v>
      </c>
      <c r="J53" s="61">
        <v>2</v>
      </c>
      <c r="K53" s="777"/>
      <c r="L53" s="778"/>
      <c r="M53" s="778"/>
    </row>
    <row r="54" spans="5:17" x14ac:dyDescent="0.2">
      <c r="H54" s="61" t="s">
        <v>216</v>
      </c>
      <c r="I54" s="61"/>
      <c r="J54" s="61"/>
      <c r="K54" s="763">
        <f>SUBTOTAL(109,Table27[Avg p.a.])</f>
        <v>0</v>
      </c>
      <c r="L54" s="764"/>
      <c r="M54" s="765">
        <f>SUBTOTAL(109,Table27[Total Cost])</f>
        <v>0</v>
      </c>
    </row>
    <row r="56" spans="5:17" x14ac:dyDescent="0.2">
      <c r="E56" s="38" t="s">
        <v>390</v>
      </c>
      <c r="H56" s="61" t="s">
        <v>991</v>
      </c>
    </row>
    <row r="57" spans="5:17" x14ac:dyDescent="0.2">
      <c r="F57" t="s">
        <v>395</v>
      </c>
      <c r="G57" s="6" t="s">
        <v>401</v>
      </c>
      <c r="H57" s="776"/>
      <c r="I57" s="6" t="s">
        <v>1045</v>
      </c>
      <c r="P57" s="7" t="s">
        <v>289</v>
      </c>
      <c r="Q57" s="417" t="s">
        <v>740</v>
      </c>
    </row>
    <row r="58" spans="5:17" x14ac:dyDescent="0.2">
      <c r="F58" t="s">
        <v>394</v>
      </c>
      <c r="G58" s="6" t="s">
        <v>401</v>
      </c>
      <c r="H58" s="158">
        <v>62.8</v>
      </c>
      <c r="I58" s="6" t="s">
        <v>1045</v>
      </c>
      <c r="P58" s="7" t="s">
        <v>289</v>
      </c>
      <c r="Q58" s="417" t="s">
        <v>740</v>
      </c>
    </row>
    <row r="59" spans="5:17" x14ac:dyDescent="0.2">
      <c r="F59" t="s">
        <v>393</v>
      </c>
      <c r="G59" s="6" t="s">
        <v>401</v>
      </c>
      <c r="H59" s="776"/>
      <c r="I59" s="6" t="s">
        <v>744</v>
      </c>
      <c r="P59" s="7" t="s">
        <v>289</v>
      </c>
      <c r="Q59" s="417" t="s">
        <v>740</v>
      </c>
    </row>
    <row r="61" spans="5:17" s="431" customFormat="1" ht="12.75" x14ac:dyDescent="0.2">
      <c r="H61" s="604" t="s">
        <v>251</v>
      </c>
      <c r="I61" s="604" t="s">
        <v>252</v>
      </c>
      <c r="J61" s="604" t="s">
        <v>253</v>
      </c>
      <c r="K61" s="604" t="s">
        <v>254</v>
      </c>
      <c r="L61" s="604" t="s">
        <v>255</v>
      </c>
      <c r="M61" s="604" t="s">
        <v>256</v>
      </c>
      <c r="N61" s="604" t="s">
        <v>257</v>
      </c>
    </row>
    <row r="62" spans="5:17" s="431" customFormat="1" x14ac:dyDescent="0.2">
      <c r="F62" s="431" t="s">
        <v>1024</v>
      </c>
      <c r="H62" s="496">
        <v>1.0037014</v>
      </c>
      <c r="I62" s="496">
        <v>1.0075221999999999</v>
      </c>
      <c r="J62" s="496">
        <v>1.0122385</v>
      </c>
      <c r="K62" s="496">
        <v>1.0186861</v>
      </c>
      <c r="L62" s="496">
        <v>1.0261486</v>
      </c>
      <c r="M62" s="496">
        <v>1.0329543999999999</v>
      </c>
      <c r="N62" s="496">
        <v>1.0390438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tabColor theme="5"/>
  </sheetPr>
  <dimension ref="A1:R160"/>
  <sheetViews>
    <sheetView showGridLines="0" zoomScaleNormal="100" workbookViewId="0">
      <selection activeCell="L91" sqref="L91"/>
    </sheetView>
  </sheetViews>
  <sheetFormatPr defaultRowHeight="12" outlineLevelRow="1" x14ac:dyDescent="0.2"/>
  <cols>
    <col min="1" max="1" width="7.5" customWidth="1"/>
    <col min="2" max="5" width="2.5" customWidth="1"/>
    <col min="6" max="6" width="34.1640625" customWidth="1"/>
    <col min="7" max="7" width="15.5" bestFit="1" customWidth="1"/>
    <col min="8" max="8" width="13" customWidth="1"/>
    <col min="9" max="9" width="13.5" bestFit="1" customWidth="1"/>
    <col min="10" max="10" width="16.5" bestFit="1" customWidth="1"/>
    <col min="11" max="11" width="13.33203125" customWidth="1"/>
    <col min="12" max="12" width="11.6640625" customWidth="1"/>
    <col min="13" max="14" width="13.6640625" customWidth="1"/>
    <col min="15" max="15" width="4.6640625" customWidth="1"/>
    <col min="16" max="16" width="30" customWidth="1"/>
    <col min="17" max="17" width="73.5" bestFit="1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621"/>
      <c r="I1" s="31"/>
      <c r="J1" s="31"/>
      <c r="K1" s="31"/>
      <c r="L1" s="31"/>
      <c r="M1" s="31"/>
      <c r="N1" s="31"/>
    </row>
    <row r="2" spans="1:18" ht="16.5" thickBot="1" x14ac:dyDescent="0.3">
      <c r="A2" s="4" t="s">
        <v>55</v>
      </c>
      <c r="B2" s="4"/>
      <c r="C2" s="4"/>
      <c r="D2" s="4"/>
      <c r="E2" s="4"/>
      <c r="F2" s="4" t="s">
        <v>46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s="558" customFormat="1" x14ac:dyDescent="0.2"/>
    <row r="7" spans="1:18" ht="15" x14ac:dyDescent="0.25">
      <c r="A7" s="36" t="s">
        <v>38</v>
      </c>
      <c r="H7" s="693" t="s">
        <v>1261</v>
      </c>
      <c r="I7" s="693" t="s">
        <v>1261</v>
      </c>
    </row>
    <row r="8" spans="1:18" ht="12.75" x14ac:dyDescent="0.2">
      <c r="E8" s="38"/>
      <c r="F8" s="588" t="s">
        <v>1042</v>
      </c>
      <c r="G8" s="495" t="s">
        <v>1034</v>
      </c>
      <c r="H8" s="607">
        <v>109405.71771608945</v>
      </c>
      <c r="I8" s="607">
        <v>93769.907168118836</v>
      </c>
      <c r="J8" s="607">
        <v>69532.076052954129</v>
      </c>
      <c r="K8" s="607">
        <v>56518.21204897287</v>
      </c>
      <c r="L8" s="607">
        <v>45501.045746383512</v>
      </c>
      <c r="M8" s="607">
        <v>41591.288194116089</v>
      </c>
      <c r="N8" s="607">
        <v>42191.499203436106</v>
      </c>
      <c r="P8" s="5"/>
      <c r="Q8" s="5"/>
    </row>
    <row r="9" spans="1:18" ht="12.75" x14ac:dyDescent="0.2">
      <c r="A9" s="558"/>
      <c r="G9" s="50"/>
      <c r="P9" s="5"/>
      <c r="Q9" s="5"/>
    </row>
    <row r="10" spans="1:18" ht="12.75" x14ac:dyDescent="0.2">
      <c r="A10" s="558"/>
      <c r="F10" t="s">
        <v>60</v>
      </c>
      <c r="G10" s="6" t="s">
        <v>447</v>
      </c>
      <c r="H10" s="53">
        <v>103590.16846574421</v>
      </c>
      <c r="I10" s="53">
        <v>88785.492050513887</v>
      </c>
      <c r="J10" s="53">
        <v>65836.042415900098</v>
      </c>
      <c r="K10" s="53">
        <v>53513.94085937013</v>
      </c>
      <c r="L10" s="53">
        <v>43082.400925945665</v>
      </c>
      <c r="M10" s="53">
        <v>39380.469692784565</v>
      </c>
      <c r="N10" s="53">
        <v>39948.776001343351</v>
      </c>
      <c r="P10" s="5"/>
      <c r="Q10" s="5"/>
    </row>
    <row r="11" spans="1:18" s="558" customFormat="1" ht="12.75" x14ac:dyDescent="0.2">
      <c r="G11" s="50"/>
      <c r="P11" s="5"/>
      <c r="Q11" s="5"/>
    </row>
    <row r="12" spans="1:18" ht="15.75" thickBot="1" x14ac:dyDescent="0.3">
      <c r="A12" s="10" t="s">
        <v>37</v>
      </c>
      <c r="B12" s="10"/>
      <c r="C12" s="10"/>
      <c r="D12" s="10"/>
      <c r="E12" s="10"/>
      <c r="F12" s="10"/>
      <c r="G12" s="51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8" ht="12.75" x14ac:dyDescent="0.2">
      <c r="G13" s="50"/>
      <c r="H13" s="43" t="s">
        <v>251</v>
      </c>
      <c r="I13" s="43" t="s">
        <v>252</v>
      </c>
      <c r="J13" s="43" t="s">
        <v>253</v>
      </c>
      <c r="K13" s="43" t="s">
        <v>254</v>
      </c>
      <c r="L13" s="43" t="s">
        <v>255</v>
      </c>
      <c r="M13" s="43" t="s">
        <v>256</v>
      </c>
      <c r="N13" s="43" t="s">
        <v>257</v>
      </c>
      <c r="P13" s="5"/>
      <c r="Q13" s="5"/>
    </row>
    <row r="14" spans="1:18" s="58" customFormat="1" hidden="1" outlineLevel="1" x14ac:dyDescent="0.2">
      <c r="A14" s="120" t="s">
        <v>263</v>
      </c>
    </row>
    <row r="15" spans="1:18" hidden="1" outlineLevel="1" x14ac:dyDescent="0.2">
      <c r="H15" s="44"/>
      <c r="I15" s="44"/>
    </row>
    <row r="16" spans="1:18" s="58" customFormat="1" hidden="1" outlineLevel="1" x14ac:dyDescent="0.2">
      <c r="F16" s="38" t="s">
        <v>447</v>
      </c>
      <c r="G16" s="145" t="s">
        <v>1049</v>
      </c>
      <c r="H16" s="44"/>
      <c r="I16" s="44"/>
    </row>
    <row r="17" spans="1:14" s="58" customFormat="1" hidden="1" outlineLevel="1" x14ac:dyDescent="0.2">
      <c r="A17" s="6" t="s">
        <v>447</v>
      </c>
      <c r="F17" s="58" t="s">
        <v>22</v>
      </c>
      <c r="G17" s="481">
        <v>165.80063626723225</v>
      </c>
      <c r="H17" s="53">
        <v>33009.338205440523</v>
      </c>
      <c r="I17" s="53">
        <v>33644.133170929766</v>
      </c>
      <c r="J17" s="53">
        <v>34278.928136419003</v>
      </c>
      <c r="K17" s="53">
        <v>35231.120584652868</v>
      </c>
      <c r="L17" s="53">
        <v>35865.915550142105</v>
      </c>
      <c r="M17" s="53">
        <v>36500.710515631348</v>
      </c>
      <c r="N17" s="53">
        <v>37135.505481120585</v>
      </c>
    </row>
    <row r="18" spans="1:14" s="58" customFormat="1" hidden="1" outlineLevel="1" x14ac:dyDescent="0.2">
      <c r="A18" s="6"/>
      <c r="H18" s="53"/>
      <c r="I18" s="53"/>
      <c r="J18" s="53"/>
      <c r="K18" s="53"/>
      <c r="L18" s="53"/>
      <c r="M18" s="53"/>
      <c r="N18" s="53"/>
    </row>
    <row r="19" spans="1:14" s="58" customFormat="1" hidden="1" outlineLevel="1" x14ac:dyDescent="0.2">
      <c r="A19" s="6"/>
      <c r="F19" s="148" t="s">
        <v>448</v>
      </c>
      <c r="H19" s="53"/>
      <c r="I19" s="53"/>
      <c r="J19" s="53"/>
      <c r="K19" s="53"/>
      <c r="L19" s="53"/>
      <c r="M19" s="53"/>
      <c r="N19" s="53"/>
    </row>
    <row r="20" spans="1:14" s="58" customFormat="1" hidden="1" outlineLevel="1" x14ac:dyDescent="0.2">
      <c r="A20" s="6" t="s">
        <v>447</v>
      </c>
      <c r="F20" s="58" t="s">
        <v>199</v>
      </c>
      <c r="G20" s="481">
        <v>91.36363636363636</v>
      </c>
      <c r="H20" s="53">
        <v>22876.830260303683</v>
      </c>
      <c r="I20" s="53">
        <v>12723.374072206387</v>
      </c>
      <c r="J20" s="53">
        <v>1980.1261670874346</v>
      </c>
      <c r="K20" s="53">
        <v>1.691729477346624</v>
      </c>
      <c r="L20" s="53">
        <v>1.691729477346624</v>
      </c>
      <c r="M20" s="53">
        <v>1.691729477346624</v>
      </c>
      <c r="N20" s="53">
        <v>1.691729477346624</v>
      </c>
    </row>
    <row r="21" spans="1:14" s="58" customFormat="1" hidden="1" outlineLevel="1" x14ac:dyDescent="0.2">
      <c r="A21" s="6" t="s">
        <v>447</v>
      </c>
      <c r="F21" s="58" t="s">
        <v>200</v>
      </c>
      <c r="G21" s="481">
        <v>93.560606060606062</v>
      </c>
      <c r="H21" s="53">
        <v>24700</v>
      </c>
      <c r="I21" s="53">
        <v>19413.984807377736</v>
      </c>
      <c r="J21" s="53">
        <v>13641.54683224962</v>
      </c>
      <c r="K21" s="53">
        <v>7450.1099344075183</v>
      </c>
      <c r="L21" s="53">
        <v>284.56232771856077</v>
      </c>
      <c r="M21" s="53">
        <v>2.8440874894460277</v>
      </c>
      <c r="N21" s="53">
        <v>2.1870734138601415</v>
      </c>
    </row>
    <row r="22" spans="1:14" s="58" customFormat="1" hidden="1" outlineLevel="1" x14ac:dyDescent="0.2">
      <c r="A22" s="6"/>
      <c r="H22" s="53"/>
      <c r="I22" s="53"/>
      <c r="J22" s="53"/>
      <c r="K22" s="53"/>
      <c r="L22" s="53"/>
      <c r="M22" s="53"/>
      <c r="N22" s="53"/>
    </row>
    <row r="23" spans="1:14" s="58" customFormat="1" hidden="1" outlineLevel="1" x14ac:dyDescent="0.2">
      <c r="A23" s="6"/>
      <c r="F23" s="148" t="s">
        <v>440</v>
      </c>
      <c r="H23" s="53"/>
      <c r="I23" s="53"/>
      <c r="J23" s="53"/>
      <c r="K23" s="53"/>
      <c r="L23" s="53"/>
      <c r="M23" s="53"/>
      <c r="N23" s="53"/>
    </row>
    <row r="24" spans="1:14" s="58" customFormat="1" hidden="1" outlineLevel="1" x14ac:dyDescent="0.2">
      <c r="A24" s="6" t="s">
        <v>447</v>
      </c>
      <c r="F24" s="58" t="s">
        <v>199</v>
      </c>
      <c r="G24" s="481">
        <v>91.698113207547166</v>
      </c>
      <c r="H24" s="53">
        <v>9720.0000000000018</v>
      </c>
      <c r="I24" s="53">
        <v>9720.0000000000018</v>
      </c>
      <c r="J24" s="53">
        <v>4978.8883337674533</v>
      </c>
      <c r="K24" s="53">
        <v>2807.5308482535947</v>
      </c>
      <c r="L24" s="53">
        <v>2807.5308482535947</v>
      </c>
      <c r="M24" s="53">
        <v>2807.5308482535947</v>
      </c>
      <c r="N24" s="53">
        <v>2807.5308482535947</v>
      </c>
    </row>
    <row r="25" spans="1:14" s="58" customFormat="1" hidden="1" outlineLevel="1" x14ac:dyDescent="0.2">
      <c r="A25" s="6" t="s">
        <v>447</v>
      </c>
      <c r="F25" s="58" t="s">
        <v>200</v>
      </c>
      <c r="G25" s="481">
        <v>95.568345323741013</v>
      </c>
      <c r="H25" s="53">
        <v>13284</v>
      </c>
      <c r="I25" s="53">
        <v>13284</v>
      </c>
      <c r="J25" s="53">
        <v>10956.552946376583</v>
      </c>
      <c r="K25" s="53">
        <v>8023.4877625787985</v>
      </c>
      <c r="L25" s="53">
        <v>4122.7004703540579</v>
      </c>
      <c r="M25" s="53">
        <v>67.692511932835757</v>
      </c>
      <c r="N25" s="53">
        <v>1.8608690779704704</v>
      </c>
    </row>
    <row r="26" spans="1:14" hidden="1" outlineLevel="1" x14ac:dyDescent="0.2">
      <c r="A26" s="6" t="s">
        <v>447</v>
      </c>
      <c r="F26" t="s">
        <v>161</v>
      </c>
      <c r="G26" s="481">
        <v>145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</row>
    <row r="27" spans="1:14" hidden="1" outlineLevel="1" x14ac:dyDescent="0.2">
      <c r="A27" s="6" t="s">
        <v>447</v>
      </c>
      <c r="F27" t="s">
        <v>188</v>
      </c>
      <c r="G27" s="481">
        <v>175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</row>
    <row r="28" spans="1:14" hidden="1" outlineLevel="1" x14ac:dyDescent="0.2">
      <c r="G28" s="50"/>
    </row>
    <row r="29" spans="1:14" s="58" customFormat="1" hidden="1" outlineLevel="1" x14ac:dyDescent="0.2">
      <c r="A29" s="120" t="s">
        <v>262</v>
      </c>
      <c r="G29" s="48"/>
    </row>
    <row r="30" spans="1:14" s="386" customFormat="1" hidden="1" outlineLevel="1" x14ac:dyDescent="0.2">
      <c r="A30" s="120"/>
      <c r="F30" s="39" t="s">
        <v>1072</v>
      </c>
      <c r="G30" s="58" t="s">
        <v>460</v>
      </c>
    </row>
    <row r="31" spans="1:14" s="58" customFormat="1" hidden="1" outlineLevel="1" x14ac:dyDescent="0.2">
      <c r="F31" s="431" t="s">
        <v>22</v>
      </c>
      <c r="G31" s="169">
        <v>0.19143321153065368</v>
      </c>
      <c r="H31" s="44">
        <v>199.09053999187984</v>
      </c>
      <c r="I31" s="44">
        <v>202.91920422249291</v>
      </c>
      <c r="J31" s="44">
        <v>206.74786845310598</v>
      </c>
      <c r="K31" s="44">
        <v>212.49086479902559</v>
      </c>
      <c r="L31" s="44">
        <v>216.31952902963866</v>
      </c>
      <c r="M31" s="44">
        <v>220.14819326025173</v>
      </c>
      <c r="N31" s="44">
        <v>223.9768574908648</v>
      </c>
    </row>
    <row r="32" spans="1:14" s="58" customFormat="1" hidden="1" outlineLevel="1" x14ac:dyDescent="0.2">
      <c r="H32" s="37"/>
      <c r="I32" s="37"/>
      <c r="J32" s="37"/>
      <c r="K32" s="37"/>
      <c r="L32" s="37"/>
      <c r="M32" s="37"/>
      <c r="N32" s="37"/>
    </row>
    <row r="33" spans="1:17" hidden="1" outlineLevel="1" x14ac:dyDescent="0.2">
      <c r="F33" s="55" t="s">
        <v>450</v>
      </c>
    </row>
    <row r="34" spans="1:17" hidden="1" outlineLevel="1" x14ac:dyDescent="0.2">
      <c r="F34" s="58" t="s">
        <v>199</v>
      </c>
      <c r="G34" s="169">
        <v>7.4566160520607369E-2</v>
      </c>
      <c r="H34" s="44">
        <v>250.39316702819954</v>
      </c>
      <c r="I34" s="44">
        <v>139.26081074056742</v>
      </c>
      <c r="J34" s="168">
        <v>21.673022724340083</v>
      </c>
      <c r="K34" s="168">
        <v>1.8516442040609815E-2</v>
      </c>
      <c r="L34" s="168">
        <v>1.8516442040609815E-2</v>
      </c>
      <c r="M34" s="168">
        <v>1.8516442040609815E-2</v>
      </c>
      <c r="N34" s="168">
        <v>1.8516442040609815E-2</v>
      </c>
    </row>
    <row r="35" spans="1:17" hidden="1" outlineLevel="1" x14ac:dyDescent="0.2">
      <c r="F35" s="58" t="s">
        <v>200</v>
      </c>
      <c r="G35" s="169">
        <v>0.16551724137931034</v>
      </c>
      <c r="H35" s="44">
        <v>264</v>
      </c>
      <c r="I35" s="44">
        <v>207.50169996549482</v>
      </c>
      <c r="J35" s="168">
        <v>145.80438719489473</v>
      </c>
      <c r="K35" s="168">
        <v>79.628705371805054</v>
      </c>
      <c r="L35" s="168">
        <v>3.0414758914048599</v>
      </c>
      <c r="M35" s="168">
        <v>3.0398344016751063E-2</v>
      </c>
      <c r="N35" s="168">
        <v>2.3376007338424185E-2</v>
      </c>
    </row>
    <row r="36" spans="1:17" s="58" customFormat="1" hidden="1" outlineLevel="1" x14ac:dyDescent="0.2"/>
    <row r="37" spans="1:17" s="58" customFormat="1" hidden="1" outlineLevel="1" x14ac:dyDescent="0.2">
      <c r="F37" s="55" t="s">
        <v>449</v>
      </c>
    </row>
    <row r="38" spans="1:17" s="58" customFormat="1" hidden="1" outlineLevel="1" x14ac:dyDescent="0.2">
      <c r="F38" s="58" t="s">
        <v>199</v>
      </c>
      <c r="G38" s="169">
        <v>8.0327371930888156E-3</v>
      </c>
      <c r="H38" s="44">
        <v>106.00000000000001</v>
      </c>
      <c r="I38" s="44">
        <v>106.00000000000001</v>
      </c>
      <c r="J38" s="168">
        <v>54.296518866188279</v>
      </c>
      <c r="K38" s="168">
        <v>30.617105958321098</v>
      </c>
      <c r="L38" s="168">
        <v>30.617105958321098</v>
      </c>
      <c r="M38" s="168">
        <v>30.617105958321098</v>
      </c>
      <c r="N38" s="168">
        <v>30.617105958321098</v>
      </c>
    </row>
    <row r="39" spans="1:17" hidden="1" outlineLevel="1" x14ac:dyDescent="0.2">
      <c r="F39" s="58" t="s">
        <v>200</v>
      </c>
      <c r="G39" s="169">
        <v>1.8670248488918736E-2</v>
      </c>
      <c r="H39" s="44">
        <v>139</v>
      </c>
      <c r="I39" s="44">
        <v>139</v>
      </c>
      <c r="J39" s="168">
        <v>114.64625561173931</v>
      </c>
      <c r="K39" s="168">
        <v>83.955495257336111</v>
      </c>
      <c r="L39" s="168">
        <v>43.138765837038093</v>
      </c>
      <c r="M39" s="168">
        <v>0.70831520315147312</v>
      </c>
      <c r="N39" s="168">
        <v>1.9471605076625667E-2</v>
      </c>
    </row>
    <row r="40" spans="1:17" hidden="1" outlineLevel="1" x14ac:dyDescent="0.2">
      <c r="F40" s="148" t="s">
        <v>161</v>
      </c>
      <c r="G40" s="169">
        <v>0.2</v>
      </c>
      <c r="H40" s="168">
        <v>0</v>
      </c>
      <c r="I40" s="44">
        <v>0</v>
      </c>
      <c r="J40" s="168">
        <v>0</v>
      </c>
      <c r="K40" s="168">
        <v>0</v>
      </c>
      <c r="L40" s="168">
        <v>0</v>
      </c>
      <c r="M40" s="168">
        <v>0</v>
      </c>
      <c r="N40" s="168">
        <v>0</v>
      </c>
    </row>
    <row r="41" spans="1:17" hidden="1" outlineLevel="1" x14ac:dyDescent="0.2">
      <c r="F41" s="148" t="s">
        <v>188</v>
      </c>
      <c r="G41" s="169">
        <v>0.2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</row>
    <row r="42" spans="1:17" ht="12.75" collapsed="1" x14ac:dyDescent="0.2">
      <c r="A42" s="227" t="s">
        <v>523</v>
      </c>
      <c r="B42" s="80" t="s">
        <v>522</v>
      </c>
      <c r="H42" s="44"/>
      <c r="I42" s="44"/>
      <c r="J42" s="44"/>
      <c r="K42" s="44"/>
      <c r="L42" s="44"/>
      <c r="M42" s="44"/>
      <c r="N42" s="44"/>
    </row>
    <row r="43" spans="1:17" ht="15.75" thickBot="1" x14ac:dyDescent="0.3">
      <c r="A43" s="10" t="s">
        <v>31</v>
      </c>
      <c r="B43" s="10"/>
      <c r="C43" s="10"/>
      <c r="D43" s="10"/>
      <c r="E43" s="10"/>
      <c r="F43" s="10"/>
      <c r="G43" s="51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">
      <c r="G44" s="50"/>
    </row>
    <row r="45" spans="1:17" ht="12.75" x14ac:dyDescent="0.2">
      <c r="H45" s="43" t="s">
        <v>251</v>
      </c>
      <c r="I45" s="43" t="s">
        <v>252</v>
      </c>
      <c r="J45" s="43" t="s">
        <v>253</v>
      </c>
      <c r="K45" s="43" t="s">
        <v>254</v>
      </c>
      <c r="L45" s="43" t="s">
        <v>255</v>
      </c>
      <c r="M45" s="43" t="s">
        <v>256</v>
      </c>
      <c r="N45" s="43" t="s">
        <v>257</v>
      </c>
    </row>
    <row r="46" spans="1:17" x14ac:dyDescent="0.2">
      <c r="F46" s="55" t="s">
        <v>22</v>
      </c>
      <c r="G46" s="58"/>
      <c r="H46" s="37">
        <v>1040</v>
      </c>
      <c r="I46" s="37">
        <v>1060</v>
      </c>
      <c r="J46" s="37">
        <v>1080</v>
      </c>
      <c r="K46" s="37">
        <v>1110</v>
      </c>
      <c r="L46" s="37">
        <v>1130</v>
      </c>
      <c r="M46" s="37">
        <v>1150</v>
      </c>
      <c r="N46" s="37">
        <v>1170</v>
      </c>
    </row>
    <row r="47" spans="1:17" s="58" customFormat="1" x14ac:dyDescent="0.2">
      <c r="F47" s="166"/>
      <c r="G47" s="38"/>
    </row>
    <row r="48" spans="1:17" s="58" customFormat="1" x14ac:dyDescent="0.2">
      <c r="F48" s="55" t="s">
        <v>450</v>
      </c>
      <c r="H48" s="37"/>
      <c r="I48" s="37"/>
      <c r="J48" s="37"/>
      <c r="K48" s="37"/>
      <c r="L48" s="37"/>
      <c r="M48" s="37"/>
      <c r="N48" s="37"/>
    </row>
    <row r="49" spans="6:14" s="58" customFormat="1" x14ac:dyDescent="0.2">
      <c r="F49" s="58" t="s">
        <v>199</v>
      </c>
      <c r="H49" s="37">
        <v>3358</v>
      </c>
      <c r="I49" s="37">
        <v>1867.6140727680461</v>
      </c>
      <c r="J49" s="37">
        <v>290.65493748133173</v>
      </c>
      <c r="K49" s="37">
        <v>0.24832232089370548</v>
      </c>
      <c r="L49" s="37">
        <v>0.24832232089370548</v>
      </c>
      <c r="M49" s="37">
        <v>0.24832232089370548</v>
      </c>
      <c r="N49" s="37">
        <v>0.24832232089370548</v>
      </c>
    </row>
    <row r="50" spans="6:14" s="58" customFormat="1" x14ac:dyDescent="0.2">
      <c r="F50" s="58" t="s">
        <v>200</v>
      </c>
      <c r="H50" s="37">
        <v>1595</v>
      </c>
      <c r="I50" s="37">
        <v>1253.6561039581979</v>
      </c>
      <c r="J50" s="37">
        <v>880.90150596915566</v>
      </c>
      <c r="K50" s="37">
        <v>481.09009495465551</v>
      </c>
      <c r="L50" s="37">
        <v>18.37558351057103</v>
      </c>
      <c r="M50" s="37">
        <v>0.18365666176787102</v>
      </c>
      <c r="N50" s="37">
        <v>0.14123004433631278</v>
      </c>
    </row>
    <row r="51" spans="6:14" s="58" customFormat="1" x14ac:dyDescent="0.2">
      <c r="H51" s="37"/>
      <c r="I51" s="37"/>
      <c r="J51" s="37"/>
      <c r="K51" s="37"/>
      <c r="L51" s="37"/>
      <c r="M51" s="37"/>
      <c r="N51" s="37"/>
    </row>
    <row r="52" spans="6:14" s="58" customFormat="1" x14ac:dyDescent="0.2">
      <c r="F52" s="55" t="s">
        <v>449</v>
      </c>
      <c r="G52" s="58" t="s">
        <v>455</v>
      </c>
    </row>
    <row r="53" spans="6:14" s="58" customFormat="1" x14ac:dyDescent="0.2">
      <c r="F53" s="58" t="s">
        <v>199</v>
      </c>
      <c r="G53" s="149">
        <v>0.15492808922805984</v>
      </c>
      <c r="H53" s="37">
        <v>13196</v>
      </c>
      <c r="I53" s="37">
        <v>13196</v>
      </c>
      <c r="J53" s="37">
        <v>6759.4043675303819</v>
      </c>
      <c r="K53" s="37">
        <v>3811.5408511887281</v>
      </c>
      <c r="L53" s="37">
        <v>3811.5408511887281</v>
      </c>
      <c r="M53" s="37">
        <v>3811.5408511887281</v>
      </c>
      <c r="N53" s="37">
        <v>3811.5408511887281</v>
      </c>
    </row>
    <row r="54" spans="6:14" s="58" customFormat="1" x14ac:dyDescent="0.2">
      <c r="F54" s="58" t="s">
        <v>200</v>
      </c>
      <c r="G54" s="149">
        <v>0.2085843162524865</v>
      </c>
      <c r="H54" s="37">
        <v>7445</v>
      </c>
      <c r="I54" s="37">
        <v>7445.0000000000009</v>
      </c>
      <c r="J54" s="37">
        <v>6140.5854174776923</v>
      </c>
      <c r="K54" s="37">
        <v>4496.7529654019236</v>
      </c>
      <c r="L54" s="37">
        <v>2310.5619543650982</v>
      </c>
      <c r="M54" s="37">
        <v>37.93817760764545</v>
      </c>
      <c r="N54" s="37">
        <v>1.0429215812624324</v>
      </c>
    </row>
    <row r="55" spans="6:14" s="58" customFormat="1" x14ac:dyDescent="0.2">
      <c r="F55" s="148" t="s">
        <v>161</v>
      </c>
      <c r="G55" s="149">
        <v>1.5418773899099542E-4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</row>
    <row r="56" spans="6:14" s="58" customFormat="1" x14ac:dyDescent="0.2">
      <c r="F56" s="148" t="s">
        <v>188</v>
      </c>
      <c r="G56" s="149">
        <v>1.098901098901099E-2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</row>
    <row r="57" spans="6:14" s="58" customFormat="1" x14ac:dyDescent="0.2">
      <c r="H57" s="37"/>
      <c r="I57" s="37"/>
      <c r="J57" s="37"/>
      <c r="K57" s="37"/>
      <c r="L57" s="37"/>
      <c r="M57" s="37"/>
      <c r="N57" s="37"/>
    </row>
    <row r="58" spans="6:14" s="58" customFormat="1" x14ac:dyDescent="0.2">
      <c r="F58" s="166" t="s">
        <v>47</v>
      </c>
      <c r="G58" s="38"/>
    </row>
    <row r="59" spans="6:14" hidden="1" outlineLevel="1" x14ac:dyDescent="0.2">
      <c r="F59" s="55" t="s">
        <v>199</v>
      </c>
      <c r="G59" s="58"/>
    </row>
    <row r="60" spans="6:14" hidden="1" outlineLevel="1" x14ac:dyDescent="0.2">
      <c r="F60" s="59" t="s">
        <v>164</v>
      </c>
      <c r="H60" s="37">
        <v>8524</v>
      </c>
      <c r="I60" s="37">
        <v>5697.7499813704926</v>
      </c>
      <c r="J60" s="37">
        <v>1998.5659273512813</v>
      </c>
      <c r="K60" s="37">
        <v>1</v>
      </c>
      <c r="L60" s="37">
        <v>1</v>
      </c>
      <c r="M60" s="37">
        <v>1</v>
      </c>
      <c r="N60" s="37">
        <v>1</v>
      </c>
    </row>
    <row r="61" spans="6:14" s="386" customFormat="1" hidden="1" outlineLevel="1" x14ac:dyDescent="0.2">
      <c r="F61" s="59" t="s">
        <v>172</v>
      </c>
      <c r="H61" s="37">
        <v>13561</v>
      </c>
      <c r="I61" s="37">
        <v>8862.118664636937</v>
      </c>
      <c r="J61" s="37">
        <v>2847.1220773352843</v>
      </c>
      <c r="K61" s="37">
        <v>1</v>
      </c>
      <c r="L61" s="37">
        <v>1</v>
      </c>
      <c r="M61" s="37">
        <v>1</v>
      </c>
      <c r="N61" s="37">
        <v>1</v>
      </c>
    </row>
    <row r="62" spans="6:14" s="386" customFormat="1" hidden="1" outlineLevel="1" x14ac:dyDescent="0.2">
      <c r="F62" s="59" t="s">
        <v>171</v>
      </c>
      <c r="H62" s="37">
        <v>20032</v>
      </c>
      <c r="I62" s="37">
        <v>20032</v>
      </c>
      <c r="J62" s="37">
        <v>20032</v>
      </c>
      <c r="K62" s="37">
        <v>20032</v>
      </c>
      <c r="L62" s="37">
        <v>20032</v>
      </c>
      <c r="M62" s="37">
        <v>20032</v>
      </c>
      <c r="N62" s="37">
        <v>20032</v>
      </c>
    </row>
    <row r="63" spans="6:14" s="386" customFormat="1" hidden="1" outlineLevel="1" x14ac:dyDescent="0.2">
      <c r="F63" s="59" t="s">
        <v>165</v>
      </c>
      <c r="H63" s="37">
        <v>10860</v>
      </c>
      <c r="I63" s="37">
        <v>5318.7180663636263</v>
      </c>
      <c r="J63" s="37">
        <v>1</v>
      </c>
      <c r="K63" s="37">
        <v>1</v>
      </c>
      <c r="L63" s="37">
        <v>1</v>
      </c>
      <c r="M63" s="37">
        <v>1</v>
      </c>
      <c r="N63" s="37">
        <v>1</v>
      </c>
    </row>
    <row r="64" spans="6:14" s="386" customFormat="1" hidden="1" outlineLevel="1" x14ac:dyDescent="0.2">
      <c r="F64" s="59" t="s">
        <v>173</v>
      </c>
      <c r="H64" s="37">
        <v>59310</v>
      </c>
      <c r="I64" s="37">
        <v>39561.581815472076</v>
      </c>
      <c r="J64" s="37">
        <v>13768.0639170139</v>
      </c>
      <c r="K64" s="37">
        <v>1</v>
      </c>
      <c r="L64" s="37">
        <v>1</v>
      </c>
      <c r="M64" s="37">
        <v>1</v>
      </c>
      <c r="N64" s="37">
        <v>1</v>
      </c>
    </row>
    <row r="65" spans="6:14" hidden="1" outlineLevel="1" x14ac:dyDescent="0.2">
      <c r="F65" s="59" t="s">
        <v>489</v>
      </c>
      <c r="H65" s="37">
        <v>265</v>
      </c>
      <c r="I65" s="37">
        <v>265</v>
      </c>
      <c r="J65" s="37">
        <v>265</v>
      </c>
      <c r="K65" s="37">
        <v>265</v>
      </c>
      <c r="L65" s="37">
        <v>265</v>
      </c>
      <c r="M65" s="37">
        <v>265</v>
      </c>
      <c r="N65" s="37">
        <v>265</v>
      </c>
    </row>
    <row r="66" spans="6:14" hidden="1" outlineLevel="1" x14ac:dyDescent="0.2">
      <c r="F66" s="59" t="s">
        <v>486</v>
      </c>
      <c r="H66" s="37">
        <v>4299</v>
      </c>
      <c r="I66" s="37">
        <v>4299</v>
      </c>
      <c r="J66" s="37">
        <v>4299</v>
      </c>
      <c r="K66" s="37">
        <v>4299</v>
      </c>
      <c r="L66" s="37">
        <v>4299</v>
      </c>
      <c r="M66" s="37">
        <v>4299</v>
      </c>
      <c r="N66" s="37">
        <v>4299</v>
      </c>
    </row>
    <row r="67" spans="6:14" hidden="1" outlineLevel="1" x14ac:dyDescent="0.2">
      <c r="F67" s="59" t="s">
        <v>488</v>
      </c>
      <c r="H67" s="37">
        <v>347</v>
      </c>
      <c r="I67" s="37">
        <v>236.18104687183964</v>
      </c>
      <c r="J67" s="37">
        <v>88.422442700959152</v>
      </c>
      <c r="K67" s="37">
        <v>1</v>
      </c>
      <c r="L67" s="37">
        <v>1</v>
      </c>
      <c r="M67" s="37">
        <v>1</v>
      </c>
      <c r="N67" s="37">
        <v>1</v>
      </c>
    </row>
    <row r="68" spans="6:14" hidden="1" outlineLevel="1" x14ac:dyDescent="0.2">
      <c r="F68" s="59" t="s">
        <v>487</v>
      </c>
      <c r="H68" s="37">
        <v>1335</v>
      </c>
      <c r="I68" s="37">
        <v>902.65042528503136</v>
      </c>
      <c r="J68" s="37">
        <v>330.12746982109564</v>
      </c>
      <c r="K68" s="37">
        <v>1</v>
      </c>
      <c r="L68" s="37">
        <v>1</v>
      </c>
      <c r="M68" s="37">
        <v>1</v>
      </c>
      <c r="N68" s="37">
        <v>1</v>
      </c>
    </row>
    <row r="69" spans="6:14" hidden="1" outlineLevel="1" x14ac:dyDescent="0.2">
      <c r="F69" s="170" t="s">
        <v>452</v>
      </c>
      <c r="G69" s="101"/>
      <c r="H69" s="101">
        <v>118533</v>
      </c>
      <c r="I69" s="101">
        <v>85175.000000000015</v>
      </c>
      <c r="J69" s="101">
        <v>43629.301834222526</v>
      </c>
      <c r="K69" s="101">
        <v>24602</v>
      </c>
      <c r="L69" s="101">
        <v>24602</v>
      </c>
      <c r="M69" s="101">
        <v>24602</v>
      </c>
      <c r="N69" s="101">
        <v>24602</v>
      </c>
    </row>
    <row r="70" spans="6:14" hidden="1" outlineLevel="1" x14ac:dyDescent="0.2">
      <c r="F70" s="58"/>
      <c r="G70" s="58"/>
    </row>
    <row r="71" spans="6:14" hidden="1" outlineLevel="1" x14ac:dyDescent="0.2">
      <c r="F71" s="55" t="s">
        <v>200</v>
      </c>
      <c r="G71" s="58"/>
    </row>
    <row r="72" spans="6:14" hidden="1" outlineLevel="1" x14ac:dyDescent="0.2">
      <c r="F72" s="59" t="s">
        <v>193</v>
      </c>
      <c r="H72" s="37">
        <v>4445</v>
      </c>
      <c r="I72" s="37">
        <v>4113.008141382049</v>
      </c>
      <c r="J72" s="37">
        <v>3560.4297325175494</v>
      </c>
      <c r="K72" s="37">
        <v>2787.3143991770853</v>
      </c>
      <c r="L72" s="37">
        <v>1683.3811364275207</v>
      </c>
      <c r="M72" s="37">
        <v>28.043129921247733</v>
      </c>
      <c r="N72" s="37">
        <v>1</v>
      </c>
    </row>
    <row r="73" spans="6:14" hidden="1" outlineLevel="1" x14ac:dyDescent="0.2">
      <c r="F73" s="59" t="s">
        <v>167</v>
      </c>
      <c r="H73" s="37">
        <v>13464</v>
      </c>
      <c r="I73" s="37">
        <v>12458.418586179509</v>
      </c>
      <c r="J73" s="37">
        <v>10784.673623175171</v>
      </c>
      <c r="K73" s="37">
        <v>8442.9139887831552</v>
      </c>
      <c r="L73" s="37">
        <v>5099.0947230203774</v>
      </c>
      <c r="M73" s="37">
        <v>85.051491992108993</v>
      </c>
      <c r="N73" s="37">
        <v>1</v>
      </c>
    </row>
    <row r="74" spans="6:14" hidden="1" outlineLevel="1" x14ac:dyDescent="0.2">
      <c r="F74" s="59" t="s">
        <v>168</v>
      </c>
      <c r="H74" s="37">
        <v>8466</v>
      </c>
      <c r="I74" s="37">
        <v>7833.5889594916598</v>
      </c>
      <c r="J74" s="37">
        <v>6781.0532921763206</v>
      </c>
      <c r="K74" s="37">
        <v>5308.49224790676</v>
      </c>
      <c r="L74" s="37">
        <v>3205.8680395862821</v>
      </c>
      <c r="M74" s="37">
        <v>53.055485747727232</v>
      </c>
      <c r="N74" s="37">
        <v>1</v>
      </c>
    </row>
    <row r="75" spans="6:14" hidden="1" outlineLevel="1" x14ac:dyDescent="0.2">
      <c r="F75" s="59" t="s">
        <v>169</v>
      </c>
      <c r="H75" s="37">
        <v>2583</v>
      </c>
      <c r="I75" s="37">
        <v>2389.6598490865767</v>
      </c>
      <c r="J75" s="37">
        <v>2068.167781904473</v>
      </c>
      <c r="K75" s="37">
        <v>1618.5734120488373</v>
      </c>
      <c r="L75" s="37">
        <v>976.81295026926944</v>
      </c>
      <c r="M75" s="37">
        <v>14.734025763991806</v>
      </c>
      <c r="N75" s="37">
        <v>1</v>
      </c>
    </row>
    <row r="76" spans="6:14" hidden="1" outlineLevel="1" x14ac:dyDescent="0.2">
      <c r="F76" s="59" t="s">
        <v>166</v>
      </c>
      <c r="H76" s="37">
        <v>11330</v>
      </c>
      <c r="I76" s="37">
        <v>8898.3244638602064</v>
      </c>
      <c r="J76" s="37">
        <v>6245.019466268287</v>
      </c>
      <c r="K76" s="37">
        <v>3401.1483421568087</v>
      </c>
      <c r="L76" s="37">
        <v>112.1954458145417</v>
      </c>
      <c r="M76" s="37">
        <v>1</v>
      </c>
      <c r="N76" s="37">
        <v>1</v>
      </c>
    </row>
    <row r="77" spans="6:14" hidden="1" outlineLevel="1" x14ac:dyDescent="0.2">
      <c r="F77" s="170" t="s">
        <v>453</v>
      </c>
      <c r="G77" s="101"/>
      <c r="H77" s="101">
        <v>40288</v>
      </c>
      <c r="I77" s="101">
        <v>35693</v>
      </c>
      <c r="J77" s="101">
        <v>29439.343896041806</v>
      </c>
      <c r="K77" s="101">
        <v>21558.442390072647</v>
      </c>
      <c r="L77" s="101">
        <v>11077.352295117991</v>
      </c>
      <c r="M77" s="101">
        <v>181.88413342507576</v>
      </c>
      <c r="N77" s="101">
        <v>5</v>
      </c>
    </row>
    <row r="78" spans="6:14" hidden="1" outlineLevel="1" x14ac:dyDescent="0.2"/>
    <row r="79" spans="6:14" hidden="1" outlineLevel="1" x14ac:dyDescent="0.2">
      <c r="F79" s="55" t="s">
        <v>454</v>
      </c>
    </row>
    <row r="80" spans="6:14" s="58" customFormat="1" hidden="1" outlineLevel="1" x14ac:dyDescent="0.2">
      <c r="F80" s="59" t="s">
        <v>161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</row>
    <row r="81" spans="6:17" s="58" customFormat="1" hidden="1" outlineLevel="1" x14ac:dyDescent="0.2">
      <c r="F81" s="59" t="s">
        <v>188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0</v>
      </c>
      <c r="N81" s="37">
        <v>0</v>
      </c>
    </row>
    <row r="82" spans="6:17" s="58" customFormat="1" hidden="1" outlineLevel="1" x14ac:dyDescent="0.2"/>
    <row r="83" spans="6:17" s="58" customFormat="1" hidden="1" outlineLevel="1" x14ac:dyDescent="0.2">
      <c r="F83" s="58" t="s">
        <v>170</v>
      </c>
      <c r="H83" s="37">
        <v>1068</v>
      </c>
      <c r="I83" s="37">
        <v>1068</v>
      </c>
      <c r="J83" s="37">
        <v>1068</v>
      </c>
      <c r="K83" s="37">
        <v>1068</v>
      </c>
      <c r="L83" s="37">
        <v>1068</v>
      </c>
      <c r="M83" s="37">
        <v>1068</v>
      </c>
      <c r="N83" s="37">
        <v>1068</v>
      </c>
    </row>
    <row r="84" spans="6:17" s="58" customFormat="1" hidden="1" outlineLevel="1" x14ac:dyDescent="0.2"/>
    <row r="85" spans="6:17" s="58" customFormat="1" collapsed="1" x14ac:dyDescent="0.2">
      <c r="F85" s="85" t="s">
        <v>47</v>
      </c>
      <c r="G85" s="87"/>
      <c r="H85" s="138">
        <v>159889</v>
      </c>
      <c r="I85" s="138">
        <v>121936.00000000001</v>
      </c>
      <c r="J85" s="138">
        <v>74136.645730264339</v>
      </c>
      <c r="K85" s="138">
        <v>47228.442390072647</v>
      </c>
      <c r="L85" s="138">
        <v>36747.352295117991</v>
      </c>
      <c r="M85" s="138">
        <v>25851.884133425076</v>
      </c>
      <c r="N85" s="138">
        <v>25675</v>
      </c>
    </row>
    <row r="86" spans="6:17" s="58" customFormat="1" x14ac:dyDescent="0.2"/>
    <row r="87" spans="6:17" s="58" customFormat="1" x14ac:dyDescent="0.2">
      <c r="F87" s="166" t="s">
        <v>22</v>
      </c>
      <c r="G87" s="50"/>
      <c r="H87" s="38"/>
      <c r="O87" s="38"/>
      <c r="P87" s="38"/>
      <c r="Q87" s="38"/>
    </row>
    <row r="88" spans="6:17" x14ac:dyDescent="0.2">
      <c r="F88" s="13" t="s">
        <v>59</v>
      </c>
      <c r="G88" s="167" t="s">
        <v>444</v>
      </c>
      <c r="H88" s="160">
        <v>4926</v>
      </c>
      <c r="P88" s="7" t="s">
        <v>243</v>
      </c>
      <c r="Q88" s="8" t="s">
        <v>432</v>
      </c>
    </row>
    <row r="89" spans="6:17" s="58" customFormat="1" x14ac:dyDescent="0.2">
      <c r="F89" s="13" t="s">
        <v>429</v>
      </c>
      <c r="G89" s="167" t="s">
        <v>459</v>
      </c>
      <c r="H89" s="160">
        <v>943</v>
      </c>
      <c r="P89" s="7" t="s">
        <v>287</v>
      </c>
      <c r="Q89" s="8" t="s">
        <v>431</v>
      </c>
    </row>
    <row r="90" spans="6:17" s="58" customFormat="1" x14ac:dyDescent="0.2">
      <c r="F90" s="13" t="s">
        <v>430</v>
      </c>
      <c r="G90" s="167" t="s">
        <v>446</v>
      </c>
      <c r="H90" s="165">
        <v>0.19143321153065368</v>
      </c>
    </row>
    <row r="91" spans="6:17" s="58" customFormat="1" x14ac:dyDescent="0.2">
      <c r="F91" s="13"/>
      <c r="G91" s="167"/>
    </row>
    <row r="92" spans="6:17" s="58" customFormat="1" x14ac:dyDescent="0.2">
      <c r="F92" s="13" t="s">
        <v>737</v>
      </c>
      <c r="G92" s="167" t="s">
        <v>445</v>
      </c>
      <c r="H92" s="158">
        <v>165.80063626723225</v>
      </c>
      <c r="P92" s="7" t="s">
        <v>287</v>
      </c>
      <c r="Q92" s="8" t="s">
        <v>433</v>
      </c>
    </row>
    <row r="93" spans="6:17" s="58" customFormat="1" x14ac:dyDescent="0.2">
      <c r="F93" s="55"/>
      <c r="G93" s="167"/>
    </row>
    <row r="94" spans="6:17" s="58" customFormat="1" x14ac:dyDescent="0.2">
      <c r="G94" s="167"/>
      <c r="H94" s="38"/>
      <c r="O94" s="38"/>
      <c r="P94" s="38"/>
      <c r="Q94" s="38"/>
    </row>
    <row r="95" spans="6:17" s="58" customFormat="1" x14ac:dyDescent="0.2">
      <c r="F95" s="166" t="s">
        <v>434</v>
      </c>
      <c r="G95" s="167"/>
      <c r="H95" s="47" t="s">
        <v>438</v>
      </c>
      <c r="I95" s="13" t="s">
        <v>439</v>
      </c>
      <c r="O95" s="38"/>
      <c r="P95" s="38"/>
      <c r="Q95" s="38"/>
    </row>
    <row r="96" spans="6:17" x14ac:dyDescent="0.2">
      <c r="F96" s="13" t="s">
        <v>435</v>
      </c>
      <c r="G96" s="167" t="s">
        <v>444</v>
      </c>
      <c r="H96" s="160">
        <v>3688</v>
      </c>
      <c r="I96" s="160">
        <v>1595</v>
      </c>
      <c r="P96" s="7" t="s">
        <v>243</v>
      </c>
      <c r="Q96" s="8" t="s">
        <v>461</v>
      </c>
    </row>
    <row r="97" spans="5:17" x14ac:dyDescent="0.2">
      <c r="F97" s="13" t="s">
        <v>436</v>
      </c>
      <c r="G97" s="167" t="s">
        <v>459</v>
      </c>
      <c r="H97" s="160">
        <v>275</v>
      </c>
      <c r="I97" s="160">
        <v>264</v>
      </c>
      <c r="P97" s="7" t="s">
        <v>287</v>
      </c>
      <c r="Q97" s="8" t="s">
        <v>463</v>
      </c>
    </row>
    <row r="98" spans="5:17" x14ac:dyDescent="0.2">
      <c r="F98" s="13" t="s">
        <v>437</v>
      </c>
      <c r="G98" s="167" t="s">
        <v>446</v>
      </c>
      <c r="H98" s="165">
        <v>7.4566160520607369E-2</v>
      </c>
      <c r="I98" s="165">
        <v>0.16551724137931034</v>
      </c>
      <c r="P98" s="58"/>
      <c r="Q98" s="58"/>
    </row>
    <row r="99" spans="5:17" x14ac:dyDescent="0.2">
      <c r="F99" s="13"/>
      <c r="G99" s="167"/>
      <c r="H99" s="58"/>
      <c r="I99" s="58"/>
      <c r="P99" s="58"/>
      <c r="Q99" s="58"/>
    </row>
    <row r="100" spans="5:17" x14ac:dyDescent="0.2">
      <c r="F100" s="13" t="s">
        <v>738</v>
      </c>
      <c r="G100" s="167" t="s">
        <v>445</v>
      </c>
      <c r="H100" s="158">
        <v>91.36363636363636</v>
      </c>
      <c r="I100" s="158">
        <v>93.560606060606062</v>
      </c>
      <c r="K100" s="58"/>
      <c r="P100" s="7" t="s">
        <v>287</v>
      </c>
      <c r="Q100" s="8" t="s">
        <v>433</v>
      </c>
    </row>
    <row r="101" spans="5:17" x14ac:dyDescent="0.2">
      <c r="G101" s="145"/>
    </row>
    <row r="102" spans="5:17" x14ac:dyDescent="0.2">
      <c r="G102" s="145"/>
    </row>
    <row r="103" spans="5:17" s="58" customFormat="1" x14ac:dyDescent="0.2">
      <c r="F103" s="166" t="s">
        <v>440</v>
      </c>
      <c r="G103" s="167"/>
      <c r="H103" s="13" t="s">
        <v>199</v>
      </c>
      <c r="I103" s="13" t="s">
        <v>200</v>
      </c>
      <c r="J103" s="13" t="s">
        <v>202</v>
      </c>
      <c r="K103" s="13" t="s">
        <v>188</v>
      </c>
      <c r="O103" s="38"/>
      <c r="P103" s="38"/>
      <c r="Q103" s="38"/>
    </row>
    <row r="104" spans="5:17" s="58" customFormat="1" x14ac:dyDescent="0.2">
      <c r="F104" s="13" t="s">
        <v>456</v>
      </c>
      <c r="G104" s="167" t="s">
        <v>444</v>
      </c>
      <c r="H104" s="160">
        <v>13196</v>
      </c>
      <c r="I104" s="160">
        <v>7445</v>
      </c>
      <c r="J104" s="160">
        <v>5</v>
      </c>
      <c r="K104" s="160">
        <v>5</v>
      </c>
      <c r="P104" s="7" t="s">
        <v>243</v>
      </c>
      <c r="Q104" s="8" t="s">
        <v>462</v>
      </c>
    </row>
    <row r="105" spans="5:17" s="58" customFormat="1" x14ac:dyDescent="0.2">
      <c r="F105" s="13" t="s">
        <v>457</v>
      </c>
      <c r="G105" s="167" t="s">
        <v>459</v>
      </c>
      <c r="H105" s="160">
        <v>106</v>
      </c>
      <c r="I105" s="160">
        <v>139</v>
      </c>
      <c r="J105" s="160">
        <v>1</v>
      </c>
      <c r="K105" s="160">
        <v>1</v>
      </c>
      <c r="P105" s="7" t="s">
        <v>287</v>
      </c>
      <c r="Q105" s="8" t="s">
        <v>464</v>
      </c>
    </row>
    <row r="106" spans="5:17" s="58" customFormat="1" x14ac:dyDescent="0.2">
      <c r="F106" s="13" t="s">
        <v>458</v>
      </c>
      <c r="G106" s="167" t="s">
        <v>446</v>
      </c>
      <c r="H106" s="165">
        <v>8.0327371930888156E-3</v>
      </c>
      <c r="I106" s="165">
        <v>1.8670248488918736E-2</v>
      </c>
      <c r="J106" s="165">
        <v>0.2</v>
      </c>
      <c r="K106" s="165">
        <v>0.2</v>
      </c>
    </row>
    <row r="107" spans="5:17" s="58" customFormat="1" x14ac:dyDescent="0.2">
      <c r="F107" s="13"/>
      <c r="G107" s="167"/>
    </row>
    <row r="108" spans="5:17" s="58" customFormat="1" x14ac:dyDescent="0.2">
      <c r="F108" s="13" t="s">
        <v>739</v>
      </c>
      <c r="G108" s="167" t="s">
        <v>445</v>
      </c>
      <c r="H108" s="158">
        <v>91.698113207547166</v>
      </c>
      <c r="I108" s="158">
        <v>95.568345323741013</v>
      </c>
      <c r="J108" s="158">
        <v>145</v>
      </c>
      <c r="K108" s="158">
        <v>175</v>
      </c>
      <c r="P108" s="7" t="s">
        <v>287</v>
      </c>
      <c r="Q108" s="8" t="s">
        <v>433</v>
      </c>
    </row>
    <row r="109" spans="5:17" s="58" customFormat="1" x14ac:dyDescent="0.2">
      <c r="G109" s="145"/>
    </row>
    <row r="111" spans="5:17" s="386" customFormat="1" x14ac:dyDescent="0.2"/>
    <row r="112" spans="5:17" s="386" customFormat="1" x14ac:dyDescent="0.2">
      <c r="E112" s="39" t="s">
        <v>732</v>
      </c>
    </row>
    <row r="113" spans="6:17" s="386" customFormat="1" x14ac:dyDescent="0.2">
      <c r="H113" s="171" t="s">
        <v>444</v>
      </c>
      <c r="I113" s="171" t="s">
        <v>730</v>
      </c>
      <c r="J113" s="171" t="s">
        <v>60</v>
      </c>
      <c r="K113" s="171" t="s">
        <v>729</v>
      </c>
      <c r="Q113" s="55" t="s">
        <v>733</v>
      </c>
    </row>
    <row r="114" spans="6:17" s="386" customFormat="1" hidden="1" outlineLevel="1" x14ac:dyDescent="0.2">
      <c r="F114" s="55" t="s">
        <v>199</v>
      </c>
      <c r="H114" s="58"/>
      <c r="I114" s="61"/>
      <c r="J114" s="61"/>
      <c r="K114" s="61"/>
      <c r="N114"/>
      <c r="P114" s="7" t="s">
        <v>243</v>
      </c>
      <c r="Q114" s="417" t="s">
        <v>734</v>
      </c>
    </row>
    <row r="115" spans="6:17" s="386" customFormat="1" hidden="1" outlineLevel="1" x14ac:dyDescent="0.2">
      <c r="F115" s="59" t="s">
        <v>164</v>
      </c>
      <c r="H115" s="488">
        <v>104</v>
      </c>
      <c r="I115" s="488">
        <v>29</v>
      </c>
      <c r="J115" s="489">
        <v>3025</v>
      </c>
      <c r="K115" s="489">
        <v>104.31034482758621</v>
      </c>
      <c r="P115" s="7" t="s">
        <v>287</v>
      </c>
      <c r="Q115" s="417" t="s">
        <v>433</v>
      </c>
    </row>
    <row r="116" spans="6:17" s="386" customFormat="1" hidden="1" outlineLevel="1" x14ac:dyDescent="0.2">
      <c r="F116" s="59" t="s">
        <v>172</v>
      </c>
      <c r="H116" s="488">
        <v>368</v>
      </c>
      <c r="I116" s="488">
        <v>41</v>
      </c>
      <c r="J116" s="489">
        <v>3700</v>
      </c>
      <c r="K116" s="489">
        <v>90.243902439024396</v>
      </c>
    </row>
    <row r="117" spans="6:17" s="386" customFormat="1" hidden="1" outlineLevel="1" x14ac:dyDescent="0.2">
      <c r="F117" s="59" t="s">
        <v>171</v>
      </c>
      <c r="H117" s="488">
        <v>296</v>
      </c>
      <c r="I117" s="488">
        <v>47</v>
      </c>
      <c r="J117" s="489">
        <v>3650</v>
      </c>
      <c r="K117" s="489">
        <v>77.659574468085111</v>
      </c>
    </row>
    <row r="118" spans="6:17" s="386" customFormat="1" hidden="1" outlineLevel="1" x14ac:dyDescent="0.2">
      <c r="F118" s="59" t="s">
        <v>165</v>
      </c>
      <c r="H118" s="488">
        <v>2073</v>
      </c>
      <c r="I118" s="488">
        <v>51</v>
      </c>
      <c r="J118" s="489">
        <v>4050</v>
      </c>
      <c r="K118" s="489">
        <v>79.411764705882348</v>
      </c>
    </row>
    <row r="119" spans="6:17" s="386" customFormat="1" hidden="1" outlineLevel="1" x14ac:dyDescent="0.2">
      <c r="F119" s="59" t="s">
        <v>173</v>
      </c>
      <c r="H119" s="488">
        <v>807</v>
      </c>
      <c r="I119" s="488">
        <v>88</v>
      </c>
      <c r="J119" s="489">
        <v>9525</v>
      </c>
      <c r="K119" s="489">
        <v>108.23863636363636</v>
      </c>
    </row>
    <row r="120" spans="6:17" s="386" customFormat="1" hidden="1" outlineLevel="1" x14ac:dyDescent="0.2">
      <c r="F120" s="58" t="s">
        <v>489</v>
      </c>
      <c r="H120" s="488">
        <v>9</v>
      </c>
      <c r="I120" s="488">
        <v>0</v>
      </c>
      <c r="J120" s="489">
        <v>0</v>
      </c>
      <c r="K120" s="489">
        <v>0</v>
      </c>
    </row>
    <row r="121" spans="6:17" s="386" customFormat="1" hidden="1" outlineLevel="1" x14ac:dyDescent="0.2">
      <c r="F121" s="58" t="s">
        <v>486</v>
      </c>
      <c r="H121" s="488">
        <v>25</v>
      </c>
      <c r="I121" s="488">
        <v>7</v>
      </c>
      <c r="J121" s="489">
        <v>550</v>
      </c>
      <c r="K121" s="489">
        <v>78.571428571428569</v>
      </c>
    </row>
    <row r="122" spans="6:17" s="386" customFormat="1" hidden="1" outlineLevel="1" x14ac:dyDescent="0.2">
      <c r="F122" s="58" t="s">
        <v>488</v>
      </c>
      <c r="H122" s="488">
        <v>0</v>
      </c>
      <c r="I122" s="488">
        <v>9</v>
      </c>
      <c r="J122" s="489">
        <v>300</v>
      </c>
      <c r="K122" s="489">
        <v>33.333333333333336</v>
      </c>
    </row>
    <row r="123" spans="6:17" s="386" customFormat="1" hidden="1" outlineLevel="1" x14ac:dyDescent="0.2">
      <c r="F123" s="58" t="s">
        <v>487</v>
      </c>
      <c r="H123" s="488">
        <v>6</v>
      </c>
      <c r="I123" s="488">
        <v>3</v>
      </c>
      <c r="J123" s="489">
        <v>325</v>
      </c>
      <c r="K123" s="489">
        <v>108.33333333333333</v>
      </c>
    </row>
    <row r="124" spans="6:17" s="386" customFormat="1" collapsed="1" x14ac:dyDescent="0.2">
      <c r="F124" s="492" t="s">
        <v>735</v>
      </c>
      <c r="G124" s="493"/>
      <c r="H124" s="494">
        <v>3688</v>
      </c>
      <c r="I124" s="494">
        <v>275</v>
      </c>
      <c r="J124" s="495">
        <v>25125</v>
      </c>
      <c r="K124" s="495">
        <v>91.36363636363636</v>
      </c>
    </row>
    <row r="125" spans="6:17" s="386" customFormat="1" x14ac:dyDescent="0.2">
      <c r="F125"/>
      <c r="H125" s="58"/>
      <c r="I125"/>
      <c r="J125" s="53"/>
      <c r="K125" s="53"/>
    </row>
    <row r="126" spans="6:17" s="386" customFormat="1" hidden="1" outlineLevel="1" x14ac:dyDescent="0.2">
      <c r="F126" s="55" t="s">
        <v>200</v>
      </c>
      <c r="H126" s="58"/>
      <c r="I126" s="58"/>
      <c r="J126" s="53"/>
      <c r="K126" s="53"/>
    </row>
    <row r="127" spans="6:17" s="386" customFormat="1" hidden="1" outlineLevel="1" x14ac:dyDescent="0.2">
      <c r="F127" s="59" t="s">
        <v>193</v>
      </c>
      <c r="H127" s="488">
        <v>1</v>
      </c>
      <c r="I127" s="488">
        <v>20</v>
      </c>
      <c r="J127" s="489">
        <v>1775</v>
      </c>
      <c r="K127" s="489">
        <v>88.75</v>
      </c>
    </row>
    <row r="128" spans="6:17" s="386" customFormat="1" hidden="1" outlineLevel="1" x14ac:dyDescent="0.2">
      <c r="F128" s="59" t="s">
        <v>167</v>
      </c>
      <c r="H128" s="488">
        <v>3</v>
      </c>
      <c r="I128" s="488">
        <v>61</v>
      </c>
      <c r="J128" s="489">
        <v>6525</v>
      </c>
      <c r="K128" s="489">
        <v>106.9672131147541</v>
      </c>
    </row>
    <row r="129" spans="5:17" s="386" customFormat="1" hidden="1" outlineLevel="1" x14ac:dyDescent="0.2">
      <c r="F129" s="59" t="s">
        <v>168</v>
      </c>
      <c r="H129" s="488">
        <v>2</v>
      </c>
      <c r="I129" s="488">
        <v>44</v>
      </c>
      <c r="J129" s="489">
        <v>3750</v>
      </c>
      <c r="K129" s="489">
        <v>85.227272727272734</v>
      </c>
    </row>
    <row r="130" spans="5:17" s="386" customFormat="1" hidden="1" outlineLevel="1" x14ac:dyDescent="0.2">
      <c r="F130" s="59" t="s">
        <v>169</v>
      </c>
      <c r="H130" s="488">
        <v>1</v>
      </c>
      <c r="I130" s="488">
        <v>62</v>
      </c>
      <c r="J130" s="489">
        <v>5150</v>
      </c>
      <c r="K130" s="489">
        <v>83.064516129032256</v>
      </c>
    </row>
    <row r="131" spans="5:17" s="386" customFormat="1" hidden="1" outlineLevel="1" x14ac:dyDescent="0.2">
      <c r="F131" s="59" t="s">
        <v>166</v>
      </c>
      <c r="H131" s="488">
        <v>1588</v>
      </c>
      <c r="I131" s="488">
        <v>77</v>
      </c>
      <c r="J131" s="489">
        <v>7500</v>
      </c>
      <c r="K131" s="489">
        <v>97.402597402597408</v>
      </c>
    </row>
    <row r="132" spans="5:17" s="386" customFormat="1" collapsed="1" x14ac:dyDescent="0.2">
      <c r="F132" s="492" t="s">
        <v>736</v>
      </c>
      <c r="G132" s="493"/>
      <c r="H132" s="494">
        <v>1595</v>
      </c>
      <c r="I132" s="494">
        <v>264</v>
      </c>
      <c r="J132" s="495">
        <v>24700</v>
      </c>
      <c r="K132" s="495">
        <v>93.560606060606062</v>
      </c>
    </row>
    <row r="133" spans="5:17" s="386" customFormat="1" x14ac:dyDescent="0.2"/>
    <row r="136" spans="5:17" x14ac:dyDescent="0.2">
      <c r="E136" s="38" t="s">
        <v>791</v>
      </c>
    </row>
    <row r="137" spans="5:17" x14ac:dyDescent="0.2">
      <c r="F137" s="166"/>
      <c r="H137" s="171" t="s">
        <v>444</v>
      </c>
      <c r="I137" s="171" t="s">
        <v>730</v>
      </c>
      <c r="J137" s="171" t="s">
        <v>60</v>
      </c>
      <c r="K137" s="171" t="s">
        <v>729</v>
      </c>
      <c r="M137" s="386"/>
      <c r="N137" s="386"/>
      <c r="P137" s="386"/>
      <c r="Q137" s="55" t="s">
        <v>733</v>
      </c>
    </row>
    <row r="138" spans="5:17" hidden="1" outlineLevel="1" x14ac:dyDescent="0.2">
      <c r="F138" s="55" t="s">
        <v>199</v>
      </c>
      <c r="H138" s="61"/>
      <c r="I138" s="61"/>
      <c r="J138" s="61"/>
      <c r="K138" s="61"/>
      <c r="M138" s="386"/>
      <c r="N138" s="386"/>
      <c r="P138" s="7" t="s">
        <v>243</v>
      </c>
      <c r="Q138" s="417" t="s">
        <v>734</v>
      </c>
    </row>
    <row r="139" spans="5:17" hidden="1" outlineLevel="1" x14ac:dyDescent="0.2">
      <c r="F139" s="59" t="s">
        <v>164</v>
      </c>
      <c r="H139" s="488">
        <v>1779</v>
      </c>
      <c r="I139" s="488">
        <v>11</v>
      </c>
      <c r="J139" s="489">
        <v>1208</v>
      </c>
      <c r="K139" s="489">
        <v>109.81818181818181</v>
      </c>
      <c r="M139" s="386"/>
      <c r="N139" s="386"/>
      <c r="P139" s="7" t="s">
        <v>287</v>
      </c>
      <c r="Q139" s="417" t="s">
        <v>433</v>
      </c>
    </row>
    <row r="140" spans="5:17" hidden="1" outlineLevel="1" x14ac:dyDescent="0.2">
      <c r="F140" s="59" t="s">
        <v>172</v>
      </c>
      <c r="H140" s="488">
        <v>2192</v>
      </c>
      <c r="I140" s="488">
        <v>18</v>
      </c>
      <c r="J140" s="489">
        <v>1620</v>
      </c>
      <c r="K140" s="489">
        <v>90</v>
      </c>
      <c r="M140" s="386"/>
      <c r="N140" s="386"/>
    </row>
    <row r="141" spans="5:17" hidden="1" outlineLevel="1" x14ac:dyDescent="0.2">
      <c r="F141" s="59" t="s">
        <v>171</v>
      </c>
      <c r="H141" s="488">
        <v>2699</v>
      </c>
      <c r="I141" s="488">
        <v>21</v>
      </c>
      <c r="J141" s="489">
        <v>1443</v>
      </c>
      <c r="K141" s="489">
        <v>68.714285714285708</v>
      </c>
      <c r="M141" s="386"/>
      <c r="N141" s="386"/>
    </row>
    <row r="142" spans="5:17" hidden="1" outlineLevel="1" x14ac:dyDescent="0.2">
      <c r="F142" s="59" t="s">
        <v>165</v>
      </c>
      <c r="H142" s="488">
        <v>698</v>
      </c>
      <c r="I142" s="488">
        <v>19</v>
      </c>
      <c r="J142" s="489">
        <v>1944</v>
      </c>
      <c r="K142" s="489">
        <v>102.31578947368421</v>
      </c>
      <c r="M142" s="386"/>
      <c r="N142" s="386"/>
    </row>
    <row r="143" spans="5:17" hidden="1" outlineLevel="1" x14ac:dyDescent="0.2">
      <c r="F143" s="59" t="s">
        <v>173</v>
      </c>
      <c r="H143" s="488">
        <v>5173</v>
      </c>
      <c r="I143" s="488">
        <v>30</v>
      </c>
      <c r="J143" s="489">
        <v>2916</v>
      </c>
      <c r="K143" s="489">
        <v>97.2</v>
      </c>
      <c r="M143" s="386"/>
      <c r="N143" s="386"/>
    </row>
    <row r="144" spans="5:17" hidden="1" outlineLevel="1" x14ac:dyDescent="0.2">
      <c r="F144" t="s">
        <v>489</v>
      </c>
      <c r="H144" s="488">
        <v>111</v>
      </c>
      <c r="I144" s="488">
        <v>0</v>
      </c>
      <c r="J144" s="489">
        <v>0</v>
      </c>
      <c r="K144" s="489">
        <v>0</v>
      </c>
      <c r="M144" s="386"/>
      <c r="N144" s="386"/>
    </row>
    <row r="145" spans="6:14" hidden="1" outlineLevel="1" x14ac:dyDescent="0.2">
      <c r="F145" t="s">
        <v>486</v>
      </c>
      <c r="H145" s="488">
        <v>312</v>
      </c>
      <c r="I145" s="488">
        <v>3</v>
      </c>
      <c r="J145" s="489">
        <v>471</v>
      </c>
      <c r="K145" s="489">
        <v>157</v>
      </c>
      <c r="M145" s="386"/>
      <c r="N145" s="386"/>
    </row>
    <row r="146" spans="6:14" hidden="1" outlineLevel="1" x14ac:dyDescent="0.2">
      <c r="F146" t="s">
        <v>488</v>
      </c>
      <c r="H146" s="488">
        <v>59</v>
      </c>
      <c r="I146" s="488">
        <v>4</v>
      </c>
      <c r="J146" s="489">
        <v>118</v>
      </c>
      <c r="K146" s="489">
        <v>29.5</v>
      </c>
      <c r="M146" s="386"/>
      <c r="N146" s="386"/>
    </row>
    <row r="147" spans="6:14" hidden="1" outlineLevel="1" x14ac:dyDescent="0.2">
      <c r="F147" t="s">
        <v>487</v>
      </c>
      <c r="H147" s="490">
        <v>173</v>
      </c>
      <c r="I147" s="490">
        <v>0</v>
      </c>
      <c r="J147" s="491">
        <v>0</v>
      </c>
      <c r="K147" s="491">
        <v>0</v>
      </c>
      <c r="M147" s="386"/>
      <c r="N147" s="386"/>
    </row>
    <row r="148" spans="6:14" collapsed="1" x14ac:dyDescent="0.2">
      <c r="F148" s="492" t="s">
        <v>199</v>
      </c>
      <c r="G148" s="493"/>
      <c r="H148" s="494">
        <v>13196</v>
      </c>
      <c r="I148" s="494">
        <v>106</v>
      </c>
      <c r="J148" s="495">
        <v>9720</v>
      </c>
      <c r="K148" s="495">
        <v>91.698113207547166</v>
      </c>
      <c r="M148" s="386"/>
      <c r="N148" s="386"/>
    </row>
    <row r="149" spans="6:14" x14ac:dyDescent="0.2">
      <c r="F149" s="58"/>
      <c r="H149" s="61"/>
      <c r="I149" s="61"/>
      <c r="J149" s="61"/>
      <c r="K149" s="61"/>
      <c r="M149" s="386"/>
      <c r="N149" s="386"/>
    </row>
    <row r="150" spans="6:14" hidden="1" outlineLevel="1" x14ac:dyDescent="0.2">
      <c r="F150" s="55" t="s">
        <v>200</v>
      </c>
      <c r="H150" s="61"/>
      <c r="I150" s="61"/>
      <c r="J150" s="61"/>
      <c r="K150" s="61"/>
      <c r="M150" s="386"/>
      <c r="N150" s="386"/>
    </row>
    <row r="151" spans="6:14" hidden="1" outlineLevel="1" x14ac:dyDescent="0.2">
      <c r="F151" s="59" t="s">
        <v>193</v>
      </c>
      <c r="H151" s="488">
        <v>798</v>
      </c>
      <c r="I151" s="488">
        <v>8</v>
      </c>
      <c r="J151" s="489">
        <v>560</v>
      </c>
      <c r="K151" s="489">
        <v>70</v>
      </c>
      <c r="M151" s="386"/>
      <c r="N151" s="386"/>
    </row>
    <row r="152" spans="6:14" hidden="1" outlineLevel="1" x14ac:dyDescent="0.2">
      <c r="F152" s="59" t="s">
        <v>167</v>
      </c>
      <c r="H152" s="488">
        <v>2342</v>
      </c>
      <c r="I152" s="488">
        <v>29</v>
      </c>
      <c r="J152" s="489">
        <v>2592</v>
      </c>
      <c r="K152" s="489">
        <v>89.379310344827587</v>
      </c>
      <c r="M152" s="386"/>
      <c r="N152" s="386"/>
    </row>
    <row r="153" spans="6:14" hidden="1" outlineLevel="1" x14ac:dyDescent="0.2">
      <c r="F153" s="59" t="s">
        <v>168</v>
      </c>
      <c r="H153" s="488">
        <v>1618</v>
      </c>
      <c r="I153" s="488">
        <v>21</v>
      </c>
      <c r="J153" s="489">
        <v>2533</v>
      </c>
      <c r="K153" s="489">
        <v>120.61904761904762</v>
      </c>
      <c r="M153" s="386"/>
      <c r="N153" s="386"/>
    </row>
    <row r="154" spans="6:14" hidden="1" outlineLevel="1" x14ac:dyDescent="0.2">
      <c r="F154" s="59" t="s">
        <v>169</v>
      </c>
      <c r="H154" s="488">
        <v>673</v>
      </c>
      <c r="I154" s="488">
        <v>38</v>
      </c>
      <c r="J154" s="489">
        <v>4094</v>
      </c>
      <c r="K154" s="489">
        <v>107.73684210526316</v>
      </c>
      <c r="M154" s="386"/>
      <c r="N154" s="386"/>
    </row>
    <row r="155" spans="6:14" hidden="1" outlineLevel="1" x14ac:dyDescent="0.2">
      <c r="F155" s="59" t="s">
        <v>166</v>
      </c>
      <c r="H155" s="488">
        <v>2014</v>
      </c>
      <c r="I155" s="488">
        <v>43</v>
      </c>
      <c r="J155" s="489">
        <v>3505</v>
      </c>
      <c r="K155" s="489">
        <v>81.511627906976742</v>
      </c>
      <c r="M155" s="386"/>
      <c r="N155" s="386"/>
    </row>
    <row r="156" spans="6:14" collapsed="1" x14ac:dyDescent="0.2">
      <c r="F156" s="492" t="s">
        <v>200</v>
      </c>
      <c r="G156" s="493"/>
      <c r="H156" s="494">
        <v>7445</v>
      </c>
      <c r="I156" s="494">
        <v>139</v>
      </c>
      <c r="J156" s="495">
        <v>13284</v>
      </c>
      <c r="K156" s="495">
        <v>95.568345323741013</v>
      </c>
      <c r="M156" s="386"/>
      <c r="N156" s="386"/>
    </row>
    <row r="157" spans="6:14" x14ac:dyDescent="0.2">
      <c r="H157" s="61"/>
      <c r="I157" s="61"/>
      <c r="J157" s="61"/>
      <c r="K157" s="61"/>
      <c r="M157" s="386"/>
      <c r="N157" s="386"/>
    </row>
    <row r="158" spans="6:14" x14ac:dyDescent="0.2">
      <c r="F158" s="492" t="s">
        <v>161</v>
      </c>
      <c r="G158" s="493"/>
      <c r="H158" s="494">
        <v>5</v>
      </c>
      <c r="I158" s="494">
        <v>1</v>
      </c>
      <c r="J158" s="495">
        <v>145</v>
      </c>
      <c r="K158" s="495">
        <v>145</v>
      </c>
    </row>
    <row r="159" spans="6:14" x14ac:dyDescent="0.2">
      <c r="H159" s="61"/>
      <c r="I159" s="61"/>
      <c r="J159" s="61"/>
      <c r="K159" s="61"/>
    </row>
    <row r="160" spans="6:14" x14ac:dyDescent="0.2">
      <c r="F160" s="492" t="s">
        <v>188</v>
      </c>
      <c r="G160" s="493"/>
      <c r="H160" s="494">
        <v>5</v>
      </c>
      <c r="I160" s="494">
        <v>1</v>
      </c>
      <c r="J160" s="495">
        <v>175</v>
      </c>
      <c r="K160" s="495">
        <v>175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tabColor theme="5"/>
  </sheetPr>
  <dimension ref="A1:R83"/>
  <sheetViews>
    <sheetView showGridLines="0" zoomScaleNormal="100" workbookViewId="0">
      <selection activeCell="H37" sqref="H37"/>
    </sheetView>
  </sheetViews>
  <sheetFormatPr defaultRowHeight="12" outlineLevelRow="1" x14ac:dyDescent="0.2"/>
  <cols>
    <col min="1" max="1" width="10.83203125" customWidth="1"/>
    <col min="2" max="2" width="6.6640625" bestFit="1" customWidth="1"/>
    <col min="3" max="5" width="2.5" customWidth="1"/>
    <col min="6" max="6" width="34.1640625" customWidth="1"/>
    <col min="7" max="7" width="15.33203125" customWidth="1"/>
    <col min="8" max="14" width="16.6640625" customWidth="1"/>
    <col min="15" max="15" width="4.6640625" customWidth="1"/>
    <col min="16" max="16" width="30" customWidth="1"/>
    <col min="17" max="17" width="61.1640625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572"/>
      <c r="H1" s="558"/>
      <c r="I1" s="558"/>
      <c r="J1" s="558"/>
      <c r="K1" s="558"/>
      <c r="L1" s="558"/>
      <c r="M1" s="558"/>
      <c r="N1" s="558"/>
    </row>
    <row r="2" spans="1:18" ht="16.5" thickBot="1" x14ac:dyDescent="0.3">
      <c r="A2" s="394" t="s">
        <v>1168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152"/>
      <c r="C7" s="36"/>
      <c r="D7" s="36"/>
      <c r="E7" s="36"/>
      <c r="F7" s="36"/>
      <c r="G7" s="36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</row>
    <row r="8" spans="1:18" ht="12.75" x14ac:dyDescent="0.2">
      <c r="F8" s="588" t="s">
        <v>1042</v>
      </c>
      <c r="G8" s="610" t="s">
        <v>1034</v>
      </c>
      <c r="H8" s="607">
        <v>1621730.0638224208</v>
      </c>
      <c r="I8" s="607">
        <v>1627903.5196209806</v>
      </c>
      <c r="J8" s="607">
        <v>1638731.0757482024</v>
      </c>
      <c r="K8" s="607">
        <v>1649169.21111254</v>
      </c>
      <c r="L8" s="607">
        <v>1661250.3863027454</v>
      </c>
      <c r="M8" s="607">
        <v>1672268.418076213</v>
      </c>
      <c r="N8" s="607">
        <v>1682126.6570314209</v>
      </c>
      <c r="P8" s="5"/>
    </row>
    <row r="9" spans="1:18" s="558" customFormat="1" x14ac:dyDescent="0.2">
      <c r="F9" s="6"/>
      <c r="G9" s="48"/>
    </row>
    <row r="10" spans="1:18" s="558" customFormat="1" x14ac:dyDescent="0.2">
      <c r="F10" s="431" t="s">
        <v>870</v>
      </c>
      <c r="G10" s="48" t="s">
        <v>869</v>
      </c>
      <c r="H10" s="53">
        <v>1535525.6930289387</v>
      </c>
      <c r="I10" s="53">
        <v>1541370.9938005873</v>
      </c>
      <c r="J10" s="53">
        <v>1551623.0024405916</v>
      </c>
      <c r="K10" s="53">
        <v>1561506.2902927487</v>
      </c>
      <c r="L10" s="53">
        <v>1572945.2808623752</v>
      </c>
      <c r="M10" s="53">
        <v>1583377.6402618745</v>
      </c>
      <c r="N10" s="53">
        <v>1592711.8565666899</v>
      </c>
    </row>
    <row r="11" spans="1:18" x14ac:dyDescent="0.2">
      <c r="A11" s="558"/>
    </row>
    <row r="12" spans="1:18" ht="12.75" x14ac:dyDescent="0.2">
      <c r="A12" s="558"/>
      <c r="F12" s="83" t="s">
        <v>1051</v>
      </c>
      <c r="G12" s="48" t="s">
        <v>869</v>
      </c>
      <c r="H12" s="53">
        <v>1529863.0579064039</v>
      </c>
      <c r="I12" s="53">
        <v>1529863.0579064039</v>
      </c>
      <c r="J12" s="53">
        <v>1532863.0579064039</v>
      </c>
      <c r="K12" s="53">
        <v>1532863.0579064039</v>
      </c>
      <c r="L12" s="53">
        <v>1532863.0579064039</v>
      </c>
      <c r="M12" s="53">
        <v>1532863.0579064039</v>
      </c>
      <c r="N12" s="53">
        <v>1532863.0579064039</v>
      </c>
      <c r="P12" s="5"/>
      <c r="Q12" s="417" t="s">
        <v>992</v>
      </c>
    </row>
    <row r="13" spans="1:18" s="558" customFormat="1" ht="12.75" x14ac:dyDescent="0.2">
      <c r="F13" s="6"/>
      <c r="G13" s="48"/>
      <c r="H13" s="577"/>
      <c r="I13" s="577"/>
      <c r="J13" s="577"/>
      <c r="K13" s="577"/>
      <c r="L13" s="577"/>
      <c r="M13" s="577"/>
      <c r="N13" s="577"/>
      <c r="P13" s="5"/>
      <c r="Q13" s="5"/>
    </row>
    <row r="14" spans="1:18" ht="15.75" thickBot="1" x14ac:dyDescent="0.3">
      <c r="A14" s="10" t="s">
        <v>37</v>
      </c>
      <c r="B14" s="10"/>
      <c r="C14" s="10"/>
      <c r="D14" s="10"/>
      <c r="E14" s="10"/>
      <c r="F14" s="10"/>
      <c r="G14" s="49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8" s="58" customFormat="1" ht="12.75" x14ac:dyDescent="0.2">
      <c r="H15" s="43" t="s">
        <v>251</v>
      </c>
      <c r="I15" s="43" t="s">
        <v>252</v>
      </c>
      <c r="J15" s="43" t="s">
        <v>253</v>
      </c>
      <c r="K15" s="43" t="s">
        <v>254</v>
      </c>
      <c r="L15" s="43" t="s">
        <v>255</v>
      </c>
      <c r="M15" s="43" t="s">
        <v>256</v>
      </c>
      <c r="N15" s="43" t="s">
        <v>257</v>
      </c>
    </row>
    <row r="16" spans="1:18" ht="10.9" customHeight="1" outlineLevel="1" x14ac:dyDescent="0.2"/>
    <row r="17" spans="1:17" s="558" customFormat="1" ht="4.1500000000000004" customHeight="1" outlineLevel="1" x14ac:dyDescent="0.2"/>
    <row r="18" spans="1:17" s="58" customFormat="1" outlineLevel="1" x14ac:dyDescent="0.2">
      <c r="A18" s="6"/>
      <c r="B18" s="6"/>
      <c r="F18" s="58" t="s">
        <v>936</v>
      </c>
      <c r="G18" s="48" t="s">
        <v>940</v>
      </c>
      <c r="H18" s="123">
        <v>549261.36</v>
      </c>
      <c r="I18" s="123">
        <v>549261.36</v>
      </c>
      <c r="J18" s="123">
        <v>549261.36</v>
      </c>
      <c r="K18" s="123">
        <v>549261.36</v>
      </c>
      <c r="L18" s="123">
        <v>549261.36</v>
      </c>
      <c r="M18" s="123">
        <v>549261.36</v>
      </c>
      <c r="N18" s="123">
        <v>549261.36</v>
      </c>
      <c r="Q18" s="417" t="s">
        <v>1035</v>
      </c>
    </row>
    <row r="19" spans="1:17" s="558" customFormat="1" ht="4.1500000000000004" customHeight="1" outlineLevel="1" x14ac:dyDescent="0.2"/>
    <row r="20" spans="1:17" s="58" customFormat="1" outlineLevel="1" x14ac:dyDescent="0.2">
      <c r="A20" s="6"/>
      <c r="B20" s="6"/>
      <c r="E20" s="38" t="s">
        <v>973</v>
      </c>
      <c r="G20" s="6" t="s">
        <v>1050</v>
      </c>
    </row>
    <row r="21" spans="1:17" s="58" customFormat="1" outlineLevel="1" x14ac:dyDescent="0.2">
      <c r="A21" s="6"/>
      <c r="B21" s="6"/>
      <c r="F21" s="148" t="s">
        <v>337</v>
      </c>
      <c r="G21" s="151">
        <v>771.75749999999994</v>
      </c>
      <c r="H21" s="147">
        <v>290834.72290640388</v>
      </c>
      <c r="I21" s="147">
        <v>290834.72290640388</v>
      </c>
      <c r="J21" s="147">
        <v>290834.72290640388</v>
      </c>
      <c r="K21" s="147">
        <v>290834.72290640388</v>
      </c>
      <c r="L21" s="147">
        <v>290834.72290640388</v>
      </c>
      <c r="M21" s="147">
        <v>290834.72290640388</v>
      </c>
      <c r="N21" s="147">
        <v>290834.72290640388</v>
      </c>
      <c r="P21" s="7" t="s">
        <v>289</v>
      </c>
      <c r="Q21" s="417" t="s">
        <v>1052</v>
      </c>
    </row>
    <row r="22" spans="1:17" s="58" customFormat="1" outlineLevel="1" x14ac:dyDescent="0.2">
      <c r="A22" s="6"/>
      <c r="B22" s="6"/>
      <c r="F22" s="58" t="s">
        <v>339</v>
      </c>
      <c r="G22" s="151">
        <v>150</v>
      </c>
      <c r="H22" s="147">
        <v>27000</v>
      </c>
      <c r="I22" s="147">
        <v>27000</v>
      </c>
      <c r="J22" s="147">
        <v>30000</v>
      </c>
      <c r="K22" s="147">
        <v>30000</v>
      </c>
      <c r="L22" s="147">
        <v>30000</v>
      </c>
      <c r="M22" s="147">
        <v>30000</v>
      </c>
      <c r="N22" s="147">
        <v>30000</v>
      </c>
      <c r="P22" s="7" t="s">
        <v>289</v>
      </c>
      <c r="Q22" s="417" t="s">
        <v>1052</v>
      </c>
    </row>
    <row r="23" spans="1:17" s="58" customFormat="1" outlineLevel="1" x14ac:dyDescent="0.2">
      <c r="A23" s="6"/>
      <c r="B23" s="6"/>
      <c r="F23" s="58" t="s">
        <v>341</v>
      </c>
      <c r="G23" s="151">
        <v>636.49</v>
      </c>
      <c r="H23" s="147">
        <v>57284.1</v>
      </c>
      <c r="I23" s="147">
        <v>57284.1</v>
      </c>
      <c r="J23" s="147">
        <v>57284.1</v>
      </c>
      <c r="K23" s="147">
        <v>57284.1</v>
      </c>
      <c r="L23" s="147">
        <v>57284.1</v>
      </c>
      <c r="M23" s="147">
        <v>57284.1</v>
      </c>
      <c r="N23" s="147">
        <v>57284.1</v>
      </c>
      <c r="P23" s="7" t="s">
        <v>289</v>
      </c>
      <c r="Q23" s="417" t="s">
        <v>1052</v>
      </c>
    </row>
    <row r="24" spans="1:17" s="58" customFormat="1" outlineLevel="1" x14ac:dyDescent="0.2">
      <c r="A24" s="6"/>
      <c r="B24" s="6"/>
      <c r="F24" s="58" t="s">
        <v>346</v>
      </c>
      <c r="G24" s="151">
        <v>282.93666666666667</v>
      </c>
      <c r="H24" s="147">
        <v>76392.899999999994</v>
      </c>
      <c r="I24" s="147">
        <v>76392.899999999994</v>
      </c>
      <c r="J24" s="147">
        <v>76392.899999999994</v>
      </c>
      <c r="K24" s="147">
        <v>76392.899999999994</v>
      </c>
      <c r="L24" s="147">
        <v>76392.899999999994</v>
      </c>
      <c r="M24" s="147">
        <v>76392.899999999994</v>
      </c>
      <c r="N24" s="147">
        <v>76392.899999999994</v>
      </c>
      <c r="P24" s="7" t="s">
        <v>289</v>
      </c>
      <c r="Q24" s="417" t="s">
        <v>1052</v>
      </c>
    </row>
    <row r="25" spans="1:17" s="58" customFormat="1" outlineLevel="1" x14ac:dyDescent="0.2">
      <c r="A25" s="6"/>
      <c r="B25" s="6"/>
      <c r="F25" s="58" t="s">
        <v>348</v>
      </c>
      <c r="G25" s="151">
        <v>653.1975000000001</v>
      </c>
      <c r="H25" s="147">
        <v>529089.97500000009</v>
      </c>
      <c r="I25" s="147">
        <v>529089.97500000009</v>
      </c>
      <c r="J25" s="147">
        <v>529089.97500000009</v>
      </c>
      <c r="K25" s="147">
        <v>529089.97500000009</v>
      </c>
      <c r="L25" s="147">
        <v>529089.97500000009</v>
      </c>
      <c r="M25" s="147">
        <v>529089.97500000009</v>
      </c>
      <c r="N25" s="147">
        <v>529089.97500000009</v>
      </c>
      <c r="P25" s="7" t="s">
        <v>289</v>
      </c>
      <c r="Q25" s="417" t="s">
        <v>1052</v>
      </c>
    </row>
    <row r="26" spans="1:17" s="58" customFormat="1" ht="4.1500000000000004" customHeight="1" outlineLevel="1" x14ac:dyDescent="0.2"/>
    <row r="27" spans="1:17" s="558" customFormat="1" outlineLevel="1" x14ac:dyDescent="0.2">
      <c r="F27" s="85" t="s">
        <v>1051</v>
      </c>
      <c r="G27" s="435"/>
      <c r="H27" s="88">
        <v>1529863.0579064039</v>
      </c>
      <c r="I27" s="88">
        <v>1529863.0579064039</v>
      </c>
      <c r="J27" s="88">
        <v>1532863.0579064039</v>
      </c>
      <c r="K27" s="88">
        <v>1532863.0579064039</v>
      </c>
      <c r="L27" s="88">
        <v>1532863.0579064039</v>
      </c>
      <c r="M27" s="88">
        <v>1532863.0579064039</v>
      </c>
      <c r="N27" s="88">
        <v>1532863.0579064039</v>
      </c>
    </row>
    <row r="28" spans="1:17" s="58" customFormat="1" outlineLevel="1" x14ac:dyDescent="0.2"/>
    <row r="29" spans="1:17" ht="12.75" outlineLevel="1" x14ac:dyDescent="0.2">
      <c r="E29" s="38" t="s">
        <v>350</v>
      </c>
      <c r="F29" s="58"/>
      <c r="G29" s="58"/>
      <c r="P29" s="5"/>
      <c r="Q29" s="5"/>
    </row>
    <row r="30" spans="1:17" s="58" customFormat="1" outlineLevel="1" x14ac:dyDescent="0.2">
      <c r="F30" s="58" t="s">
        <v>343</v>
      </c>
      <c r="G30" s="149">
        <v>6.1576354679802957E-2</v>
      </c>
      <c r="H30" s="150">
        <v>554.18719211822656</v>
      </c>
      <c r="I30" s="150">
        <v>554.18719211822656</v>
      </c>
      <c r="J30" s="529">
        <v>150</v>
      </c>
      <c r="K30" s="529">
        <v>150</v>
      </c>
      <c r="L30" s="529">
        <v>150</v>
      </c>
      <c r="M30" s="529">
        <v>150</v>
      </c>
      <c r="N30" s="529">
        <v>150</v>
      </c>
      <c r="P30" s="7" t="s">
        <v>289</v>
      </c>
      <c r="Q30" s="417" t="s">
        <v>1238</v>
      </c>
    </row>
    <row r="31" spans="1:17" s="58" customFormat="1" ht="12.75" outlineLevel="1" x14ac:dyDescent="0.2">
      <c r="F31" s="148" t="s">
        <v>337</v>
      </c>
      <c r="G31" s="149">
        <v>4.1871921182266007E-2</v>
      </c>
      <c r="H31" s="150">
        <v>376.84729064039408</v>
      </c>
      <c r="I31" s="150">
        <v>376.84729064039408</v>
      </c>
      <c r="J31" s="150">
        <v>376.84729064039408</v>
      </c>
      <c r="K31" s="150">
        <v>376.84729064039408</v>
      </c>
      <c r="L31" s="150">
        <v>376.84729064039408</v>
      </c>
      <c r="M31" s="150">
        <v>376.84729064039408</v>
      </c>
      <c r="N31" s="150">
        <v>376.84729064039408</v>
      </c>
      <c r="P31" s="5"/>
      <c r="Q31" s="5"/>
    </row>
    <row r="32" spans="1:17" s="58" customFormat="1" outlineLevel="1" x14ac:dyDescent="0.2">
      <c r="E32"/>
      <c r="F32" s="58" t="s">
        <v>339</v>
      </c>
      <c r="G32" s="149">
        <v>0.02</v>
      </c>
      <c r="H32" s="150">
        <v>180</v>
      </c>
      <c r="I32" s="150">
        <v>180</v>
      </c>
      <c r="J32" s="529">
        <v>200</v>
      </c>
      <c r="K32" s="529">
        <v>200</v>
      </c>
      <c r="L32" s="529">
        <v>200</v>
      </c>
      <c r="M32" s="529">
        <v>200</v>
      </c>
      <c r="N32" s="529">
        <v>200</v>
      </c>
      <c r="P32" s="7" t="s">
        <v>289</v>
      </c>
      <c r="Q32" s="417" t="s">
        <v>1239</v>
      </c>
    </row>
    <row r="33" spans="1:17" s="58" customFormat="1" outlineLevel="1" x14ac:dyDescent="0.2">
      <c r="F33" t="s">
        <v>341</v>
      </c>
      <c r="G33" s="149">
        <v>0.01</v>
      </c>
      <c r="H33" s="150">
        <v>90</v>
      </c>
      <c r="I33" s="150">
        <v>90</v>
      </c>
      <c r="J33" s="150">
        <v>90</v>
      </c>
      <c r="K33" s="150">
        <v>90</v>
      </c>
      <c r="L33" s="150">
        <v>90</v>
      </c>
      <c r="M33" s="150">
        <v>90</v>
      </c>
      <c r="N33" s="150">
        <v>90</v>
      </c>
      <c r="P33" s="558"/>
      <c r="Q33" s="558"/>
    </row>
    <row r="34" spans="1:17" s="58" customFormat="1" ht="12.75" outlineLevel="1" x14ac:dyDescent="0.2">
      <c r="F34" s="58" t="s">
        <v>346</v>
      </c>
      <c r="G34" s="149">
        <v>0.03</v>
      </c>
      <c r="H34" s="150">
        <v>270</v>
      </c>
      <c r="I34" s="150">
        <v>270</v>
      </c>
      <c r="J34" s="150">
        <v>270</v>
      </c>
      <c r="K34" s="150">
        <v>270</v>
      </c>
      <c r="L34" s="150">
        <v>270</v>
      </c>
      <c r="M34" s="150">
        <v>270</v>
      </c>
      <c r="N34" s="150">
        <v>270</v>
      </c>
      <c r="P34" s="5"/>
      <c r="Q34" s="5"/>
    </row>
    <row r="35" spans="1:17" s="58" customFormat="1" ht="12.75" outlineLevel="1" x14ac:dyDescent="0.2">
      <c r="F35" s="58" t="s">
        <v>348</v>
      </c>
      <c r="G35" s="149">
        <v>0.09</v>
      </c>
      <c r="H35" s="150">
        <v>810</v>
      </c>
      <c r="I35" s="150">
        <v>810</v>
      </c>
      <c r="J35" s="150">
        <v>810</v>
      </c>
      <c r="K35" s="150">
        <v>810</v>
      </c>
      <c r="L35" s="150">
        <v>810</v>
      </c>
      <c r="M35" s="150">
        <v>810</v>
      </c>
      <c r="N35" s="150">
        <v>810</v>
      </c>
      <c r="P35" s="5"/>
      <c r="Q35" s="5"/>
    </row>
    <row r="36" spans="1:17" s="58" customFormat="1" ht="12.75" outlineLevel="1" x14ac:dyDescent="0.2">
      <c r="G36" s="48"/>
      <c r="P36" s="5"/>
      <c r="Q36" s="5"/>
    </row>
    <row r="37" spans="1:17" ht="12.75" outlineLevel="1" x14ac:dyDescent="0.2">
      <c r="E37" s="38" t="s">
        <v>39</v>
      </c>
      <c r="G37" s="48"/>
      <c r="P37" s="5"/>
      <c r="Q37" s="5"/>
    </row>
    <row r="38" spans="1:17" outlineLevel="1" x14ac:dyDescent="0.2">
      <c r="F38" t="s">
        <v>33</v>
      </c>
      <c r="G38" s="48" t="s">
        <v>57</v>
      </c>
      <c r="H38" s="37">
        <v>69540</v>
      </c>
      <c r="I38" s="37">
        <v>60540</v>
      </c>
      <c r="J38" s="37">
        <v>51540</v>
      </c>
      <c r="K38" s="37">
        <v>42540</v>
      </c>
      <c r="L38" s="37">
        <v>33540</v>
      </c>
      <c r="M38" s="37">
        <v>24540</v>
      </c>
      <c r="N38" s="37">
        <v>15540</v>
      </c>
    </row>
    <row r="39" spans="1:17" outlineLevel="1" x14ac:dyDescent="0.2">
      <c r="F39" t="s">
        <v>41</v>
      </c>
      <c r="G39" s="48" t="s">
        <v>57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</row>
    <row r="40" spans="1:17" outlineLevel="1" x14ac:dyDescent="0.2">
      <c r="F40" t="s">
        <v>39</v>
      </c>
      <c r="G40" s="48" t="s">
        <v>57</v>
      </c>
      <c r="H40" s="37">
        <v>-9000</v>
      </c>
      <c r="I40" s="37">
        <v>-9000</v>
      </c>
      <c r="J40" s="37">
        <v>-9000</v>
      </c>
      <c r="K40" s="37">
        <v>-9000</v>
      </c>
      <c r="L40" s="37">
        <v>-9000</v>
      </c>
      <c r="M40" s="37">
        <v>-9000</v>
      </c>
      <c r="N40" s="37">
        <v>-9000</v>
      </c>
      <c r="P40" s="7" t="s">
        <v>289</v>
      </c>
      <c r="Q40" s="417" t="s">
        <v>741</v>
      </c>
    </row>
    <row r="41" spans="1:17" ht="12.75" outlineLevel="1" x14ac:dyDescent="0.2">
      <c r="F41" t="s">
        <v>35</v>
      </c>
      <c r="G41" s="48" t="s">
        <v>57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P41" s="5"/>
      <c r="Q41" s="5"/>
    </row>
    <row r="42" spans="1:17" outlineLevel="1" x14ac:dyDescent="0.2">
      <c r="F42" s="85" t="s">
        <v>34</v>
      </c>
      <c r="G42" s="435" t="s">
        <v>57</v>
      </c>
      <c r="H42" s="101">
        <v>60540</v>
      </c>
      <c r="I42" s="101">
        <v>51540</v>
      </c>
      <c r="J42" s="101">
        <v>42540</v>
      </c>
      <c r="K42" s="101">
        <v>33540</v>
      </c>
      <c r="L42" s="101">
        <v>24540</v>
      </c>
      <c r="M42" s="101">
        <v>15540</v>
      </c>
      <c r="N42" s="101">
        <v>6540</v>
      </c>
    </row>
    <row r="43" spans="1:17" outlineLevel="1" x14ac:dyDescent="0.2">
      <c r="G43" s="48"/>
    </row>
    <row r="44" spans="1:17" ht="12.75" x14ac:dyDescent="0.2">
      <c r="A44" s="227" t="s">
        <v>523</v>
      </c>
      <c r="B44" s="80" t="s">
        <v>522</v>
      </c>
      <c r="G44" s="48"/>
    </row>
    <row r="45" spans="1:17" ht="15.75" thickBot="1" x14ac:dyDescent="0.3">
      <c r="A45" s="10" t="s">
        <v>31</v>
      </c>
      <c r="B45" s="10"/>
      <c r="C45" s="10"/>
      <c r="D45" s="10"/>
      <c r="E45" s="10"/>
      <c r="F45" s="10"/>
      <c r="G45" s="49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x14ac:dyDescent="0.2">
      <c r="G46" s="48"/>
    </row>
    <row r="47" spans="1:17" x14ac:dyDescent="0.2">
      <c r="F47" s="38" t="s">
        <v>65</v>
      </c>
      <c r="G47" s="48" t="s">
        <v>57</v>
      </c>
      <c r="H47" s="748">
        <v>69540</v>
      </c>
      <c r="I47" s="190"/>
      <c r="J47" s="558"/>
      <c r="K47" s="58"/>
      <c r="L47" s="58"/>
      <c r="M47" s="58"/>
      <c r="N47" s="58"/>
      <c r="P47" s="7" t="s">
        <v>243</v>
      </c>
      <c r="Q47" s="8" t="s">
        <v>1237</v>
      </c>
    </row>
    <row r="48" spans="1:17" x14ac:dyDescent="0.2">
      <c r="F48" s="38" t="s">
        <v>66</v>
      </c>
      <c r="G48" s="48" t="s">
        <v>43</v>
      </c>
      <c r="H48" s="749">
        <v>1</v>
      </c>
      <c r="I48" s="190"/>
      <c r="J48" s="190"/>
      <c r="P48" s="7"/>
      <c r="Q48" s="8" t="s">
        <v>349</v>
      </c>
    </row>
    <row r="49" spans="5:17" x14ac:dyDescent="0.2">
      <c r="G49" s="48"/>
      <c r="H49" s="190"/>
      <c r="I49" s="190"/>
      <c r="J49" s="190"/>
    </row>
    <row r="50" spans="5:17" x14ac:dyDescent="0.2">
      <c r="F50" s="38" t="s">
        <v>33</v>
      </c>
      <c r="G50" s="48" t="s">
        <v>57</v>
      </c>
      <c r="H50" s="748">
        <v>69540</v>
      </c>
      <c r="I50" s="190"/>
      <c r="J50" s="190"/>
      <c r="P50" s="7"/>
      <c r="Q50" s="8" t="s">
        <v>61</v>
      </c>
    </row>
    <row r="51" spans="5:17" x14ac:dyDescent="0.2">
      <c r="F51" s="39" t="s">
        <v>36</v>
      </c>
      <c r="G51" s="48" t="s">
        <v>58</v>
      </c>
      <c r="H51" s="734">
        <v>0</v>
      </c>
      <c r="I51" s="190"/>
      <c r="J51" s="190"/>
      <c r="P51" s="7"/>
      <c r="Q51" s="8" t="s">
        <v>40</v>
      </c>
    </row>
    <row r="52" spans="5:17" x14ac:dyDescent="0.2">
      <c r="F52" s="39" t="s">
        <v>62</v>
      </c>
      <c r="G52" s="48" t="s">
        <v>63</v>
      </c>
      <c r="H52" s="750">
        <v>7.5</v>
      </c>
      <c r="I52" s="190"/>
      <c r="J52" s="190"/>
      <c r="P52" s="7" t="s">
        <v>289</v>
      </c>
      <c r="Q52" s="8" t="s">
        <v>45</v>
      </c>
    </row>
    <row r="53" spans="5:17" x14ac:dyDescent="0.2">
      <c r="G53" s="48"/>
      <c r="H53" s="190"/>
      <c r="I53" s="190"/>
      <c r="J53" s="190"/>
    </row>
    <row r="54" spans="5:17" x14ac:dyDescent="0.2">
      <c r="F54" s="38" t="s">
        <v>30</v>
      </c>
      <c r="G54" s="48" t="s">
        <v>57</v>
      </c>
      <c r="H54" s="734">
        <v>9000</v>
      </c>
      <c r="I54" s="190"/>
      <c r="J54" s="190"/>
      <c r="P54" s="7" t="s">
        <v>289</v>
      </c>
      <c r="Q54" s="8" t="s">
        <v>32</v>
      </c>
    </row>
    <row r="55" spans="5:17" x14ac:dyDescent="0.2">
      <c r="G55" s="48"/>
      <c r="H55" s="190"/>
      <c r="I55" s="190"/>
      <c r="J55" s="190"/>
    </row>
    <row r="56" spans="5:17" x14ac:dyDescent="0.2">
      <c r="E56" s="38" t="s">
        <v>350</v>
      </c>
      <c r="F56" s="386"/>
      <c r="G56" s="386"/>
      <c r="H56" s="206" t="s">
        <v>742</v>
      </c>
      <c r="I56" s="206" t="s">
        <v>1236</v>
      </c>
      <c r="J56" s="190"/>
    </row>
    <row r="57" spans="5:17" s="386" customFormat="1" x14ac:dyDescent="0.2">
      <c r="F57" s="386" t="s">
        <v>343</v>
      </c>
      <c r="H57" s="751">
        <v>6.1576354679802957E-2</v>
      </c>
      <c r="I57" s="754">
        <v>6.1576354679802957E-2</v>
      </c>
      <c r="J57" s="190"/>
      <c r="P57" s="7" t="s">
        <v>289</v>
      </c>
      <c r="Q57" s="417" t="s">
        <v>1235</v>
      </c>
    </row>
    <row r="58" spans="5:17" s="386" customFormat="1" x14ac:dyDescent="0.2">
      <c r="F58" s="148" t="s">
        <v>337</v>
      </c>
      <c r="H58" s="751">
        <v>4.1871921182266007E-2</v>
      </c>
      <c r="I58" s="754">
        <v>4.1871921182266007E-2</v>
      </c>
      <c r="J58" s="190"/>
      <c r="P58" s="7" t="s">
        <v>289</v>
      </c>
      <c r="Q58" s="417" t="s">
        <v>1235</v>
      </c>
    </row>
    <row r="59" spans="5:17" s="386" customFormat="1" x14ac:dyDescent="0.2">
      <c r="F59" s="386" t="s">
        <v>339</v>
      </c>
      <c r="H59" s="751">
        <v>0.10098522167487685</v>
      </c>
      <c r="I59" s="754">
        <v>0.02</v>
      </c>
      <c r="J59" s="190"/>
      <c r="P59" s="7" t="s">
        <v>289</v>
      </c>
      <c r="Q59" s="417" t="s">
        <v>1235</v>
      </c>
    </row>
    <row r="60" spans="5:17" s="386" customFormat="1" x14ac:dyDescent="0.2">
      <c r="F60" s="386" t="s">
        <v>341</v>
      </c>
      <c r="H60" s="751">
        <v>0</v>
      </c>
      <c r="I60" s="754">
        <v>0.01</v>
      </c>
      <c r="J60" s="190"/>
      <c r="P60" s="7" t="s">
        <v>289</v>
      </c>
      <c r="Q60" s="417" t="s">
        <v>1235</v>
      </c>
    </row>
    <row r="61" spans="5:17" s="386" customFormat="1" x14ac:dyDescent="0.2">
      <c r="F61" s="386" t="s">
        <v>346</v>
      </c>
      <c r="H61" s="751">
        <v>1.2315270935960592E-2</v>
      </c>
      <c r="I61" s="754">
        <v>0.03</v>
      </c>
      <c r="J61" s="190"/>
      <c r="P61" s="7" t="s">
        <v>289</v>
      </c>
      <c r="Q61" s="417" t="s">
        <v>1235</v>
      </c>
    </row>
    <row r="62" spans="5:17" s="386" customFormat="1" x14ac:dyDescent="0.2">
      <c r="F62" s="386" t="s">
        <v>348</v>
      </c>
      <c r="H62" s="751">
        <v>0.1354679802955665</v>
      </c>
      <c r="I62" s="754">
        <v>0.09</v>
      </c>
      <c r="J62" s="190"/>
      <c r="P62" s="7" t="s">
        <v>289</v>
      </c>
      <c r="Q62" s="417" t="s">
        <v>1235</v>
      </c>
    </row>
    <row r="63" spans="5:17" s="386" customFormat="1" x14ac:dyDescent="0.2">
      <c r="H63" s="190"/>
      <c r="I63" s="190"/>
      <c r="J63" s="190"/>
    </row>
    <row r="64" spans="5:17" s="558" customFormat="1" x14ac:dyDescent="0.2">
      <c r="E64" s="38" t="s">
        <v>1233</v>
      </c>
      <c r="H64" s="190"/>
      <c r="I64" s="190"/>
      <c r="J64" s="190"/>
    </row>
    <row r="65" spans="1:17" s="558" customFormat="1" x14ac:dyDescent="0.2">
      <c r="F65" s="558" t="s">
        <v>331</v>
      </c>
      <c r="G65" s="48" t="s">
        <v>991</v>
      </c>
      <c r="H65" s="752">
        <v>48.59</v>
      </c>
      <c r="I65" s="190"/>
      <c r="J65" s="190"/>
      <c r="P65" s="7" t="s">
        <v>289</v>
      </c>
      <c r="Q65" s="417" t="s">
        <v>1234</v>
      </c>
    </row>
    <row r="66" spans="1:17" s="386" customFormat="1" x14ac:dyDescent="0.2">
      <c r="G66" s="48" t="s">
        <v>942</v>
      </c>
      <c r="H66" s="753">
        <v>61.029040000000002</v>
      </c>
      <c r="I66" s="190"/>
      <c r="J66" s="190"/>
    </row>
    <row r="67" spans="1:17" s="386" customFormat="1" x14ac:dyDescent="0.2"/>
    <row r="69" spans="1:17" s="431" customFormat="1" ht="12.75" x14ac:dyDescent="0.2">
      <c r="H69" s="604" t="s">
        <v>251</v>
      </c>
      <c r="I69" s="604" t="s">
        <v>252</v>
      </c>
      <c r="J69" s="604" t="s">
        <v>253</v>
      </c>
      <c r="K69" s="604" t="s">
        <v>254</v>
      </c>
      <c r="L69" s="604" t="s">
        <v>255</v>
      </c>
      <c r="M69" s="604" t="s">
        <v>256</v>
      </c>
      <c r="N69" s="604" t="s">
        <v>257</v>
      </c>
    </row>
    <row r="70" spans="1:17" s="431" customFormat="1" x14ac:dyDescent="0.2">
      <c r="F70" s="431" t="s">
        <v>1024</v>
      </c>
      <c r="H70" s="496">
        <v>1.0037014</v>
      </c>
      <c r="I70" s="496">
        <v>1.0075221999999999</v>
      </c>
      <c r="J70" s="496">
        <v>1.0122385</v>
      </c>
      <c r="K70" s="496">
        <v>1.0186861</v>
      </c>
      <c r="L70" s="496">
        <v>1.0261486</v>
      </c>
      <c r="M70" s="496">
        <v>1.0329543999999999</v>
      </c>
      <c r="N70" s="496">
        <v>1.0390438</v>
      </c>
    </row>
    <row r="72" spans="1:17" s="558" customFormat="1" x14ac:dyDescent="0.2">
      <c r="A72" s="6"/>
      <c r="B72" s="6"/>
    </row>
    <row r="73" spans="1:17" s="558" customFormat="1" ht="15.75" thickBot="1" x14ac:dyDescent="0.3">
      <c r="A73" s="146" t="s">
        <v>1240</v>
      </c>
      <c r="B73" s="146"/>
      <c r="C73" s="10"/>
      <c r="D73" s="10"/>
      <c r="E73" s="10"/>
      <c r="F73" s="10"/>
      <c r="G73" s="49"/>
      <c r="H73" s="10"/>
      <c r="I73" s="10"/>
      <c r="J73" s="10"/>
      <c r="K73" s="10"/>
      <c r="L73" s="10"/>
      <c r="M73" s="10"/>
      <c r="N73" s="10"/>
      <c r="O73" s="10"/>
      <c r="P73" s="10"/>
      <c r="Q73" s="10"/>
    </row>
    <row r="75" spans="1:17" ht="12.75" x14ac:dyDescent="0.2">
      <c r="F75" s="5" t="s">
        <v>332</v>
      </c>
      <c r="G75" s="58"/>
      <c r="H75" s="58"/>
      <c r="I75" s="58"/>
      <c r="J75" s="58"/>
    </row>
    <row r="76" spans="1:17" x14ac:dyDescent="0.2">
      <c r="F76" s="58" t="s">
        <v>333</v>
      </c>
      <c r="G76" s="61" t="s">
        <v>186</v>
      </c>
      <c r="H76" s="61" t="s">
        <v>334</v>
      </c>
      <c r="I76" s="61" t="s">
        <v>335</v>
      </c>
      <c r="J76" t="s">
        <v>351</v>
      </c>
      <c r="K76" t="s">
        <v>0</v>
      </c>
      <c r="P76" s="7" t="s">
        <v>286</v>
      </c>
      <c r="Q76" s="8" t="s">
        <v>352</v>
      </c>
    </row>
    <row r="77" spans="1:17" x14ac:dyDescent="0.2">
      <c r="F77" s="58" t="s">
        <v>336</v>
      </c>
      <c r="G77" s="141">
        <v>4.1871921182266007E-2</v>
      </c>
      <c r="H77" s="145" t="s">
        <v>337</v>
      </c>
      <c r="I77" s="144">
        <v>771.75749999999994</v>
      </c>
      <c r="J77" t="s">
        <v>68</v>
      </c>
      <c r="K77" t="s">
        <v>354</v>
      </c>
      <c r="P77" s="7" t="s">
        <v>286</v>
      </c>
      <c r="Q77" s="417" t="s">
        <v>686</v>
      </c>
    </row>
    <row r="78" spans="1:17" x14ac:dyDescent="0.2">
      <c r="F78" s="58" t="s">
        <v>338</v>
      </c>
      <c r="G78" s="141">
        <v>0.10098522167487685</v>
      </c>
      <c r="H78" s="145" t="s">
        <v>339</v>
      </c>
      <c r="I78" s="144">
        <v>150</v>
      </c>
      <c r="J78" t="s">
        <v>68</v>
      </c>
      <c r="K78" t="s">
        <v>354</v>
      </c>
      <c r="P78" s="7" t="s">
        <v>286</v>
      </c>
      <c r="Q78" s="417" t="s">
        <v>686</v>
      </c>
    </row>
    <row r="79" spans="1:17" x14ac:dyDescent="0.2">
      <c r="F79" s="58" t="s">
        <v>340</v>
      </c>
      <c r="G79" s="141">
        <v>0</v>
      </c>
      <c r="H79" s="145" t="s">
        <v>341</v>
      </c>
      <c r="I79" s="144">
        <v>636.49</v>
      </c>
      <c r="J79" t="s">
        <v>68</v>
      </c>
      <c r="K79" t="s">
        <v>354</v>
      </c>
      <c r="P79" s="7" t="s">
        <v>286</v>
      </c>
      <c r="Q79" s="417" t="s">
        <v>686</v>
      </c>
    </row>
    <row r="80" spans="1:17" x14ac:dyDescent="0.2">
      <c r="F80" s="58" t="s">
        <v>342</v>
      </c>
      <c r="G80" s="141">
        <v>1.2315270935960592E-2</v>
      </c>
      <c r="H80" s="145" t="s">
        <v>343</v>
      </c>
      <c r="I80" s="144">
        <v>5111.3125</v>
      </c>
      <c r="J80" t="s">
        <v>69</v>
      </c>
      <c r="K80" t="s">
        <v>354</v>
      </c>
      <c r="P80" s="7" t="s">
        <v>286</v>
      </c>
      <c r="Q80" s="417" t="s">
        <v>686</v>
      </c>
    </row>
    <row r="81" spans="6:17" x14ac:dyDescent="0.2">
      <c r="F81" s="58" t="s">
        <v>344</v>
      </c>
      <c r="G81" s="141">
        <v>4.9261083743842367E-2</v>
      </c>
      <c r="H81" s="145" t="s">
        <v>343</v>
      </c>
      <c r="I81" s="144">
        <v>5111.3125</v>
      </c>
      <c r="J81" t="s">
        <v>69</v>
      </c>
      <c r="K81" t="s">
        <v>354</v>
      </c>
      <c r="P81" s="7" t="s">
        <v>286</v>
      </c>
      <c r="Q81" s="417" t="s">
        <v>686</v>
      </c>
    </row>
    <row r="82" spans="6:17" x14ac:dyDescent="0.2">
      <c r="F82" s="58" t="s">
        <v>345</v>
      </c>
      <c r="G82" s="141">
        <v>1.2315270935960592E-2</v>
      </c>
      <c r="H82" s="145" t="s">
        <v>346</v>
      </c>
      <c r="I82" s="144">
        <v>282.93666666666667</v>
      </c>
      <c r="J82" t="s">
        <v>68</v>
      </c>
      <c r="K82" t="s">
        <v>354</v>
      </c>
      <c r="P82" s="7" t="s">
        <v>286</v>
      </c>
      <c r="Q82" s="417" t="s">
        <v>686</v>
      </c>
    </row>
    <row r="83" spans="6:17" x14ac:dyDescent="0.2">
      <c r="F83" s="58" t="s">
        <v>347</v>
      </c>
      <c r="G83" s="141">
        <v>0.1354679802955665</v>
      </c>
      <c r="H83" s="145" t="s">
        <v>348</v>
      </c>
      <c r="I83" s="144">
        <v>653.1975000000001</v>
      </c>
      <c r="J83" t="s">
        <v>68</v>
      </c>
      <c r="K83" t="s">
        <v>354</v>
      </c>
      <c r="P83" s="7" t="s">
        <v>286</v>
      </c>
      <c r="Q83" s="417" t="s">
        <v>686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>
    <tabColor theme="5"/>
  </sheetPr>
  <dimension ref="A1:R246"/>
  <sheetViews>
    <sheetView showGridLines="0" zoomScale="115" zoomScaleNormal="115" workbookViewId="0">
      <selection activeCell="J225" sqref="J225"/>
    </sheetView>
  </sheetViews>
  <sheetFormatPr defaultColWidth="9.1640625" defaultRowHeight="12" outlineLevelRow="1" x14ac:dyDescent="0.2"/>
  <cols>
    <col min="1" max="1" width="10.83203125" style="58" customWidth="1"/>
    <col min="2" max="2" width="5.6640625" style="58" customWidth="1"/>
    <col min="3" max="5" width="2.5" style="58" customWidth="1"/>
    <col min="6" max="6" width="34.1640625" style="58" customWidth="1"/>
    <col min="7" max="7" width="13.83203125" style="58" customWidth="1"/>
    <col min="8" max="8" width="17.83203125" style="58" bestFit="1" customWidth="1"/>
    <col min="9" max="14" width="16.1640625" style="58" customWidth="1"/>
    <col min="15" max="15" width="8" style="58" customWidth="1"/>
    <col min="16" max="16" width="30" style="58" customWidth="1"/>
    <col min="17" max="17" width="61.1640625" style="58" customWidth="1"/>
    <col min="18" max="16384" width="9.1640625" style="58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572"/>
      <c r="H1" s="62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358</v>
      </c>
      <c r="B2" s="4"/>
      <c r="C2" s="4"/>
      <c r="D2" s="4"/>
      <c r="E2" s="4"/>
      <c r="F2" s="4" t="s">
        <v>758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H6" s="45"/>
      <c r="I6" s="45"/>
      <c r="J6" s="45"/>
      <c r="K6" s="45"/>
      <c r="L6" s="45"/>
      <c r="M6" s="45"/>
      <c r="N6" s="45"/>
    </row>
    <row r="7" spans="1:18" s="558" customFormat="1" ht="15" x14ac:dyDescent="0.25">
      <c r="A7" s="36" t="s">
        <v>38</v>
      </c>
      <c r="J7" s="559"/>
      <c r="K7" s="559"/>
      <c r="L7" s="559"/>
      <c r="M7" s="559"/>
      <c r="N7" s="559"/>
    </row>
    <row r="8" spans="1:18" x14ac:dyDescent="0.2">
      <c r="E8" s="608" t="s">
        <v>1042</v>
      </c>
      <c r="F8" s="83"/>
      <c r="G8" s="609" t="s">
        <v>1034</v>
      </c>
      <c r="H8" s="693" t="s">
        <v>1261</v>
      </c>
      <c r="I8" s="693" t="s">
        <v>1261</v>
      </c>
      <c r="J8" s="45"/>
      <c r="K8" s="45"/>
      <c r="L8" s="45"/>
      <c r="M8" s="45"/>
      <c r="N8" s="45"/>
    </row>
    <row r="9" spans="1:18" ht="4.1500000000000004" customHeight="1" x14ac:dyDescent="0.2">
      <c r="H9" s="45"/>
      <c r="I9" s="45"/>
      <c r="J9" s="45"/>
      <c r="K9" s="45"/>
      <c r="L9" s="45"/>
      <c r="M9" s="45"/>
      <c r="N9" s="45"/>
    </row>
    <row r="10" spans="1:18" x14ac:dyDescent="0.2">
      <c r="F10" s="65" t="s">
        <v>164</v>
      </c>
      <c r="G10" s="48"/>
      <c r="H10" s="696">
        <v>94582.865811456286</v>
      </c>
      <c r="I10" s="696">
        <v>37467.655725597222</v>
      </c>
      <c r="J10" s="124">
        <v>6492.3328226982703</v>
      </c>
      <c r="K10" s="124">
        <v>6533.6866786399569</v>
      </c>
      <c r="L10" s="124">
        <v>6581.5499378317245</v>
      </c>
      <c r="M10" s="124">
        <v>6625.2012302146159</v>
      </c>
      <c r="N10" s="124">
        <v>6664.2576497150985</v>
      </c>
    </row>
    <row r="11" spans="1:18" x14ac:dyDescent="0.2">
      <c r="F11" s="65" t="s">
        <v>489</v>
      </c>
      <c r="G11" s="48"/>
      <c r="H11" s="696">
        <v>4147.2853464447453</v>
      </c>
      <c r="I11" s="696">
        <v>4163.0728583996915</v>
      </c>
      <c r="J11" s="124">
        <v>4182.5605684690781</v>
      </c>
      <c r="K11" s="124">
        <v>4209.2019948930501</v>
      </c>
      <c r="L11" s="124">
        <v>4240.036979180054</v>
      </c>
      <c r="M11" s="124">
        <v>4268.1584848498014</v>
      </c>
      <c r="N11" s="124">
        <v>4293.3198320279962</v>
      </c>
    </row>
    <row r="12" spans="1:18" x14ac:dyDescent="0.2">
      <c r="F12" s="65" t="s">
        <v>172</v>
      </c>
      <c r="G12" s="48"/>
      <c r="H12" s="696">
        <v>227560.46558919057</v>
      </c>
      <c r="I12" s="696">
        <v>77927.345869632845</v>
      </c>
      <c r="J12" s="124">
        <v>6738.0510623156324</v>
      </c>
      <c r="K12" s="124">
        <v>6780.9700562379012</v>
      </c>
      <c r="L12" s="124">
        <v>6830.6448177220072</v>
      </c>
      <c r="M12" s="124">
        <v>6875.9482001955121</v>
      </c>
      <c r="N12" s="124">
        <v>6916.4828055665448</v>
      </c>
    </row>
    <row r="13" spans="1:18" x14ac:dyDescent="0.2">
      <c r="F13" s="65" t="s">
        <v>171</v>
      </c>
      <c r="G13" s="48"/>
      <c r="H13" s="696">
        <v>477920.71737451735</v>
      </c>
      <c r="I13" s="696">
        <v>479740.02287408576</v>
      </c>
      <c r="J13" s="124">
        <v>481985.72810011567</v>
      </c>
      <c r="K13" s="124">
        <v>485055.80613063741</v>
      </c>
      <c r="L13" s="124">
        <v>488609.13718448201</v>
      </c>
      <c r="M13" s="124">
        <v>491849.77510558831</v>
      </c>
      <c r="N13" s="124">
        <v>494749.29324552556</v>
      </c>
    </row>
    <row r="14" spans="1:18" x14ac:dyDescent="0.2">
      <c r="F14" s="65" t="s">
        <v>487</v>
      </c>
      <c r="G14" s="48"/>
      <c r="H14" s="696">
        <v>21899.7116698799</v>
      </c>
      <c r="I14" s="696">
        <v>8482.2164056122438</v>
      </c>
      <c r="J14" s="124">
        <v>710.16020053059617</v>
      </c>
      <c r="K14" s="124">
        <v>714.68366897102908</v>
      </c>
      <c r="L14" s="124">
        <v>719.91916485115962</v>
      </c>
      <c r="M14" s="124">
        <v>724.69393709383871</v>
      </c>
      <c r="N14" s="124">
        <v>728.96610173202532</v>
      </c>
    </row>
    <row r="15" spans="1:18" x14ac:dyDescent="0.2">
      <c r="F15" s="65" t="s">
        <v>488</v>
      </c>
      <c r="G15" s="48"/>
      <c r="H15" s="696">
        <v>68304.566944641498</v>
      </c>
      <c r="I15" s="696">
        <v>65101.010913073958</v>
      </c>
      <c r="J15" s="124">
        <v>63346.289887329185</v>
      </c>
      <c r="K15" s="124">
        <v>63749.783272215798</v>
      </c>
      <c r="L15" s="124">
        <v>64216.789504723441</v>
      </c>
      <c r="M15" s="124">
        <v>64642.699188770413</v>
      </c>
      <c r="N15" s="124">
        <v>65023.77627449666</v>
      </c>
    </row>
    <row r="16" spans="1:18" s="386" customFormat="1" x14ac:dyDescent="0.2">
      <c r="F16" s="65" t="s">
        <v>165</v>
      </c>
      <c r="G16" s="48"/>
      <c r="H16" s="124">
        <v>0</v>
      </c>
      <c r="I16" s="124">
        <v>0</v>
      </c>
      <c r="J16" s="124">
        <v>0</v>
      </c>
      <c r="K16" s="124">
        <v>0</v>
      </c>
      <c r="L16" s="124">
        <v>0</v>
      </c>
      <c r="M16" s="124">
        <v>0</v>
      </c>
      <c r="N16" s="124">
        <v>0</v>
      </c>
    </row>
    <row r="17" spans="2:17" x14ac:dyDescent="0.2">
      <c r="F17" s="65" t="s">
        <v>173</v>
      </c>
      <c r="G17" s="48"/>
      <c r="H17" s="696">
        <v>618880.15201940062</v>
      </c>
      <c r="I17" s="696">
        <v>246027.16522671052</v>
      </c>
      <c r="J17" s="696">
        <v>45951.411602202541</v>
      </c>
      <c r="K17" s="124">
        <v>46244.105785881933</v>
      </c>
      <c r="L17" s="124">
        <v>46582.872202177532</v>
      </c>
      <c r="M17" s="124">
        <v>46891.827173839119</v>
      </c>
      <c r="N17" s="124">
        <v>47168.260569536338</v>
      </c>
    </row>
    <row r="18" spans="2:17" x14ac:dyDescent="0.2">
      <c r="F18" s="65" t="s">
        <v>486</v>
      </c>
      <c r="G18" s="48"/>
      <c r="H18" s="696">
        <v>62664.803702976031</v>
      </c>
      <c r="I18" s="696">
        <v>62903.350428115926</v>
      </c>
      <c r="J18" s="124">
        <v>63197.80654196049</v>
      </c>
      <c r="K18" s="124">
        <v>63600.354140634066</v>
      </c>
      <c r="L18" s="124">
        <v>64066.265713172928</v>
      </c>
      <c r="M18" s="124">
        <v>64491.177067328368</v>
      </c>
      <c r="N18" s="124">
        <v>64871.360910520081</v>
      </c>
    </row>
    <row r="19" spans="2:17" ht="4.1500000000000004" customHeight="1" x14ac:dyDescent="0.2">
      <c r="G19" s="48"/>
      <c r="H19" s="124"/>
      <c r="I19" s="124"/>
      <c r="J19" s="124"/>
      <c r="K19" s="124"/>
      <c r="L19" s="124"/>
      <c r="M19" s="124"/>
      <c r="N19" s="124"/>
    </row>
    <row r="20" spans="2:17" x14ac:dyDescent="0.2">
      <c r="F20" s="65" t="s">
        <v>193</v>
      </c>
      <c r="G20" s="48"/>
      <c r="H20" s="696">
        <v>0</v>
      </c>
      <c r="I20" s="696">
        <v>0</v>
      </c>
      <c r="J20" s="124">
        <v>0</v>
      </c>
      <c r="K20" s="124">
        <v>0</v>
      </c>
      <c r="L20" s="124">
        <v>0</v>
      </c>
      <c r="M20" s="124">
        <v>0</v>
      </c>
      <c r="N20" s="124">
        <v>0</v>
      </c>
    </row>
    <row r="21" spans="2:17" x14ac:dyDescent="0.2">
      <c r="F21" s="65" t="s">
        <v>167</v>
      </c>
      <c r="G21" s="48"/>
      <c r="H21" s="696">
        <v>0</v>
      </c>
      <c r="I21" s="696"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</row>
    <row r="22" spans="2:17" x14ac:dyDescent="0.2">
      <c r="F22" s="65" t="s">
        <v>168</v>
      </c>
      <c r="G22" s="48"/>
      <c r="H22" s="696">
        <v>0</v>
      </c>
      <c r="I22" s="696">
        <v>0</v>
      </c>
      <c r="J22" s="124">
        <v>0</v>
      </c>
      <c r="K22" s="124">
        <v>0</v>
      </c>
      <c r="L22" s="124">
        <v>0</v>
      </c>
      <c r="M22" s="124">
        <v>0</v>
      </c>
      <c r="N22" s="124">
        <v>0</v>
      </c>
    </row>
    <row r="23" spans="2:17" x14ac:dyDescent="0.2">
      <c r="F23" s="65" t="s">
        <v>169</v>
      </c>
      <c r="G23" s="48"/>
      <c r="H23" s="696">
        <v>0</v>
      </c>
      <c r="I23" s="696">
        <v>0</v>
      </c>
      <c r="J23" s="124">
        <v>0</v>
      </c>
      <c r="K23" s="124">
        <v>0</v>
      </c>
      <c r="L23" s="124">
        <v>0</v>
      </c>
      <c r="M23" s="124">
        <v>0</v>
      </c>
      <c r="N23" s="124">
        <v>0</v>
      </c>
    </row>
    <row r="24" spans="2:17" s="386" customFormat="1" x14ac:dyDescent="0.2">
      <c r="F24" s="65" t="s">
        <v>166</v>
      </c>
      <c r="G24" s="48"/>
      <c r="H24" s="124">
        <v>0</v>
      </c>
      <c r="I24" s="124">
        <v>0</v>
      </c>
      <c r="J24" s="124">
        <v>0</v>
      </c>
      <c r="K24" s="124">
        <v>0</v>
      </c>
      <c r="L24" s="124">
        <v>0</v>
      </c>
      <c r="M24" s="124">
        <v>0</v>
      </c>
      <c r="N24" s="124">
        <v>0</v>
      </c>
    </row>
    <row r="25" spans="2:17" ht="4.1500000000000004" customHeight="1" x14ac:dyDescent="0.2">
      <c r="G25" s="48"/>
      <c r="H25" s="124"/>
      <c r="I25" s="124"/>
      <c r="J25" s="124"/>
      <c r="K25" s="124"/>
      <c r="L25" s="124"/>
      <c r="M25" s="124"/>
      <c r="N25" s="124"/>
    </row>
    <row r="26" spans="2:17" x14ac:dyDescent="0.2">
      <c r="F26" s="65" t="s">
        <v>170</v>
      </c>
      <c r="G26" s="48"/>
      <c r="H26" s="696">
        <v>0</v>
      </c>
      <c r="I26" s="696">
        <v>0</v>
      </c>
      <c r="J26" s="124">
        <v>0</v>
      </c>
      <c r="K26" s="124">
        <v>0</v>
      </c>
      <c r="L26" s="124">
        <v>0</v>
      </c>
      <c r="M26" s="124">
        <v>0</v>
      </c>
      <c r="N26" s="124">
        <v>0</v>
      </c>
    </row>
    <row r="27" spans="2:17" ht="4.1500000000000004" customHeight="1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2:17" ht="12.75" thickBot="1" x14ac:dyDescent="0.25">
      <c r="F28" s="90" t="s">
        <v>216</v>
      </c>
      <c r="G28" s="91" t="s">
        <v>42</v>
      </c>
      <c r="H28" s="92">
        <v>1575960.5684585068</v>
      </c>
      <c r="I28" s="92">
        <v>981811.84030122811</v>
      </c>
      <c r="J28" s="92">
        <v>672604.34078562143</v>
      </c>
      <c r="K28" s="92">
        <v>676888.59172811115</v>
      </c>
      <c r="L28" s="92">
        <v>681847.21550414083</v>
      </c>
      <c r="M28" s="92">
        <v>686369.48038787988</v>
      </c>
      <c r="N28" s="92">
        <v>690415.71738912037</v>
      </c>
    </row>
    <row r="29" spans="2:17" s="558" customFormat="1" ht="12.75" thickTop="1" x14ac:dyDescent="0.2"/>
    <row r="30" spans="2:17" s="558" customFormat="1" x14ac:dyDescent="0.2">
      <c r="D30" s="38" t="s">
        <v>870</v>
      </c>
      <c r="G30" s="48" t="s">
        <v>869</v>
      </c>
      <c r="H30" s="559"/>
      <c r="I30" s="559"/>
      <c r="J30" s="559"/>
      <c r="K30" s="559"/>
      <c r="L30" s="559"/>
      <c r="M30" s="559"/>
      <c r="N30" s="559"/>
    </row>
    <row r="31" spans="2:17" s="558" customFormat="1" ht="4.1500000000000004" customHeight="1" x14ac:dyDescent="0.2">
      <c r="H31" s="559"/>
      <c r="I31" s="559"/>
      <c r="J31" s="559"/>
      <c r="K31" s="559"/>
      <c r="L31" s="559"/>
      <c r="M31" s="559"/>
      <c r="N31" s="559"/>
    </row>
    <row r="32" spans="2:17" s="558" customFormat="1" x14ac:dyDescent="0.2">
      <c r="F32" s="65" t="s">
        <v>164</v>
      </c>
      <c r="G32" s="48"/>
      <c r="H32" s="124">
        <v>89555.237220849027</v>
      </c>
      <c r="I32" s="124">
        <v>35476.032237210326</v>
      </c>
      <c r="J32" s="124">
        <v>6147.227630134078</v>
      </c>
      <c r="K32" s="124">
        <v>6186.3832884774947</v>
      </c>
      <c r="L32" s="124">
        <v>6231.7023374860782</v>
      </c>
      <c r="M32" s="124">
        <v>6273.0333101819069</v>
      </c>
      <c r="N32" s="124">
        <v>6310.0136541729116</v>
      </c>
    </row>
    <row r="33" spans="6:14" s="558" customFormat="1" x14ac:dyDescent="0.2">
      <c r="F33" s="65" t="s">
        <v>489</v>
      </c>
      <c r="G33" s="48"/>
      <c r="H33" s="124">
        <v>3926.8330456785893</v>
      </c>
      <c r="I33" s="124">
        <v>3941.781359690036</v>
      </c>
      <c r="J33" s="124">
        <v>3960.2331847979158</v>
      </c>
      <c r="K33" s="124">
        <v>3985.4584646922326</v>
      </c>
      <c r="L33" s="124">
        <v>4014.6543904958394</v>
      </c>
      <c r="M33" s="124">
        <v>4041.2810748287288</v>
      </c>
      <c r="N33" s="124">
        <v>4065.1049502844721</v>
      </c>
    </row>
    <row r="34" spans="6:14" s="558" customFormat="1" x14ac:dyDescent="0.2">
      <c r="F34" s="65" t="s">
        <v>172</v>
      </c>
      <c r="G34" s="48"/>
      <c r="H34" s="124">
        <v>215464.30532725932</v>
      </c>
      <c r="I34" s="124">
        <v>73785.054887825318</v>
      </c>
      <c r="J34" s="124">
        <v>6379.8845183519534</v>
      </c>
      <c r="K34" s="124">
        <v>6420.5221185030305</v>
      </c>
      <c r="L34" s="124">
        <v>6467.5563779371469</v>
      </c>
      <c r="M34" s="124">
        <v>6510.4516225410607</v>
      </c>
      <c r="N34" s="124">
        <v>6548.8315782393011</v>
      </c>
    </row>
    <row r="35" spans="6:14" s="558" customFormat="1" x14ac:dyDescent="0.2">
      <c r="F35" s="65" t="s">
        <v>171</v>
      </c>
      <c r="G35" s="48"/>
      <c r="H35" s="124">
        <v>452516.45580873365</v>
      </c>
      <c r="I35" s="124">
        <v>454239.05465571542</v>
      </c>
      <c r="J35" s="124">
        <v>456365.38760745863</v>
      </c>
      <c r="K35" s="124">
        <v>459272.27316174039</v>
      </c>
      <c r="L35" s="124">
        <v>462636.72403475165</v>
      </c>
      <c r="M35" s="124">
        <v>465705.10323093797</v>
      </c>
      <c r="N35" s="124">
        <v>468450.49514331523</v>
      </c>
    </row>
    <row r="36" spans="6:14" s="558" customFormat="1" x14ac:dyDescent="0.2">
      <c r="F36" s="65" t="s">
        <v>487</v>
      </c>
      <c r="G36" s="48"/>
      <c r="H36" s="124">
        <v>20735.614816047761</v>
      </c>
      <c r="I36" s="124">
        <v>8031.3373447304921</v>
      </c>
      <c r="J36" s="124">
        <v>672.41106174666072</v>
      </c>
      <c r="K36" s="124">
        <v>676.69408157026726</v>
      </c>
      <c r="L36" s="124">
        <v>681.65128044018229</v>
      </c>
      <c r="M36" s="124">
        <v>686.17224580954473</v>
      </c>
      <c r="N36" s="124">
        <v>690.21732008739536</v>
      </c>
    </row>
    <row r="37" spans="6:14" s="558" customFormat="1" x14ac:dyDescent="0.2">
      <c r="F37" s="65" t="s">
        <v>488</v>
      </c>
      <c r="G37" s="48"/>
      <c r="H37" s="124">
        <v>64673.782545229355</v>
      </c>
      <c r="I37" s="124">
        <v>61640.514120806518</v>
      </c>
      <c r="J37" s="124">
        <v>59979.066707802136</v>
      </c>
      <c r="K37" s="124">
        <v>60361.112076067846</v>
      </c>
      <c r="L37" s="124">
        <v>60803.294215264257</v>
      </c>
      <c r="M37" s="124">
        <v>61206.564326211388</v>
      </c>
      <c r="N37" s="124">
        <v>61567.38495179567</v>
      </c>
    </row>
    <row r="38" spans="6:14" s="558" customFormat="1" x14ac:dyDescent="0.2">
      <c r="F38" s="65" t="s">
        <v>165</v>
      </c>
      <c r="G38" s="48"/>
      <c r="H38" s="124">
        <v>0</v>
      </c>
      <c r="I38" s="124">
        <v>0</v>
      </c>
      <c r="J38" s="124">
        <v>0</v>
      </c>
      <c r="K38" s="124">
        <v>0</v>
      </c>
      <c r="L38" s="124">
        <v>0</v>
      </c>
      <c r="M38" s="124">
        <v>0</v>
      </c>
      <c r="N38" s="124">
        <v>0</v>
      </c>
    </row>
    <row r="39" spans="6:14" s="558" customFormat="1" x14ac:dyDescent="0.2">
      <c r="F39" s="65" t="s">
        <v>173</v>
      </c>
      <c r="G39" s="48"/>
      <c r="H39" s="124">
        <v>585983.07790605491</v>
      </c>
      <c r="I39" s="124">
        <v>232949.39263705778</v>
      </c>
      <c r="J39" s="124">
        <v>43508.827221110412</v>
      </c>
      <c r="K39" s="124">
        <v>43785.963009159204</v>
      </c>
      <c r="L39" s="124">
        <v>44106.722023104565</v>
      </c>
      <c r="M39" s="124">
        <v>44399.254243822739</v>
      </c>
      <c r="N39" s="124">
        <v>44660.993599202164</v>
      </c>
    </row>
    <row r="40" spans="6:14" s="558" customFormat="1" x14ac:dyDescent="0.2">
      <c r="F40" s="65" t="s">
        <v>486</v>
      </c>
      <c r="G40" s="48"/>
      <c r="H40" s="124">
        <v>59333.805471753971</v>
      </c>
      <c r="I40" s="124">
        <v>59559.672053136121</v>
      </c>
      <c r="J40" s="124">
        <v>59838.476114529716</v>
      </c>
      <c r="K40" s="124">
        <v>60219.625970612091</v>
      </c>
      <c r="L40" s="124">
        <v>60660.771637374099</v>
      </c>
      <c r="M40" s="124">
        <v>61063.09648546105</v>
      </c>
      <c r="N40" s="124">
        <v>61423.071349538855</v>
      </c>
    </row>
    <row r="41" spans="6:14" s="558" customFormat="1" ht="4.1500000000000004" customHeight="1" x14ac:dyDescent="0.2">
      <c r="G41" s="48"/>
      <c r="H41" s="124"/>
      <c r="I41" s="124"/>
      <c r="J41" s="124"/>
      <c r="K41" s="124"/>
      <c r="L41" s="124"/>
      <c r="M41" s="124"/>
      <c r="N41" s="124"/>
    </row>
    <row r="42" spans="6:14" s="558" customFormat="1" x14ac:dyDescent="0.2">
      <c r="F42" s="65" t="s">
        <v>193</v>
      </c>
      <c r="G42" s="48"/>
      <c r="H42" s="124">
        <v>0</v>
      </c>
      <c r="I42" s="124">
        <v>0</v>
      </c>
      <c r="J42" s="124">
        <v>0</v>
      </c>
      <c r="K42" s="124">
        <v>0</v>
      </c>
      <c r="L42" s="124">
        <v>0</v>
      </c>
      <c r="M42" s="124">
        <v>0</v>
      </c>
      <c r="N42" s="124">
        <v>0</v>
      </c>
    </row>
    <row r="43" spans="6:14" s="558" customFormat="1" x14ac:dyDescent="0.2">
      <c r="F43" s="65" t="s">
        <v>167</v>
      </c>
      <c r="G43" s="48"/>
      <c r="H43" s="124">
        <v>0</v>
      </c>
      <c r="I43" s="124">
        <v>0</v>
      </c>
      <c r="J43" s="124">
        <v>0</v>
      </c>
      <c r="K43" s="124">
        <v>0</v>
      </c>
      <c r="L43" s="124">
        <v>0</v>
      </c>
      <c r="M43" s="124">
        <v>0</v>
      </c>
      <c r="N43" s="124">
        <v>0</v>
      </c>
    </row>
    <row r="44" spans="6:14" s="558" customFormat="1" x14ac:dyDescent="0.2">
      <c r="F44" s="65" t="s">
        <v>168</v>
      </c>
      <c r="G44" s="48"/>
      <c r="H44" s="124">
        <v>0</v>
      </c>
      <c r="I44" s="124">
        <v>0</v>
      </c>
      <c r="J44" s="124">
        <v>0</v>
      </c>
      <c r="K44" s="124">
        <v>0</v>
      </c>
      <c r="L44" s="124">
        <v>0</v>
      </c>
      <c r="M44" s="124">
        <v>0</v>
      </c>
      <c r="N44" s="124">
        <v>0</v>
      </c>
    </row>
    <row r="45" spans="6:14" s="558" customFormat="1" x14ac:dyDescent="0.2">
      <c r="F45" s="65" t="s">
        <v>169</v>
      </c>
      <c r="G45" s="48"/>
      <c r="H45" s="124">
        <v>0</v>
      </c>
      <c r="I45" s="124">
        <v>0</v>
      </c>
      <c r="J45" s="124">
        <v>0</v>
      </c>
      <c r="K45" s="124">
        <v>0</v>
      </c>
      <c r="L45" s="124">
        <v>0</v>
      </c>
      <c r="M45" s="124">
        <v>0</v>
      </c>
      <c r="N45" s="124">
        <v>0</v>
      </c>
    </row>
    <row r="46" spans="6:14" s="558" customFormat="1" x14ac:dyDescent="0.2">
      <c r="F46" s="65" t="s">
        <v>166</v>
      </c>
      <c r="G46" s="48"/>
      <c r="H46" s="124">
        <v>0</v>
      </c>
      <c r="I46" s="124">
        <v>0</v>
      </c>
      <c r="J46" s="124">
        <v>0</v>
      </c>
      <c r="K46" s="124">
        <v>0</v>
      </c>
      <c r="L46" s="124">
        <v>0</v>
      </c>
      <c r="M46" s="124">
        <v>0</v>
      </c>
      <c r="N46" s="124">
        <v>0</v>
      </c>
    </row>
    <row r="47" spans="6:14" s="558" customFormat="1" ht="4.1500000000000004" customHeight="1" x14ac:dyDescent="0.2">
      <c r="G47" s="48"/>
      <c r="H47" s="124"/>
      <c r="I47" s="124"/>
      <c r="J47" s="124"/>
      <c r="K47" s="124"/>
      <c r="L47" s="124"/>
      <c r="M47" s="124"/>
      <c r="N47" s="124"/>
    </row>
    <row r="48" spans="6:14" s="558" customFormat="1" x14ac:dyDescent="0.2">
      <c r="F48" s="65" t="s">
        <v>170</v>
      </c>
      <c r="G48" s="48"/>
      <c r="H48" s="124">
        <v>0</v>
      </c>
      <c r="I48" s="124">
        <v>0</v>
      </c>
      <c r="J48" s="124">
        <v>0</v>
      </c>
      <c r="K48" s="124">
        <v>0</v>
      </c>
      <c r="L48" s="124">
        <v>0</v>
      </c>
      <c r="M48" s="124">
        <v>0</v>
      </c>
      <c r="N48" s="124">
        <v>0</v>
      </c>
    </row>
    <row r="49" spans="2:14" s="558" customFormat="1" ht="4.1500000000000004" customHeight="1" x14ac:dyDescent="0.2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2:14" s="558" customFormat="1" ht="12.75" thickBot="1" x14ac:dyDescent="0.25">
      <c r="F50" s="90" t="s">
        <v>216</v>
      </c>
      <c r="G50" s="91" t="s">
        <v>42</v>
      </c>
      <c r="H50" s="92">
        <v>1492189.1121416066</v>
      </c>
      <c r="I50" s="92">
        <v>929622.83929617202</v>
      </c>
      <c r="J50" s="92">
        <v>636851.51404593163</v>
      </c>
      <c r="K50" s="92">
        <v>640908.03217082249</v>
      </c>
      <c r="L50" s="92">
        <v>645603.07629685372</v>
      </c>
      <c r="M50" s="92">
        <v>649884.95653979434</v>
      </c>
      <c r="N50" s="92">
        <v>653716.11254663602</v>
      </c>
    </row>
    <row r="51" spans="2:14" s="558" customFormat="1" ht="12.75" thickTop="1" x14ac:dyDescent="0.2"/>
    <row r="52" spans="2:14" s="558" customFormat="1" x14ac:dyDescent="0.2">
      <c r="D52" s="38" t="s">
        <v>1057</v>
      </c>
      <c r="G52" s="48" t="s">
        <v>869</v>
      </c>
      <c r="H52" s="559"/>
      <c r="I52" s="559"/>
      <c r="J52" s="559"/>
      <c r="K52" s="559"/>
      <c r="L52" s="559"/>
      <c r="M52" s="559"/>
      <c r="N52" s="559"/>
    </row>
    <row r="53" spans="2:14" s="558" customFormat="1" x14ac:dyDescent="0.2">
      <c r="F53" s="65" t="s">
        <v>164</v>
      </c>
      <c r="G53" s="48"/>
      <c r="H53" s="124">
        <v>89224.97988032001</v>
      </c>
      <c r="I53" s="124">
        <v>35211.166798320002</v>
      </c>
      <c r="J53" s="124">
        <v>6072.9043897600004</v>
      </c>
      <c r="K53" s="124">
        <v>6072.9043897600004</v>
      </c>
      <c r="L53" s="124">
        <v>6072.9043897600004</v>
      </c>
      <c r="M53" s="124">
        <v>6072.9043897600004</v>
      </c>
      <c r="N53" s="124">
        <v>6072.9043897600004</v>
      </c>
    </row>
    <row r="54" spans="2:14" s="558" customFormat="1" x14ac:dyDescent="0.2">
      <c r="F54" s="65" t="s">
        <v>489</v>
      </c>
      <c r="G54" s="48"/>
      <c r="H54" s="124">
        <v>3912.3518664800004</v>
      </c>
      <c r="I54" s="124">
        <v>3912.3518664800004</v>
      </c>
      <c r="J54" s="124">
        <v>3912.3518664800004</v>
      </c>
      <c r="K54" s="124">
        <v>3912.3518664800004</v>
      </c>
      <c r="L54" s="124">
        <v>3912.3518664800004</v>
      </c>
      <c r="M54" s="124">
        <v>3912.3518664800004</v>
      </c>
      <c r="N54" s="124">
        <v>3912.3518664800004</v>
      </c>
    </row>
    <row r="55" spans="2:14" s="558" customFormat="1" x14ac:dyDescent="0.2">
      <c r="F55" s="65" t="s">
        <v>172</v>
      </c>
      <c r="G55" s="48"/>
      <c r="H55" s="124">
        <v>214669.72680048004</v>
      </c>
      <c r="I55" s="124">
        <v>73234.17279324001</v>
      </c>
      <c r="J55" s="124">
        <v>6302.7483328800008</v>
      </c>
      <c r="K55" s="124">
        <v>6302.7483328800008</v>
      </c>
      <c r="L55" s="124">
        <v>6302.7483328800008</v>
      </c>
      <c r="M55" s="124">
        <v>6302.7483328800008</v>
      </c>
      <c r="N55" s="124">
        <v>6302.7483328800008</v>
      </c>
    </row>
    <row r="56" spans="2:14" s="558" customFormat="1" x14ac:dyDescent="0.2">
      <c r="F56" s="65" t="s">
        <v>171</v>
      </c>
      <c r="G56" s="48"/>
      <c r="H56" s="124">
        <v>450847.68817572005</v>
      </c>
      <c r="I56" s="124">
        <v>450847.68817572005</v>
      </c>
      <c r="J56" s="124">
        <v>450847.68817572005</v>
      </c>
      <c r="K56" s="124">
        <v>450847.68817572005</v>
      </c>
      <c r="L56" s="124">
        <v>450847.68817572005</v>
      </c>
      <c r="M56" s="124">
        <v>450847.68817572005</v>
      </c>
      <c r="N56" s="124">
        <v>450847.68817572005</v>
      </c>
    </row>
    <row r="57" spans="2:14" s="558" customFormat="1" x14ac:dyDescent="0.2">
      <c r="F57" s="65" t="s">
        <v>487</v>
      </c>
      <c r="G57" s="48"/>
      <c r="H57" s="124">
        <v>20659.147049160001</v>
      </c>
      <c r="I57" s="124">
        <v>7971.3750672000006</v>
      </c>
      <c r="J57" s="124">
        <v>664.28125560000012</v>
      </c>
      <c r="K57" s="124">
        <v>664.28125560000012</v>
      </c>
      <c r="L57" s="124">
        <v>664.28125560000012</v>
      </c>
      <c r="M57" s="124">
        <v>664.28125560000012</v>
      </c>
      <c r="N57" s="124">
        <v>664.28125560000012</v>
      </c>
    </row>
    <row r="58" spans="2:14" s="558" customFormat="1" x14ac:dyDescent="0.2">
      <c r="F58" s="65" t="s">
        <v>488</v>
      </c>
      <c r="G58" s="48"/>
      <c r="H58" s="124">
        <v>64435.281793200003</v>
      </c>
      <c r="I58" s="124">
        <v>61180.303640760001</v>
      </c>
      <c r="J58" s="124">
        <v>59253.887999520011</v>
      </c>
      <c r="K58" s="124">
        <v>59253.887999520011</v>
      </c>
      <c r="L58" s="124">
        <v>59253.887999520011</v>
      </c>
      <c r="M58" s="124">
        <v>59253.887999520011</v>
      </c>
      <c r="N58" s="124">
        <v>59253.887999520011</v>
      </c>
    </row>
    <row r="59" spans="2:14" s="558" customFormat="1" x14ac:dyDescent="0.2">
      <c r="F59" s="65" t="s">
        <v>165</v>
      </c>
      <c r="G59" s="48"/>
      <c r="H59" s="124">
        <v>0</v>
      </c>
      <c r="I59" s="124">
        <v>0</v>
      </c>
      <c r="J59" s="124">
        <v>0</v>
      </c>
      <c r="K59" s="124">
        <v>0</v>
      </c>
      <c r="L59" s="124">
        <v>0</v>
      </c>
      <c r="M59" s="124">
        <v>0</v>
      </c>
      <c r="N59" s="124">
        <v>0</v>
      </c>
    </row>
    <row r="60" spans="2:14" s="558" customFormat="1" x14ac:dyDescent="0.2">
      <c r="F60" s="65" t="s">
        <v>173</v>
      </c>
      <c r="G60" s="48"/>
      <c r="H60" s="124">
        <v>583822.11871584016</v>
      </c>
      <c r="I60" s="124">
        <v>231210.18339552003</v>
      </c>
      <c r="J60" s="124">
        <v>42982.782438240007</v>
      </c>
      <c r="K60" s="124">
        <v>42982.782438240007</v>
      </c>
      <c r="L60" s="124">
        <v>42982.782438240007</v>
      </c>
      <c r="M60" s="124">
        <v>42982.782438240007</v>
      </c>
      <c r="N60" s="124">
        <v>42982.782438240007</v>
      </c>
    </row>
    <row r="61" spans="2:14" s="558" customFormat="1" x14ac:dyDescent="0.2">
      <c r="F61" s="65" t="s">
        <v>486</v>
      </c>
      <c r="G61" s="48"/>
      <c r="H61" s="124">
        <v>59114.997221040016</v>
      </c>
      <c r="I61" s="124">
        <v>59114.997221040016</v>
      </c>
      <c r="J61" s="124">
        <v>59114.997221040016</v>
      </c>
      <c r="K61" s="124">
        <v>59114.997221040016</v>
      </c>
      <c r="L61" s="124">
        <v>59114.997221040016</v>
      </c>
      <c r="M61" s="124">
        <v>59114.997221040016</v>
      </c>
      <c r="N61" s="124">
        <v>59114.997221040016</v>
      </c>
    </row>
    <row r="62" spans="2:14" s="558" customFormat="1" ht="4.1500000000000004" customHeight="1" x14ac:dyDescent="0.2">
      <c r="G62" s="48"/>
      <c r="H62" s="124"/>
      <c r="I62" s="124"/>
      <c r="J62" s="124"/>
      <c r="K62" s="124"/>
      <c r="L62" s="124"/>
      <c r="M62" s="124"/>
      <c r="N62" s="124"/>
    </row>
    <row r="63" spans="2:14" s="558" customFormat="1" x14ac:dyDescent="0.2">
      <c r="F63" s="65" t="s">
        <v>193</v>
      </c>
      <c r="G63" s="48"/>
      <c r="H63" s="124">
        <v>0</v>
      </c>
      <c r="I63" s="124">
        <v>0</v>
      </c>
      <c r="J63" s="124">
        <v>0</v>
      </c>
      <c r="K63" s="124">
        <v>0</v>
      </c>
      <c r="L63" s="124">
        <v>0</v>
      </c>
      <c r="M63" s="124">
        <v>0</v>
      </c>
      <c r="N63" s="124">
        <v>0</v>
      </c>
    </row>
    <row r="64" spans="2:14" s="558" customFormat="1" x14ac:dyDescent="0.2">
      <c r="F64" s="65" t="s">
        <v>167</v>
      </c>
      <c r="G64" s="48"/>
      <c r="H64" s="124">
        <v>0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  <c r="N64" s="124">
        <v>0</v>
      </c>
    </row>
    <row r="65" spans="1:17" s="558" customFormat="1" x14ac:dyDescent="0.2">
      <c r="F65" s="65" t="s">
        <v>168</v>
      </c>
      <c r="G65" s="48"/>
      <c r="H65" s="124">
        <v>0</v>
      </c>
      <c r="I65" s="124">
        <v>0</v>
      </c>
      <c r="J65" s="124">
        <v>0</v>
      </c>
      <c r="K65" s="124">
        <v>0</v>
      </c>
      <c r="L65" s="124">
        <v>0</v>
      </c>
      <c r="M65" s="124">
        <v>0</v>
      </c>
      <c r="N65" s="124">
        <v>0</v>
      </c>
    </row>
    <row r="66" spans="1:17" s="558" customFormat="1" x14ac:dyDescent="0.2">
      <c r="F66" s="65" t="s">
        <v>169</v>
      </c>
      <c r="G66" s="48"/>
      <c r="H66" s="124">
        <v>0</v>
      </c>
      <c r="I66" s="124">
        <v>0</v>
      </c>
      <c r="J66" s="124">
        <v>0</v>
      </c>
      <c r="K66" s="124">
        <v>0</v>
      </c>
      <c r="L66" s="124">
        <v>0</v>
      </c>
      <c r="M66" s="124">
        <v>0</v>
      </c>
      <c r="N66" s="124">
        <v>0</v>
      </c>
    </row>
    <row r="67" spans="1:17" s="558" customFormat="1" x14ac:dyDescent="0.2">
      <c r="F67" s="65" t="s">
        <v>166</v>
      </c>
      <c r="G67" s="48"/>
      <c r="H67" s="124">
        <v>0</v>
      </c>
      <c r="I67" s="124">
        <v>0</v>
      </c>
      <c r="J67" s="124">
        <v>0</v>
      </c>
      <c r="K67" s="124">
        <v>0</v>
      </c>
      <c r="L67" s="124">
        <v>0</v>
      </c>
      <c r="M67" s="124">
        <v>0</v>
      </c>
      <c r="N67" s="124">
        <v>0</v>
      </c>
    </row>
    <row r="68" spans="1:17" s="558" customFormat="1" ht="4.1500000000000004" customHeight="1" x14ac:dyDescent="0.2">
      <c r="G68" s="48"/>
      <c r="H68" s="124"/>
      <c r="I68" s="124"/>
      <c r="J68" s="124"/>
      <c r="K68" s="124"/>
      <c r="L68" s="124"/>
      <c r="M68" s="124"/>
      <c r="N68" s="124"/>
    </row>
    <row r="69" spans="1:17" s="558" customFormat="1" x14ac:dyDescent="0.2">
      <c r="F69" s="65" t="s">
        <v>170</v>
      </c>
      <c r="G69" s="48"/>
      <c r="H69" s="124">
        <v>0</v>
      </c>
      <c r="I69" s="124">
        <v>0</v>
      </c>
      <c r="J69" s="124">
        <v>0</v>
      </c>
      <c r="K69" s="124">
        <v>0</v>
      </c>
      <c r="L69" s="124">
        <v>0</v>
      </c>
      <c r="M69" s="124">
        <v>0</v>
      </c>
      <c r="N69" s="124">
        <v>0</v>
      </c>
    </row>
    <row r="70" spans="1:17" s="558" customFormat="1" ht="4.1500000000000004" customHeight="1" x14ac:dyDescent="0.25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</row>
    <row r="71" spans="1:17" s="558" customFormat="1" ht="12.75" thickBot="1" x14ac:dyDescent="0.25">
      <c r="F71" s="90" t="s">
        <v>216</v>
      </c>
      <c r="G71" s="91" t="s">
        <v>42</v>
      </c>
      <c r="H71" s="92">
        <v>1486686.2915022403</v>
      </c>
      <c r="I71" s="92">
        <v>922682.2389582803</v>
      </c>
      <c r="J71" s="92">
        <v>629151.64167924016</v>
      </c>
      <c r="K71" s="92">
        <v>629151.64167924016</v>
      </c>
      <c r="L71" s="92">
        <v>629151.64167924016</v>
      </c>
      <c r="M71" s="92">
        <v>629151.64167924016</v>
      </c>
      <c r="N71" s="92">
        <v>629151.64167924016</v>
      </c>
    </row>
    <row r="72" spans="1:17" s="558" customFormat="1" ht="12.75" thickTop="1" x14ac:dyDescent="0.2"/>
    <row r="73" spans="1:17" s="558" customFormat="1" x14ac:dyDescent="0.2"/>
    <row r="74" spans="1:17" ht="15.75" thickBot="1" x14ac:dyDescent="0.3">
      <c r="A74" s="10" t="s">
        <v>37</v>
      </c>
      <c r="B74" s="10"/>
      <c r="C74" s="10"/>
      <c r="D74" s="10"/>
      <c r="E74" s="10"/>
      <c r="F74" s="10"/>
      <c r="G74" s="51"/>
      <c r="H74" s="10"/>
      <c r="I74" s="10"/>
      <c r="J74" s="10"/>
      <c r="K74" s="10"/>
      <c r="L74" s="10"/>
      <c r="M74" s="10"/>
      <c r="N74" s="10"/>
      <c r="O74" s="10"/>
      <c r="P74" s="10"/>
      <c r="Q74" s="10"/>
    </row>
    <row r="75" spans="1:17" ht="12.75" x14ac:dyDescent="0.2">
      <c r="G75" s="50"/>
      <c r="H75" s="43" t="s">
        <v>251</v>
      </c>
      <c r="I75" s="43" t="s">
        <v>252</v>
      </c>
      <c r="J75" s="43" t="s">
        <v>253</v>
      </c>
      <c r="K75" s="43" t="s">
        <v>254</v>
      </c>
      <c r="L75" s="43" t="s">
        <v>255</v>
      </c>
      <c r="M75" s="43" t="s">
        <v>256</v>
      </c>
      <c r="N75" s="43" t="s">
        <v>257</v>
      </c>
      <c r="P75" s="5"/>
      <c r="Q75" s="5"/>
    </row>
    <row r="76" spans="1:17" outlineLevel="1" x14ac:dyDescent="0.2"/>
    <row r="77" spans="1:17" outlineLevel="1" x14ac:dyDescent="0.2">
      <c r="A77" s="120" t="s">
        <v>263</v>
      </c>
    </row>
    <row r="78" spans="1:17" outlineLevel="1" x14ac:dyDescent="0.2">
      <c r="E78" s="79" t="s">
        <v>1073</v>
      </c>
      <c r="G78" s="48"/>
    </row>
    <row r="79" spans="1:17" ht="4.1500000000000004" customHeight="1" outlineLevel="1" x14ac:dyDescent="0.2">
      <c r="G79" s="558"/>
      <c r="I79" s="37"/>
      <c r="J79" s="37"/>
      <c r="K79" s="37"/>
      <c r="L79" s="37"/>
      <c r="M79" s="37"/>
      <c r="N79" s="37"/>
    </row>
    <row r="80" spans="1:17" outlineLevel="1" x14ac:dyDescent="0.2">
      <c r="A80" s="48"/>
      <c r="B80" s="48"/>
      <c r="F80" s="65" t="s">
        <v>164</v>
      </c>
      <c r="G80" s="558"/>
      <c r="H80" s="779"/>
      <c r="I80" s="779"/>
      <c r="J80" s="779"/>
      <c r="K80" s="779"/>
      <c r="L80" s="779"/>
      <c r="M80" s="779"/>
      <c r="N80" s="779"/>
      <c r="P80" s="7"/>
      <c r="Q80" s="8"/>
    </row>
    <row r="81" spans="1:18" outlineLevel="1" x14ac:dyDescent="0.2">
      <c r="A81" s="48"/>
      <c r="B81" s="48"/>
      <c r="F81" s="65" t="s">
        <v>489</v>
      </c>
      <c r="G81" s="558"/>
      <c r="H81" s="779"/>
      <c r="I81" s="779"/>
      <c r="J81" s="779"/>
      <c r="K81" s="779"/>
      <c r="L81" s="779"/>
      <c r="M81" s="779"/>
      <c r="N81" s="779"/>
      <c r="P81" s="7"/>
      <c r="Q81" s="417"/>
    </row>
    <row r="82" spans="1:18" outlineLevel="1" x14ac:dyDescent="0.2">
      <c r="A82" s="48"/>
      <c r="B82" s="48"/>
      <c r="F82" s="65" t="s">
        <v>172</v>
      </c>
      <c r="G82" s="558"/>
      <c r="H82" s="779"/>
      <c r="I82" s="779"/>
      <c r="J82" s="779"/>
      <c r="K82" s="779"/>
      <c r="L82" s="779"/>
      <c r="M82" s="779"/>
      <c r="N82" s="779"/>
      <c r="P82" s="7"/>
      <c r="Q82" s="8"/>
    </row>
    <row r="83" spans="1:18" outlineLevel="1" x14ac:dyDescent="0.2">
      <c r="A83" s="48"/>
      <c r="B83" s="48"/>
      <c r="F83" s="65" t="s">
        <v>171</v>
      </c>
      <c r="G83" s="558"/>
      <c r="H83" s="779"/>
      <c r="I83" s="779"/>
      <c r="J83" s="779"/>
      <c r="K83" s="779"/>
      <c r="L83" s="779"/>
      <c r="M83" s="779"/>
      <c r="N83" s="779"/>
      <c r="P83" s="7"/>
      <c r="Q83" s="8"/>
    </row>
    <row r="84" spans="1:18" outlineLevel="1" x14ac:dyDescent="0.2">
      <c r="A84" s="48"/>
      <c r="B84" s="48"/>
      <c r="F84" s="65" t="s">
        <v>487</v>
      </c>
      <c r="G84" s="558"/>
      <c r="H84" s="779"/>
      <c r="I84" s="779"/>
      <c r="J84" s="779"/>
      <c r="K84" s="779"/>
      <c r="L84" s="779"/>
      <c r="M84" s="779"/>
      <c r="N84" s="779"/>
      <c r="P84" s="7"/>
      <c r="Q84" s="8"/>
    </row>
    <row r="85" spans="1:18" outlineLevel="1" x14ac:dyDescent="0.2">
      <c r="A85" s="48"/>
      <c r="B85" s="48"/>
      <c r="F85" s="65" t="s">
        <v>488</v>
      </c>
      <c r="G85" s="558"/>
      <c r="H85" s="779"/>
      <c r="I85" s="779"/>
      <c r="J85" s="779"/>
      <c r="K85" s="779"/>
      <c r="L85" s="779"/>
      <c r="M85" s="779"/>
      <c r="N85" s="779"/>
      <c r="P85" s="7"/>
      <c r="Q85" s="8"/>
    </row>
    <row r="86" spans="1:18" s="386" customFormat="1" outlineLevel="1" x14ac:dyDescent="0.2">
      <c r="A86" s="48"/>
      <c r="B86" s="48"/>
      <c r="F86" s="65" t="s">
        <v>165</v>
      </c>
      <c r="G86" s="558"/>
      <c r="H86" s="779"/>
      <c r="I86" s="779"/>
      <c r="J86" s="779"/>
      <c r="K86" s="779"/>
      <c r="L86" s="779"/>
      <c r="M86" s="779"/>
      <c r="N86" s="779"/>
      <c r="P86" s="7"/>
      <c r="Q86" s="417"/>
    </row>
    <row r="87" spans="1:18" outlineLevel="1" x14ac:dyDescent="0.2">
      <c r="A87" s="48"/>
      <c r="B87" s="48"/>
      <c r="F87" s="65" t="s">
        <v>173</v>
      </c>
      <c r="G87" s="558"/>
      <c r="H87" s="779"/>
      <c r="I87" s="779"/>
      <c r="J87" s="779"/>
      <c r="K87" s="779"/>
      <c r="L87" s="779"/>
      <c r="M87" s="779"/>
      <c r="N87" s="779"/>
      <c r="P87" s="7"/>
      <c r="Q87" s="8"/>
    </row>
    <row r="88" spans="1:18" outlineLevel="1" x14ac:dyDescent="0.2">
      <c r="A88" s="48"/>
      <c r="B88" s="48"/>
      <c r="F88" s="65" t="s">
        <v>486</v>
      </c>
      <c r="G88" s="558"/>
      <c r="H88" s="779"/>
      <c r="I88" s="779"/>
      <c r="J88" s="779"/>
      <c r="K88" s="779"/>
      <c r="L88" s="779"/>
      <c r="M88" s="779"/>
      <c r="N88" s="779"/>
      <c r="P88" s="7"/>
      <c r="Q88" s="417"/>
    </row>
    <row r="89" spans="1:18" ht="4.1500000000000004" customHeight="1" outlineLevel="1" x14ac:dyDescent="0.2">
      <c r="A89" s="48"/>
      <c r="B89" s="48"/>
      <c r="F89" s="46"/>
      <c r="G89" s="558"/>
      <c r="H89" s="84"/>
      <c r="I89" s="84"/>
      <c r="J89" s="84"/>
      <c r="K89" s="84"/>
      <c r="L89" s="84"/>
      <c r="M89" s="84"/>
      <c r="N89" s="84"/>
      <c r="O89" s="37"/>
      <c r="P89" s="37"/>
      <c r="Q89" s="37"/>
      <c r="R89" s="37"/>
    </row>
    <row r="90" spans="1:18" outlineLevel="1" x14ac:dyDescent="0.2">
      <c r="A90" s="48"/>
      <c r="B90" s="48"/>
      <c r="F90" s="65" t="s">
        <v>193</v>
      </c>
      <c r="G90" s="558"/>
      <c r="H90" s="779"/>
      <c r="I90" s="779"/>
      <c r="J90" s="779"/>
      <c r="K90" s="779"/>
      <c r="L90" s="779"/>
      <c r="M90" s="779"/>
      <c r="N90" s="779"/>
      <c r="P90" s="7"/>
      <c r="Q90" s="8"/>
    </row>
    <row r="91" spans="1:18" outlineLevel="1" x14ac:dyDescent="0.2">
      <c r="A91" s="48"/>
      <c r="B91" s="48"/>
      <c r="F91" s="65" t="s">
        <v>167</v>
      </c>
      <c r="G91" s="558"/>
      <c r="H91" s="779"/>
      <c r="I91" s="779"/>
      <c r="J91" s="779"/>
      <c r="K91" s="779"/>
      <c r="L91" s="779"/>
      <c r="M91" s="779"/>
      <c r="N91" s="779"/>
      <c r="P91" s="7"/>
      <c r="Q91" s="8"/>
    </row>
    <row r="92" spans="1:18" outlineLevel="1" x14ac:dyDescent="0.2">
      <c r="A92" s="48"/>
      <c r="B92" s="48"/>
      <c r="F92" s="65" t="s">
        <v>168</v>
      </c>
      <c r="G92" s="558"/>
      <c r="H92" s="779"/>
      <c r="I92" s="779"/>
      <c r="J92" s="779"/>
      <c r="K92" s="779"/>
      <c r="L92" s="779"/>
      <c r="M92" s="779"/>
      <c r="N92" s="779"/>
      <c r="P92" s="7"/>
      <c r="Q92" s="8"/>
    </row>
    <row r="93" spans="1:18" outlineLevel="1" x14ac:dyDescent="0.2">
      <c r="A93" s="48"/>
      <c r="B93" s="48"/>
      <c r="F93" s="65" t="s">
        <v>169</v>
      </c>
      <c r="G93" s="558"/>
      <c r="H93" s="779"/>
      <c r="I93" s="779"/>
      <c r="J93" s="779"/>
      <c r="K93" s="779"/>
      <c r="L93" s="779"/>
      <c r="M93" s="779"/>
      <c r="N93" s="779"/>
      <c r="P93" s="7"/>
      <c r="Q93" s="8"/>
    </row>
    <row r="94" spans="1:18" s="386" customFormat="1" outlineLevel="1" x14ac:dyDescent="0.2">
      <c r="A94" s="48"/>
      <c r="B94" s="48"/>
      <c r="F94" s="65" t="s">
        <v>166</v>
      </c>
      <c r="G94" s="558"/>
      <c r="H94" s="779"/>
      <c r="I94" s="779"/>
      <c r="J94" s="779"/>
      <c r="K94" s="779"/>
      <c r="L94" s="779"/>
      <c r="M94" s="779"/>
      <c r="N94" s="779"/>
      <c r="P94" s="7"/>
      <c r="Q94" s="179"/>
    </row>
    <row r="95" spans="1:18" ht="4.1500000000000004" customHeight="1" outlineLevel="1" x14ac:dyDescent="0.2">
      <c r="A95" s="48"/>
      <c r="B95" s="48"/>
      <c r="F95" s="46"/>
      <c r="G95" s="558"/>
      <c r="H95" s="84"/>
      <c r="I95" s="84"/>
      <c r="J95" s="84"/>
      <c r="K95" s="84"/>
      <c r="L95" s="84"/>
      <c r="M95" s="84"/>
      <c r="N95" s="84"/>
      <c r="O95" s="37"/>
      <c r="P95" s="37"/>
      <c r="Q95" s="37"/>
      <c r="R95" s="37"/>
    </row>
    <row r="96" spans="1:18" outlineLevel="1" x14ac:dyDescent="0.2">
      <c r="A96" s="48"/>
      <c r="B96" s="48"/>
      <c r="F96" s="65" t="s">
        <v>170</v>
      </c>
      <c r="G96" s="558"/>
      <c r="H96" s="779"/>
      <c r="I96" s="779"/>
      <c r="J96" s="779"/>
      <c r="K96" s="779"/>
      <c r="L96" s="779"/>
      <c r="M96" s="779"/>
      <c r="N96" s="779"/>
      <c r="P96" s="7"/>
      <c r="Q96" s="8"/>
    </row>
    <row r="97" spans="1:18" ht="4.1500000000000004" customHeight="1" outlineLevel="1" x14ac:dyDescent="0.2"/>
    <row r="98" spans="1:18" outlineLevel="1" x14ac:dyDescent="0.2">
      <c r="F98" s="85" t="s">
        <v>292</v>
      </c>
      <c r="G98" s="87"/>
      <c r="H98" s="88">
        <v>925227.87840000016</v>
      </c>
      <c r="I98" s="88">
        <v>547075.1664000001</v>
      </c>
      <c r="J98" s="88">
        <v>351126.54360000009</v>
      </c>
      <c r="K98" s="88">
        <v>351126.54360000009</v>
      </c>
      <c r="L98" s="88">
        <v>351126.54360000009</v>
      </c>
      <c r="M98" s="88">
        <v>351126.54360000009</v>
      </c>
      <c r="N98" s="88">
        <v>351126.54360000009</v>
      </c>
    </row>
    <row r="99" spans="1:18" outlineLevel="1" x14ac:dyDescent="0.2"/>
    <row r="100" spans="1:18" outlineLevel="1" x14ac:dyDescent="0.2">
      <c r="E100" s="79" t="s">
        <v>293</v>
      </c>
      <c r="G100" s="6" t="s">
        <v>1056</v>
      </c>
    </row>
    <row r="101" spans="1:18" ht="4.1500000000000004" customHeight="1" outlineLevel="1" x14ac:dyDescent="0.2">
      <c r="I101" s="37"/>
      <c r="J101" s="37"/>
      <c r="K101" s="37"/>
      <c r="L101" s="37"/>
      <c r="M101" s="37"/>
      <c r="N101" s="37"/>
    </row>
    <row r="102" spans="1:18" outlineLevel="1" x14ac:dyDescent="0.2">
      <c r="A102" s="48"/>
      <c r="B102" s="48"/>
      <c r="F102" s="65" t="s">
        <v>164</v>
      </c>
      <c r="G102" s="780"/>
      <c r="H102" s="779"/>
      <c r="I102" s="779"/>
      <c r="J102" s="779"/>
      <c r="K102" s="779"/>
      <c r="L102" s="779"/>
      <c r="M102" s="779"/>
      <c r="N102" s="779"/>
      <c r="P102" s="7"/>
      <c r="Q102" s="8"/>
    </row>
    <row r="103" spans="1:18" outlineLevel="1" x14ac:dyDescent="0.2">
      <c r="A103" s="48"/>
      <c r="B103" s="48"/>
      <c r="F103" s="65" t="s">
        <v>489</v>
      </c>
      <c r="G103" s="780"/>
      <c r="H103" s="779"/>
      <c r="I103" s="779"/>
      <c r="J103" s="779"/>
      <c r="K103" s="779"/>
      <c r="L103" s="779"/>
      <c r="M103" s="779"/>
      <c r="N103" s="779"/>
      <c r="P103" s="7"/>
      <c r="Q103" s="417"/>
    </row>
    <row r="104" spans="1:18" outlineLevel="1" x14ac:dyDescent="0.2">
      <c r="A104" s="48"/>
      <c r="B104" s="48"/>
      <c r="F104" s="65" t="s">
        <v>172</v>
      </c>
      <c r="G104" s="780"/>
      <c r="H104" s="779"/>
      <c r="I104" s="779"/>
      <c r="J104" s="779"/>
      <c r="K104" s="779"/>
      <c r="L104" s="779"/>
      <c r="M104" s="779"/>
      <c r="N104" s="779"/>
      <c r="P104" s="7"/>
      <c r="Q104" s="8"/>
    </row>
    <row r="105" spans="1:18" outlineLevel="1" x14ac:dyDescent="0.2">
      <c r="A105" s="48"/>
      <c r="B105" s="48"/>
      <c r="F105" s="65" t="s">
        <v>171</v>
      </c>
      <c r="G105" s="780"/>
      <c r="H105" s="779"/>
      <c r="I105" s="779"/>
      <c r="J105" s="779"/>
      <c r="K105" s="779"/>
      <c r="L105" s="779"/>
      <c r="M105" s="779"/>
      <c r="N105" s="779"/>
      <c r="P105" s="7"/>
      <c r="Q105" s="8"/>
    </row>
    <row r="106" spans="1:18" outlineLevel="1" x14ac:dyDescent="0.2">
      <c r="A106" s="48"/>
      <c r="B106" s="48"/>
      <c r="F106" s="65" t="s">
        <v>487</v>
      </c>
      <c r="G106" s="780"/>
      <c r="H106" s="779"/>
      <c r="I106" s="779"/>
      <c r="J106" s="779"/>
      <c r="K106" s="779"/>
      <c r="L106" s="779"/>
      <c r="M106" s="779"/>
      <c r="N106" s="779"/>
      <c r="P106" s="7"/>
      <c r="Q106" s="8"/>
    </row>
    <row r="107" spans="1:18" outlineLevel="1" x14ac:dyDescent="0.2">
      <c r="A107" s="48"/>
      <c r="B107" s="48"/>
      <c r="F107" s="65" t="s">
        <v>488</v>
      </c>
      <c r="G107" s="780"/>
      <c r="H107" s="779"/>
      <c r="I107" s="779"/>
      <c r="J107" s="779"/>
      <c r="K107" s="779"/>
      <c r="L107" s="779"/>
      <c r="M107" s="779"/>
      <c r="N107" s="779"/>
      <c r="P107" s="7"/>
      <c r="Q107" s="8"/>
    </row>
    <row r="108" spans="1:18" s="386" customFormat="1" outlineLevel="1" x14ac:dyDescent="0.2">
      <c r="A108" s="48"/>
      <c r="B108" s="48"/>
      <c r="F108" s="65" t="s">
        <v>165</v>
      </c>
      <c r="G108" s="780"/>
      <c r="H108" s="779"/>
      <c r="I108" s="779"/>
      <c r="J108" s="779"/>
      <c r="K108" s="779"/>
      <c r="L108" s="779"/>
      <c r="M108" s="779"/>
      <c r="N108" s="779"/>
      <c r="P108" s="7"/>
      <c r="Q108" s="417"/>
    </row>
    <row r="109" spans="1:18" outlineLevel="1" x14ac:dyDescent="0.2">
      <c r="A109" s="48"/>
      <c r="B109" s="48"/>
      <c r="F109" s="65" t="s">
        <v>173</v>
      </c>
      <c r="G109" s="780"/>
      <c r="H109" s="779"/>
      <c r="I109" s="779"/>
      <c r="J109" s="779"/>
      <c r="K109" s="779"/>
      <c r="L109" s="779"/>
      <c r="M109" s="779"/>
      <c r="N109" s="779"/>
      <c r="P109" s="7"/>
      <c r="Q109" s="8"/>
    </row>
    <row r="110" spans="1:18" outlineLevel="1" x14ac:dyDescent="0.2">
      <c r="A110" s="48"/>
      <c r="B110" s="48"/>
      <c r="F110" s="65" t="s">
        <v>486</v>
      </c>
      <c r="G110" s="780"/>
      <c r="H110" s="779"/>
      <c r="I110" s="779"/>
      <c r="J110" s="779"/>
      <c r="K110" s="779"/>
      <c r="L110" s="779"/>
      <c r="M110" s="779"/>
      <c r="N110" s="779"/>
      <c r="P110" s="7"/>
      <c r="Q110" s="417"/>
    </row>
    <row r="111" spans="1:18" ht="4.1500000000000004" customHeight="1" outlineLevel="1" x14ac:dyDescent="0.2">
      <c r="A111" s="48"/>
      <c r="B111" s="48"/>
      <c r="F111" s="46"/>
      <c r="G111" s="50"/>
      <c r="H111" s="84"/>
      <c r="I111" s="84"/>
      <c r="J111" s="84"/>
      <c r="K111" s="84"/>
      <c r="L111" s="84"/>
      <c r="M111" s="84"/>
      <c r="N111" s="84"/>
      <c r="O111" s="37"/>
      <c r="P111" s="37"/>
      <c r="Q111" s="37"/>
      <c r="R111" s="37"/>
    </row>
    <row r="112" spans="1:18" outlineLevel="1" x14ac:dyDescent="0.2">
      <c r="A112" s="48"/>
      <c r="B112" s="48"/>
      <c r="F112" s="65" t="s">
        <v>193</v>
      </c>
      <c r="G112" s="780"/>
      <c r="H112" s="779"/>
      <c r="I112" s="779"/>
      <c r="J112" s="779"/>
      <c r="K112" s="779"/>
      <c r="L112" s="779"/>
      <c r="M112" s="779"/>
      <c r="N112" s="779"/>
      <c r="P112" s="7"/>
      <c r="Q112" s="8"/>
    </row>
    <row r="113" spans="1:18" outlineLevel="1" x14ac:dyDescent="0.2">
      <c r="A113" s="48"/>
      <c r="B113" s="48"/>
      <c r="F113" s="65" t="s">
        <v>167</v>
      </c>
      <c r="G113" s="780"/>
      <c r="H113" s="779"/>
      <c r="I113" s="779"/>
      <c r="J113" s="779"/>
      <c r="K113" s="779"/>
      <c r="L113" s="779"/>
      <c r="M113" s="779"/>
      <c r="N113" s="779"/>
      <c r="P113" s="7"/>
      <c r="Q113" s="8"/>
    </row>
    <row r="114" spans="1:18" outlineLevel="1" x14ac:dyDescent="0.2">
      <c r="A114" s="48"/>
      <c r="B114" s="48"/>
      <c r="F114" s="65" t="s">
        <v>168</v>
      </c>
      <c r="G114" s="780"/>
      <c r="H114" s="779"/>
      <c r="I114" s="779"/>
      <c r="J114" s="779"/>
      <c r="K114" s="779"/>
      <c r="L114" s="779"/>
      <c r="M114" s="779"/>
      <c r="N114" s="779"/>
      <c r="P114" s="7"/>
      <c r="Q114" s="8"/>
    </row>
    <row r="115" spans="1:18" outlineLevel="1" x14ac:dyDescent="0.2">
      <c r="A115" s="48"/>
      <c r="B115" s="48"/>
      <c r="F115" s="65" t="s">
        <v>169</v>
      </c>
      <c r="G115" s="780"/>
      <c r="H115" s="779"/>
      <c r="I115" s="779"/>
      <c r="J115" s="779"/>
      <c r="K115" s="779"/>
      <c r="L115" s="779"/>
      <c r="M115" s="779"/>
      <c r="N115" s="779"/>
      <c r="P115" s="7"/>
      <c r="Q115" s="8"/>
    </row>
    <row r="116" spans="1:18" s="386" customFormat="1" outlineLevel="1" x14ac:dyDescent="0.2">
      <c r="A116" s="48"/>
      <c r="B116" s="48"/>
      <c r="F116" s="65" t="s">
        <v>166</v>
      </c>
      <c r="G116" s="780"/>
      <c r="H116" s="779"/>
      <c r="I116" s="779"/>
      <c r="J116" s="779"/>
      <c r="K116" s="779"/>
      <c r="L116" s="779"/>
      <c r="M116" s="779"/>
      <c r="N116" s="779"/>
      <c r="P116" s="7"/>
      <c r="Q116" s="179"/>
    </row>
    <row r="117" spans="1:18" ht="4.1500000000000004" customHeight="1" outlineLevel="1" x14ac:dyDescent="0.2">
      <c r="A117" s="48"/>
      <c r="B117" s="48"/>
      <c r="F117" s="46"/>
      <c r="G117" s="50"/>
      <c r="H117" s="84"/>
      <c r="I117" s="84"/>
      <c r="J117" s="84"/>
      <c r="K117" s="84"/>
      <c r="L117" s="84"/>
      <c r="M117" s="84"/>
      <c r="N117" s="84"/>
      <c r="O117" s="37"/>
      <c r="P117" s="37"/>
      <c r="Q117" s="37"/>
      <c r="R117" s="37"/>
    </row>
    <row r="118" spans="1:18" outlineLevel="1" x14ac:dyDescent="0.2">
      <c r="A118" s="48"/>
      <c r="B118" s="48"/>
      <c r="F118" s="65" t="s">
        <v>170</v>
      </c>
      <c r="G118" s="780"/>
      <c r="H118" s="779"/>
      <c r="I118" s="779"/>
      <c r="J118" s="779"/>
      <c r="K118" s="779"/>
      <c r="L118" s="779"/>
      <c r="M118" s="779"/>
      <c r="N118" s="779"/>
      <c r="P118" s="7"/>
      <c r="Q118" s="8"/>
    </row>
    <row r="119" spans="1:18" ht="4.1500000000000004" customHeight="1" outlineLevel="1" x14ac:dyDescent="0.2"/>
    <row r="120" spans="1:18" outlineLevel="1" x14ac:dyDescent="0.2">
      <c r="F120" s="85" t="s">
        <v>291</v>
      </c>
      <c r="G120" s="87"/>
      <c r="H120" s="88">
        <v>561458.41310224007</v>
      </c>
      <c r="I120" s="88">
        <v>375607.07255828002</v>
      </c>
      <c r="J120" s="88">
        <v>278025.09807924007</v>
      </c>
      <c r="K120" s="88">
        <v>278025.09807924007</v>
      </c>
      <c r="L120" s="88">
        <v>278025.09807924007</v>
      </c>
      <c r="M120" s="88">
        <v>278025.09807924007</v>
      </c>
      <c r="N120" s="88">
        <v>278025.09807924007</v>
      </c>
    </row>
    <row r="121" spans="1:18" outlineLevel="1" x14ac:dyDescent="0.2">
      <c r="A121" s="120" t="s">
        <v>262</v>
      </c>
    </row>
    <row r="122" spans="1:18" outlineLevel="1" x14ac:dyDescent="0.2"/>
    <row r="123" spans="1:18" outlineLevel="1" x14ac:dyDescent="0.2">
      <c r="E123" s="79" t="s">
        <v>944</v>
      </c>
    </row>
    <row r="124" spans="1:18" ht="4.1500000000000004" customHeight="1" outlineLevel="1" x14ac:dyDescent="0.2">
      <c r="I124" s="37"/>
      <c r="J124" s="37"/>
      <c r="K124" s="37"/>
      <c r="L124" s="37"/>
      <c r="M124" s="37"/>
      <c r="N124" s="37"/>
    </row>
    <row r="125" spans="1:18" outlineLevel="1" x14ac:dyDescent="0.2">
      <c r="F125" s="65" t="s">
        <v>164</v>
      </c>
      <c r="G125" s="48" t="s">
        <v>443</v>
      </c>
      <c r="H125" s="44">
        <v>1528</v>
      </c>
      <c r="I125" s="44">
        <v>603</v>
      </c>
      <c r="J125" s="44">
        <v>104</v>
      </c>
      <c r="K125" s="44">
        <v>104</v>
      </c>
      <c r="L125" s="44">
        <v>104</v>
      </c>
      <c r="M125" s="44">
        <v>104</v>
      </c>
      <c r="N125" s="44">
        <v>104</v>
      </c>
      <c r="P125" s="7"/>
      <c r="Q125" s="8"/>
    </row>
    <row r="126" spans="1:18" outlineLevel="1" x14ac:dyDescent="0.2">
      <c r="F126" s="65" t="s">
        <v>489</v>
      </c>
      <c r="G126" s="48" t="s">
        <v>443</v>
      </c>
      <c r="H126" s="44">
        <v>67</v>
      </c>
      <c r="I126" s="44">
        <v>67</v>
      </c>
      <c r="J126" s="44">
        <v>67</v>
      </c>
      <c r="K126" s="44">
        <v>67</v>
      </c>
      <c r="L126" s="44">
        <v>67</v>
      </c>
      <c r="M126" s="44">
        <v>67</v>
      </c>
      <c r="N126" s="44">
        <v>67</v>
      </c>
      <c r="P126" s="7"/>
      <c r="Q126" s="8"/>
    </row>
    <row r="127" spans="1:18" outlineLevel="1" x14ac:dyDescent="0.2">
      <c r="F127" s="65" t="s">
        <v>172</v>
      </c>
      <c r="G127" s="48" t="s">
        <v>443</v>
      </c>
      <c r="H127" s="44">
        <v>4564</v>
      </c>
      <c r="I127" s="44">
        <v>1557</v>
      </c>
      <c r="J127" s="44">
        <v>134</v>
      </c>
      <c r="K127" s="44">
        <v>134</v>
      </c>
      <c r="L127" s="44">
        <v>134</v>
      </c>
      <c r="M127" s="44">
        <v>134</v>
      </c>
      <c r="N127" s="44">
        <v>134</v>
      </c>
      <c r="P127" s="7"/>
      <c r="Q127" s="8"/>
    </row>
    <row r="128" spans="1:18" outlineLevel="1" x14ac:dyDescent="0.2">
      <c r="F128" s="65" t="s">
        <v>171</v>
      </c>
      <c r="G128" s="48" t="s">
        <v>443</v>
      </c>
      <c r="H128" s="44">
        <v>6787</v>
      </c>
      <c r="I128" s="44">
        <v>6787</v>
      </c>
      <c r="J128" s="44">
        <v>6787</v>
      </c>
      <c r="K128" s="44">
        <v>6787</v>
      </c>
      <c r="L128" s="44">
        <v>6787</v>
      </c>
      <c r="M128" s="44">
        <v>6787</v>
      </c>
      <c r="N128" s="44">
        <v>6787</v>
      </c>
      <c r="P128" s="7"/>
      <c r="Q128" s="8"/>
    </row>
    <row r="129" spans="6:18" outlineLevel="1" x14ac:dyDescent="0.2">
      <c r="F129" s="65" t="s">
        <v>487</v>
      </c>
      <c r="G129" s="48" t="s">
        <v>443</v>
      </c>
      <c r="H129" s="44">
        <v>311</v>
      </c>
      <c r="I129" s="44">
        <v>120</v>
      </c>
      <c r="J129" s="44">
        <v>10</v>
      </c>
      <c r="K129" s="44">
        <v>10</v>
      </c>
      <c r="L129" s="44">
        <v>10</v>
      </c>
      <c r="M129" s="44">
        <v>10</v>
      </c>
      <c r="N129" s="44">
        <v>10</v>
      </c>
      <c r="P129" s="7"/>
      <c r="Q129" s="8"/>
    </row>
    <row r="130" spans="6:18" outlineLevel="1" x14ac:dyDescent="0.2">
      <c r="F130" s="65" t="s">
        <v>488</v>
      </c>
      <c r="G130" s="48" t="s">
        <v>443</v>
      </c>
      <c r="H130" s="44">
        <v>970</v>
      </c>
      <c r="I130" s="44">
        <v>921</v>
      </c>
      <c r="J130" s="44">
        <v>892</v>
      </c>
      <c r="K130" s="44">
        <v>892</v>
      </c>
      <c r="L130" s="44">
        <v>892</v>
      </c>
      <c r="M130" s="44">
        <v>892</v>
      </c>
      <c r="N130" s="44">
        <v>892</v>
      </c>
      <c r="P130" s="7"/>
      <c r="Q130" s="8"/>
    </row>
    <row r="131" spans="6:18" s="386" customFormat="1" outlineLevel="1" x14ac:dyDescent="0.2">
      <c r="F131" s="65" t="s">
        <v>165</v>
      </c>
      <c r="G131" s="48" t="s">
        <v>443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P131" s="7"/>
      <c r="Q131" s="417" t="s">
        <v>684</v>
      </c>
    </row>
    <row r="132" spans="6:18" outlineLevel="1" x14ac:dyDescent="0.2">
      <c r="F132" s="65" t="s">
        <v>173</v>
      </c>
      <c r="G132" s="48" t="s">
        <v>443</v>
      </c>
      <c r="H132" s="44">
        <v>10676</v>
      </c>
      <c r="I132" s="44">
        <v>4228</v>
      </c>
      <c r="J132" s="44">
        <v>786</v>
      </c>
      <c r="K132" s="44">
        <v>786</v>
      </c>
      <c r="L132" s="44">
        <v>786</v>
      </c>
      <c r="M132" s="44">
        <v>786</v>
      </c>
      <c r="N132" s="44">
        <v>786</v>
      </c>
      <c r="P132" s="7"/>
      <c r="Q132" s="8"/>
    </row>
    <row r="133" spans="6:18" outlineLevel="1" x14ac:dyDescent="0.2">
      <c r="F133" s="65" t="s">
        <v>486</v>
      </c>
      <c r="G133" s="48" t="s">
        <v>443</v>
      </c>
      <c r="H133" s="44">
        <v>1081</v>
      </c>
      <c r="I133" s="44">
        <v>1081</v>
      </c>
      <c r="J133" s="44">
        <v>1081</v>
      </c>
      <c r="K133" s="44">
        <v>1081</v>
      </c>
      <c r="L133" s="44">
        <v>1081</v>
      </c>
      <c r="M133" s="44">
        <v>1081</v>
      </c>
      <c r="N133" s="44">
        <v>1081</v>
      </c>
      <c r="P133" s="7"/>
      <c r="Q133" s="179"/>
    </row>
    <row r="134" spans="6:18" ht="4.1500000000000004" customHeight="1" outlineLevel="1" x14ac:dyDescent="0.2">
      <c r="F134" s="46"/>
      <c r="H134" s="84"/>
      <c r="I134" s="84"/>
      <c r="J134" s="84"/>
      <c r="K134" s="84"/>
      <c r="L134" s="84"/>
      <c r="M134" s="84"/>
      <c r="N134" s="84"/>
      <c r="O134" s="37"/>
      <c r="P134" s="37"/>
      <c r="Q134" s="37"/>
      <c r="R134" s="37"/>
    </row>
    <row r="135" spans="6:18" outlineLevel="1" x14ac:dyDescent="0.2">
      <c r="F135" s="65" t="s">
        <v>193</v>
      </c>
      <c r="G135" s="48" t="s">
        <v>443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P135" s="7"/>
      <c r="Q135" s="8"/>
    </row>
    <row r="136" spans="6:18" outlineLevel="1" x14ac:dyDescent="0.2">
      <c r="F136" s="65" t="s">
        <v>167</v>
      </c>
      <c r="G136" s="48" t="s">
        <v>443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P136" s="7"/>
      <c r="Q136" s="8"/>
    </row>
    <row r="137" spans="6:18" outlineLevel="1" x14ac:dyDescent="0.2">
      <c r="F137" s="65" t="s">
        <v>168</v>
      </c>
      <c r="G137" s="48" t="s">
        <v>443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P137" s="7"/>
      <c r="Q137" s="8"/>
    </row>
    <row r="138" spans="6:18" outlineLevel="1" x14ac:dyDescent="0.2">
      <c r="F138" s="65" t="s">
        <v>169</v>
      </c>
      <c r="G138" s="48" t="s">
        <v>443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P138" s="7"/>
      <c r="Q138" s="8"/>
    </row>
    <row r="139" spans="6:18" s="386" customFormat="1" outlineLevel="1" x14ac:dyDescent="0.2">
      <c r="F139" s="65" t="s">
        <v>166</v>
      </c>
      <c r="G139" s="48" t="s">
        <v>443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P139" s="7"/>
      <c r="Q139" s="417"/>
    </row>
    <row r="140" spans="6:18" ht="4.1500000000000004" customHeight="1" outlineLevel="1" x14ac:dyDescent="0.2">
      <c r="F140" s="46"/>
      <c r="H140" s="84"/>
      <c r="I140" s="84"/>
      <c r="J140" s="84"/>
      <c r="K140" s="84"/>
      <c r="L140" s="84"/>
      <c r="M140" s="84"/>
      <c r="N140" s="84"/>
      <c r="O140" s="37"/>
      <c r="P140" s="37"/>
      <c r="Q140" s="37"/>
      <c r="R140" s="37"/>
    </row>
    <row r="141" spans="6:18" outlineLevel="1" x14ac:dyDescent="0.2">
      <c r="F141" s="65" t="s">
        <v>170</v>
      </c>
      <c r="G141" s="48" t="s">
        <v>443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P141" s="7"/>
      <c r="Q141" s="8"/>
    </row>
    <row r="142" spans="6:18" ht="4.1500000000000004" customHeight="1" outlineLevel="1" x14ac:dyDescent="0.2"/>
    <row r="143" spans="6:18" outlineLevel="1" x14ac:dyDescent="0.2">
      <c r="F143" s="85" t="s">
        <v>216</v>
      </c>
      <c r="G143" s="87"/>
      <c r="H143" s="138">
        <v>25984</v>
      </c>
      <c r="I143" s="138">
        <v>15364</v>
      </c>
      <c r="J143" s="138">
        <v>9861</v>
      </c>
      <c r="K143" s="138">
        <v>9861</v>
      </c>
      <c r="L143" s="138">
        <v>9861</v>
      </c>
      <c r="M143" s="138">
        <v>9861</v>
      </c>
      <c r="N143" s="138">
        <v>9861</v>
      </c>
    </row>
    <row r="144" spans="6:18" outlineLevel="1" x14ac:dyDescent="0.2"/>
    <row r="145" spans="1:18" ht="12.75" x14ac:dyDescent="0.2">
      <c r="A145" s="227" t="s">
        <v>523</v>
      </c>
      <c r="B145" s="80" t="s">
        <v>522</v>
      </c>
      <c r="G145" s="50"/>
    </row>
    <row r="146" spans="1:18" ht="15.75" thickBot="1" x14ac:dyDescent="0.3">
      <c r="A146" s="10" t="s">
        <v>31</v>
      </c>
      <c r="B146" s="10"/>
      <c r="C146" s="10"/>
      <c r="D146" s="10"/>
      <c r="E146" s="10"/>
      <c r="F146" s="10"/>
      <c r="G146" s="51"/>
      <c r="H146" s="10"/>
      <c r="I146" s="10"/>
      <c r="J146" s="10"/>
      <c r="K146" s="10"/>
      <c r="L146" s="10"/>
      <c r="M146" s="10"/>
      <c r="N146" s="10"/>
      <c r="O146" s="10"/>
      <c r="P146" s="10"/>
      <c r="Q146" s="10"/>
    </row>
    <row r="147" spans="1:18" x14ac:dyDescent="0.2">
      <c r="G147" s="50"/>
    </row>
    <row r="148" spans="1:18" ht="12.75" x14ac:dyDescent="0.2">
      <c r="G148" s="50"/>
      <c r="H148" s="43" t="s">
        <v>251</v>
      </c>
      <c r="I148" s="43" t="s">
        <v>252</v>
      </c>
      <c r="J148" s="43" t="s">
        <v>253</v>
      </c>
      <c r="K148" s="43" t="s">
        <v>254</v>
      </c>
      <c r="L148" s="43" t="s">
        <v>255</v>
      </c>
      <c r="M148" s="43" t="s">
        <v>256</v>
      </c>
      <c r="N148" s="43" t="s">
        <v>257</v>
      </c>
    </row>
    <row r="149" spans="1:18" x14ac:dyDescent="0.2">
      <c r="E149" s="79" t="s">
        <v>756</v>
      </c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417" t="s">
        <v>757</v>
      </c>
    </row>
    <row r="150" spans="1:18" ht="4.1500000000000004" customHeight="1" x14ac:dyDescent="0.2">
      <c r="I150" s="37"/>
      <c r="J150" s="37"/>
      <c r="K150" s="37"/>
      <c r="L150" s="37"/>
      <c r="M150" s="37"/>
      <c r="N150" s="37"/>
    </row>
    <row r="151" spans="1:18" x14ac:dyDescent="0.2">
      <c r="F151" s="65" t="s">
        <v>164</v>
      </c>
      <c r="G151" s="48" t="s">
        <v>443</v>
      </c>
      <c r="H151" s="84">
        <v>6111.7499813704926</v>
      </c>
      <c r="I151" s="84">
        <v>2412.5659273512811</v>
      </c>
      <c r="J151" s="84">
        <v>415</v>
      </c>
      <c r="K151" s="84">
        <v>415</v>
      </c>
      <c r="L151" s="84">
        <v>415</v>
      </c>
      <c r="M151" s="84">
        <v>415</v>
      </c>
      <c r="N151" s="84">
        <v>415</v>
      </c>
      <c r="O151" s="84"/>
      <c r="P151" s="7"/>
      <c r="Q151" s="8"/>
    </row>
    <row r="152" spans="1:18" x14ac:dyDescent="0.2">
      <c r="F152" s="65" t="s">
        <v>489</v>
      </c>
      <c r="G152" s="48" t="s">
        <v>443</v>
      </c>
      <c r="H152" s="84">
        <v>266</v>
      </c>
      <c r="I152" s="84">
        <v>266</v>
      </c>
      <c r="J152" s="84">
        <v>266</v>
      </c>
      <c r="K152" s="84">
        <v>266</v>
      </c>
      <c r="L152" s="84">
        <v>266</v>
      </c>
      <c r="M152" s="84">
        <v>266</v>
      </c>
      <c r="N152" s="84">
        <v>266</v>
      </c>
      <c r="O152" s="84"/>
      <c r="P152" s="7"/>
      <c r="Q152" s="8"/>
    </row>
    <row r="153" spans="1:18" x14ac:dyDescent="0.2">
      <c r="F153" s="65" t="s">
        <v>172</v>
      </c>
      <c r="G153" s="48" t="s">
        <v>443</v>
      </c>
      <c r="H153" s="84">
        <v>9128.118664636937</v>
      </c>
      <c r="I153" s="84">
        <v>3113.1220773352843</v>
      </c>
      <c r="J153" s="84">
        <v>267</v>
      </c>
      <c r="K153" s="84">
        <v>267</v>
      </c>
      <c r="L153" s="84">
        <v>267</v>
      </c>
      <c r="M153" s="84">
        <v>267</v>
      </c>
      <c r="N153" s="84">
        <v>267</v>
      </c>
      <c r="O153" s="84"/>
      <c r="P153" s="7"/>
      <c r="Q153" s="8"/>
    </row>
    <row r="154" spans="1:18" x14ac:dyDescent="0.2">
      <c r="F154" s="65" t="s">
        <v>171</v>
      </c>
      <c r="G154" s="48" t="s">
        <v>443</v>
      </c>
      <c r="H154" s="84">
        <v>20362</v>
      </c>
      <c r="I154" s="84">
        <v>20362</v>
      </c>
      <c r="J154" s="84">
        <v>20362</v>
      </c>
      <c r="K154" s="84">
        <v>20362</v>
      </c>
      <c r="L154" s="84">
        <v>20362</v>
      </c>
      <c r="M154" s="84">
        <v>20362</v>
      </c>
      <c r="N154" s="84">
        <v>20362</v>
      </c>
      <c r="O154" s="84"/>
      <c r="P154" s="7"/>
      <c r="Q154" s="8"/>
    </row>
    <row r="155" spans="1:18" x14ac:dyDescent="0.2">
      <c r="F155" s="65" t="s">
        <v>487</v>
      </c>
      <c r="G155" s="48" t="s">
        <v>443</v>
      </c>
      <c r="H155" s="84">
        <v>932.65042528503136</v>
      </c>
      <c r="I155" s="84">
        <v>360.12746982109564</v>
      </c>
      <c r="J155" s="84">
        <v>31</v>
      </c>
      <c r="K155" s="84">
        <v>31</v>
      </c>
      <c r="L155" s="84">
        <v>31</v>
      </c>
      <c r="M155" s="84">
        <v>31</v>
      </c>
      <c r="N155" s="84">
        <v>31</v>
      </c>
      <c r="O155" s="84"/>
      <c r="P155" s="7"/>
      <c r="Q155" s="8"/>
    </row>
    <row r="156" spans="1:18" x14ac:dyDescent="0.2">
      <c r="F156" s="65" t="s">
        <v>488</v>
      </c>
      <c r="G156" s="48" t="s">
        <v>443</v>
      </c>
      <c r="H156" s="84">
        <v>2911.1810468718395</v>
      </c>
      <c r="I156" s="84">
        <v>2763.422442700959</v>
      </c>
      <c r="J156" s="84">
        <v>2676</v>
      </c>
      <c r="K156" s="84">
        <v>2676</v>
      </c>
      <c r="L156" s="84">
        <v>2676</v>
      </c>
      <c r="M156" s="84">
        <v>2676</v>
      </c>
      <c r="N156" s="84">
        <v>2676</v>
      </c>
      <c r="O156" s="84"/>
      <c r="P156" s="7"/>
      <c r="Q156" s="8"/>
    </row>
    <row r="157" spans="1:18" s="386" customFormat="1" x14ac:dyDescent="0.2">
      <c r="F157" s="65" t="s">
        <v>165</v>
      </c>
      <c r="G157" s="48" t="s">
        <v>443</v>
      </c>
      <c r="H157" s="84">
        <v>5573.7180663636263</v>
      </c>
      <c r="I157" s="84">
        <v>256</v>
      </c>
      <c r="J157" s="84">
        <v>256</v>
      </c>
      <c r="K157" s="84">
        <v>256</v>
      </c>
      <c r="L157" s="84">
        <v>256</v>
      </c>
      <c r="M157" s="84">
        <v>256</v>
      </c>
      <c r="N157" s="84">
        <v>256</v>
      </c>
      <c r="O157" s="84"/>
      <c r="P157" s="7"/>
      <c r="Q157" s="417"/>
    </row>
    <row r="158" spans="1:18" x14ac:dyDescent="0.2">
      <c r="F158" s="65" t="s">
        <v>173</v>
      </c>
      <c r="G158" s="48" t="s">
        <v>443</v>
      </c>
      <c r="H158" s="84">
        <v>42704.581815472076</v>
      </c>
      <c r="I158" s="84">
        <v>16911.0639170139</v>
      </c>
      <c r="J158" s="84">
        <v>3144</v>
      </c>
      <c r="K158" s="84">
        <v>3144</v>
      </c>
      <c r="L158" s="84">
        <v>3144</v>
      </c>
      <c r="M158" s="84">
        <v>3144</v>
      </c>
      <c r="N158" s="84">
        <v>3144</v>
      </c>
      <c r="O158" s="84"/>
      <c r="P158" s="7"/>
      <c r="Q158" s="8"/>
    </row>
    <row r="159" spans="1:18" x14ac:dyDescent="0.2">
      <c r="F159" s="65" t="s">
        <v>486</v>
      </c>
      <c r="G159" s="48" t="s">
        <v>443</v>
      </c>
      <c r="H159" s="84">
        <v>4322</v>
      </c>
      <c r="I159" s="84">
        <v>4322</v>
      </c>
      <c r="J159" s="84">
        <v>4322</v>
      </c>
      <c r="K159" s="84">
        <v>4322</v>
      </c>
      <c r="L159" s="84">
        <v>4322</v>
      </c>
      <c r="M159" s="84">
        <v>4322</v>
      </c>
      <c r="N159" s="84">
        <v>4322</v>
      </c>
      <c r="O159" s="84"/>
      <c r="P159" s="7"/>
      <c r="Q159" s="8"/>
    </row>
    <row r="160" spans="1:18" ht="4.1500000000000004" customHeight="1" x14ac:dyDescent="0.2">
      <c r="F160" s="46"/>
      <c r="G160" s="50"/>
      <c r="H160" s="84">
        <v>0</v>
      </c>
      <c r="I160" s="84">
        <v>0</v>
      </c>
      <c r="J160" s="84">
        <v>0</v>
      </c>
      <c r="K160" s="84">
        <v>0</v>
      </c>
      <c r="L160" s="84">
        <v>0</v>
      </c>
      <c r="M160" s="84">
        <v>0</v>
      </c>
      <c r="N160" s="84">
        <v>0</v>
      </c>
      <c r="O160" s="84"/>
      <c r="P160" s="37"/>
      <c r="Q160" s="37"/>
      <c r="R160" s="37"/>
    </row>
    <row r="161" spans="6:18" x14ac:dyDescent="0.2">
      <c r="F161" s="65" t="s">
        <v>193</v>
      </c>
      <c r="G161" s="48" t="s">
        <v>443</v>
      </c>
      <c r="H161" s="84">
        <v>4759.008141382049</v>
      </c>
      <c r="I161" s="84">
        <v>4206.4297325175494</v>
      </c>
      <c r="J161" s="84">
        <v>3433.3143991770853</v>
      </c>
      <c r="K161" s="84">
        <v>2329.3811364275207</v>
      </c>
      <c r="L161" s="84">
        <v>674.04312992124778</v>
      </c>
      <c r="M161" s="84">
        <v>647</v>
      </c>
      <c r="N161" s="84">
        <v>647</v>
      </c>
      <c r="O161" s="84"/>
      <c r="P161" s="7"/>
      <c r="Q161" s="8"/>
    </row>
    <row r="162" spans="6:18" x14ac:dyDescent="0.2">
      <c r="F162" s="65" t="s">
        <v>167</v>
      </c>
      <c r="G162" s="48" t="s">
        <v>443</v>
      </c>
      <c r="H162" s="84">
        <v>15640.418586179509</v>
      </c>
      <c r="I162" s="84">
        <v>13966.673623175171</v>
      </c>
      <c r="J162" s="84">
        <v>11624.913988783155</v>
      </c>
      <c r="K162" s="84">
        <v>8281.0947230203783</v>
      </c>
      <c r="L162" s="84">
        <v>3267.0514919921088</v>
      </c>
      <c r="M162" s="84">
        <v>3183</v>
      </c>
      <c r="N162" s="84">
        <v>3183</v>
      </c>
      <c r="O162" s="84"/>
      <c r="P162" s="7"/>
      <c r="Q162" s="8"/>
    </row>
    <row r="163" spans="6:18" x14ac:dyDescent="0.2">
      <c r="F163" s="65" t="s">
        <v>168</v>
      </c>
      <c r="G163" s="48" t="s">
        <v>443</v>
      </c>
      <c r="H163" s="84">
        <v>12153.588959491659</v>
      </c>
      <c r="I163" s="84">
        <v>11101.053292176321</v>
      </c>
      <c r="J163" s="84">
        <v>9628.4922479067609</v>
      </c>
      <c r="K163" s="84">
        <v>7525.8680395862821</v>
      </c>
      <c r="L163" s="84">
        <v>4373.0554857477273</v>
      </c>
      <c r="M163" s="84">
        <v>4321</v>
      </c>
      <c r="N163" s="84">
        <v>4321</v>
      </c>
      <c r="O163" s="84"/>
      <c r="P163" s="7"/>
      <c r="Q163" s="8"/>
    </row>
    <row r="164" spans="6:18" x14ac:dyDescent="0.2">
      <c r="F164" s="65" t="s">
        <v>169</v>
      </c>
      <c r="G164" s="48" t="s">
        <v>443</v>
      </c>
      <c r="H164" s="84">
        <v>12325.659849086576</v>
      </c>
      <c r="I164" s="84">
        <v>12004.167781904473</v>
      </c>
      <c r="J164" s="84">
        <v>11554.573412048838</v>
      </c>
      <c r="K164" s="84">
        <v>10912.81295026927</v>
      </c>
      <c r="L164" s="84">
        <v>9950.7340257639917</v>
      </c>
      <c r="M164" s="84">
        <v>9937</v>
      </c>
      <c r="N164" s="84">
        <v>9937</v>
      </c>
      <c r="O164" s="84"/>
      <c r="P164" s="7"/>
      <c r="Q164" s="8"/>
    </row>
    <row r="165" spans="6:18" s="386" customFormat="1" x14ac:dyDescent="0.2">
      <c r="F165" s="65" t="s">
        <v>166</v>
      </c>
      <c r="G165" s="48" t="s">
        <v>443</v>
      </c>
      <c r="H165" s="84">
        <v>9134.3244638602064</v>
      </c>
      <c r="I165" s="84">
        <v>6481.019466268287</v>
      </c>
      <c r="J165" s="84">
        <v>3637.1483421568087</v>
      </c>
      <c r="K165" s="84">
        <v>348.1954458145417</v>
      </c>
      <c r="L165" s="84">
        <v>237</v>
      </c>
      <c r="M165" s="84">
        <v>237</v>
      </c>
      <c r="N165" s="84">
        <v>237</v>
      </c>
      <c r="O165" s="84"/>
      <c r="P165" s="7"/>
      <c r="Q165" s="417"/>
    </row>
    <row r="166" spans="6:18" ht="4.1500000000000004" customHeight="1" x14ac:dyDescent="0.2">
      <c r="F166" s="46"/>
      <c r="G166" s="50"/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/>
      <c r="P166" s="37"/>
      <c r="Q166" s="37"/>
      <c r="R166" s="37"/>
    </row>
    <row r="167" spans="6:18" x14ac:dyDescent="0.2">
      <c r="F167" s="65" t="s">
        <v>170</v>
      </c>
      <c r="G167" s="48" t="s">
        <v>443</v>
      </c>
      <c r="H167" s="84">
        <v>1140</v>
      </c>
      <c r="I167" s="84">
        <v>1140</v>
      </c>
      <c r="J167" s="84">
        <v>1140</v>
      </c>
      <c r="K167" s="84">
        <v>1140</v>
      </c>
      <c r="L167" s="84">
        <v>1140</v>
      </c>
      <c r="M167" s="84">
        <v>1140</v>
      </c>
      <c r="N167" s="84">
        <v>1140</v>
      </c>
      <c r="O167" s="84"/>
      <c r="P167" s="7"/>
      <c r="Q167" s="8"/>
    </row>
    <row r="168" spans="6:18" ht="4.1500000000000004" customHeight="1" x14ac:dyDescent="0.2">
      <c r="O168" s="44"/>
    </row>
    <row r="169" spans="6:18" x14ac:dyDescent="0.2">
      <c r="F169" s="85" t="s">
        <v>47</v>
      </c>
      <c r="G169" s="87"/>
      <c r="H169" s="138">
        <v>147465</v>
      </c>
      <c r="I169" s="138">
        <v>99665.645730264325</v>
      </c>
      <c r="J169" s="138">
        <v>72757.442390072654</v>
      </c>
      <c r="K169" s="138">
        <v>62276.352295117984</v>
      </c>
      <c r="L169" s="138">
        <v>51380.884133425076</v>
      </c>
      <c r="M169" s="138">
        <v>51204</v>
      </c>
      <c r="N169" s="138">
        <v>51204</v>
      </c>
      <c r="O169" s="122"/>
    </row>
    <row r="170" spans="6:18" x14ac:dyDescent="0.2">
      <c r="F170" s="121"/>
      <c r="G170" s="52"/>
      <c r="H170" s="122"/>
      <c r="I170" s="122"/>
      <c r="J170" s="122"/>
      <c r="K170" s="122"/>
      <c r="L170" s="122"/>
      <c r="M170" s="122"/>
      <c r="N170" s="122"/>
    </row>
    <row r="171" spans="6:18" x14ac:dyDescent="0.2">
      <c r="F171" s="121"/>
      <c r="G171" s="52"/>
      <c r="H171" s="122"/>
      <c r="I171" s="122"/>
      <c r="J171" s="122"/>
      <c r="K171" s="122"/>
      <c r="L171" s="122"/>
      <c r="M171" s="122"/>
      <c r="N171" s="122"/>
    </row>
    <row r="172" spans="6:18" s="386" customFormat="1" ht="12.75" x14ac:dyDescent="0.2">
      <c r="F172" s="38" t="s">
        <v>683</v>
      </c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"/>
    </row>
    <row r="173" spans="6:18" s="386" customFormat="1" ht="4.1500000000000004" customHeight="1" x14ac:dyDescent="0.2">
      <c r="I173" s="37"/>
      <c r="J173" s="37"/>
      <c r="K173" s="37"/>
      <c r="L173" s="37"/>
      <c r="M173" s="37"/>
      <c r="N173" s="37"/>
    </row>
    <row r="174" spans="6:18" s="386" customFormat="1" x14ac:dyDescent="0.2">
      <c r="F174" s="65" t="s">
        <v>164</v>
      </c>
      <c r="G174" s="48" t="s">
        <v>443</v>
      </c>
      <c r="H174" s="84">
        <v>5697.7499813704926</v>
      </c>
      <c r="I174" s="84">
        <v>1998.5659273512813</v>
      </c>
      <c r="J174" s="84">
        <v>1</v>
      </c>
      <c r="K174" s="84">
        <v>1</v>
      </c>
      <c r="L174" s="84">
        <v>1</v>
      </c>
      <c r="M174" s="84">
        <v>1</v>
      </c>
      <c r="N174" s="84">
        <v>1</v>
      </c>
      <c r="O174" s="84"/>
      <c r="P174" s="7"/>
      <c r="Q174" s="417"/>
    </row>
    <row r="175" spans="6:18" s="386" customFormat="1" x14ac:dyDescent="0.2">
      <c r="F175" s="65" t="s">
        <v>489</v>
      </c>
      <c r="G175" s="48" t="s">
        <v>443</v>
      </c>
      <c r="H175" s="84">
        <v>265</v>
      </c>
      <c r="I175" s="84">
        <v>265</v>
      </c>
      <c r="J175" s="84">
        <v>265</v>
      </c>
      <c r="K175" s="84">
        <v>265</v>
      </c>
      <c r="L175" s="84">
        <v>265</v>
      </c>
      <c r="M175" s="84">
        <v>265</v>
      </c>
      <c r="N175" s="84">
        <v>265</v>
      </c>
      <c r="O175" s="84"/>
      <c r="P175" s="7"/>
      <c r="Q175" s="417"/>
    </row>
    <row r="176" spans="6:18" s="386" customFormat="1" x14ac:dyDescent="0.2">
      <c r="F176" s="65" t="s">
        <v>172</v>
      </c>
      <c r="G176" s="48" t="s">
        <v>443</v>
      </c>
      <c r="H176" s="84">
        <v>8862.118664636937</v>
      </c>
      <c r="I176" s="84">
        <v>2847.1220773352843</v>
      </c>
      <c r="J176" s="84">
        <v>1</v>
      </c>
      <c r="K176" s="84">
        <v>1</v>
      </c>
      <c r="L176" s="84">
        <v>1</v>
      </c>
      <c r="M176" s="84">
        <v>1</v>
      </c>
      <c r="N176" s="84">
        <v>1</v>
      </c>
      <c r="O176" s="84"/>
      <c r="P176" s="7"/>
      <c r="Q176" s="417"/>
    </row>
    <row r="177" spans="6:18" s="386" customFormat="1" x14ac:dyDescent="0.2">
      <c r="F177" s="65" t="s">
        <v>171</v>
      </c>
      <c r="G177" s="48" t="s">
        <v>443</v>
      </c>
      <c r="H177" s="84">
        <v>20032</v>
      </c>
      <c r="I177" s="84">
        <v>20032</v>
      </c>
      <c r="J177" s="84">
        <v>20032</v>
      </c>
      <c r="K177" s="84">
        <v>20032</v>
      </c>
      <c r="L177" s="84">
        <v>20032</v>
      </c>
      <c r="M177" s="84">
        <v>20032</v>
      </c>
      <c r="N177" s="84">
        <v>20032</v>
      </c>
      <c r="O177" s="84"/>
      <c r="P177" s="7"/>
      <c r="Q177" s="417"/>
    </row>
    <row r="178" spans="6:18" s="386" customFormat="1" x14ac:dyDescent="0.2">
      <c r="F178" s="65" t="s">
        <v>487</v>
      </c>
      <c r="G178" s="48" t="s">
        <v>443</v>
      </c>
      <c r="H178" s="84">
        <v>902.65042528503136</v>
      </c>
      <c r="I178" s="84">
        <v>330.12746982109564</v>
      </c>
      <c r="J178" s="84">
        <v>1</v>
      </c>
      <c r="K178" s="84">
        <v>1</v>
      </c>
      <c r="L178" s="84">
        <v>1</v>
      </c>
      <c r="M178" s="84">
        <v>1</v>
      </c>
      <c r="N178" s="84">
        <v>1</v>
      </c>
      <c r="O178" s="84"/>
      <c r="P178" s="7"/>
      <c r="Q178" s="417"/>
    </row>
    <row r="179" spans="6:18" s="386" customFormat="1" x14ac:dyDescent="0.2">
      <c r="F179" s="65" t="s">
        <v>488</v>
      </c>
      <c r="G179" s="48" t="s">
        <v>443</v>
      </c>
      <c r="H179" s="84">
        <v>236.18104687183964</v>
      </c>
      <c r="I179" s="84">
        <v>88.422442700959152</v>
      </c>
      <c r="J179" s="84">
        <v>1</v>
      </c>
      <c r="K179" s="84">
        <v>1</v>
      </c>
      <c r="L179" s="84">
        <v>1</v>
      </c>
      <c r="M179" s="84">
        <v>1</v>
      </c>
      <c r="N179" s="84">
        <v>1</v>
      </c>
      <c r="O179" s="84"/>
      <c r="P179" s="7"/>
      <c r="Q179" s="417"/>
    </row>
    <row r="180" spans="6:18" s="386" customFormat="1" x14ac:dyDescent="0.2">
      <c r="F180" s="65" t="s">
        <v>165</v>
      </c>
      <c r="G180" s="48" t="s">
        <v>443</v>
      </c>
      <c r="H180" s="84">
        <v>5318.7180663636263</v>
      </c>
      <c r="I180" s="84">
        <v>1</v>
      </c>
      <c r="J180" s="84">
        <v>1</v>
      </c>
      <c r="K180" s="84">
        <v>1</v>
      </c>
      <c r="L180" s="84">
        <v>1</v>
      </c>
      <c r="M180" s="84">
        <v>1</v>
      </c>
      <c r="N180" s="84">
        <v>1</v>
      </c>
      <c r="O180" s="84"/>
      <c r="P180" s="7"/>
      <c r="Q180" s="417"/>
    </row>
    <row r="181" spans="6:18" s="386" customFormat="1" x14ac:dyDescent="0.2">
      <c r="F181" s="65" t="s">
        <v>173</v>
      </c>
      <c r="G181" s="48" t="s">
        <v>443</v>
      </c>
      <c r="H181" s="84">
        <v>39561.581815472076</v>
      </c>
      <c r="I181" s="84">
        <v>13768.0639170139</v>
      </c>
      <c r="J181" s="84">
        <v>1</v>
      </c>
      <c r="K181" s="84">
        <v>1</v>
      </c>
      <c r="L181" s="84">
        <v>1</v>
      </c>
      <c r="M181" s="84">
        <v>1</v>
      </c>
      <c r="N181" s="84">
        <v>1</v>
      </c>
      <c r="O181" s="84"/>
      <c r="P181" s="7"/>
      <c r="Q181" s="417"/>
    </row>
    <row r="182" spans="6:18" s="386" customFormat="1" x14ac:dyDescent="0.2">
      <c r="F182" s="65" t="s">
        <v>486</v>
      </c>
      <c r="G182" s="48" t="s">
        <v>443</v>
      </c>
      <c r="H182" s="84">
        <v>4299</v>
      </c>
      <c r="I182" s="84">
        <v>4299</v>
      </c>
      <c r="J182" s="84">
        <v>4299</v>
      </c>
      <c r="K182" s="84">
        <v>4299</v>
      </c>
      <c r="L182" s="84">
        <v>4299</v>
      </c>
      <c r="M182" s="84">
        <v>4299</v>
      </c>
      <c r="N182" s="84">
        <v>4299</v>
      </c>
      <c r="O182" s="84"/>
      <c r="P182" s="7"/>
      <c r="Q182" s="417"/>
    </row>
    <row r="183" spans="6:18" s="386" customFormat="1" ht="4.1500000000000004" customHeight="1" x14ac:dyDescent="0.2">
      <c r="F183" s="46"/>
      <c r="G183" s="50"/>
      <c r="H183" s="84">
        <v>0</v>
      </c>
      <c r="I183" s="84">
        <v>0</v>
      </c>
      <c r="J183" s="84">
        <v>0</v>
      </c>
      <c r="K183" s="84">
        <v>0</v>
      </c>
      <c r="L183" s="84">
        <v>0</v>
      </c>
      <c r="M183" s="84">
        <v>0</v>
      </c>
      <c r="N183" s="84">
        <v>0</v>
      </c>
      <c r="O183" s="84"/>
      <c r="P183" s="37"/>
      <c r="Q183" s="37"/>
      <c r="R183" s="37"/>
    </row>
    <row r="184" spans="6:18" s="386" customFormat="1" x14ac:dyDescent="0.2">
      <c r="F184" s="65" t="s">
        <v>193</v>
      </c>
      <c r="G184" s="48" t="s">
        <v>443</v>
      </c>
      <c r="H184" s="84">
        <v>4113.008141382049</v>
      </c>
      <c r="I184" s="84">
        <v>3560.4297325175494</v>
      </c>
      <c r="J184" s="84">
        <v>2787.3143991770853</v>
      </c>
      <c r="K184" s="84">
        <v>1683.3811364275207</v>
      </c>
      <c r="L184" s="84">
        <v>28.043129921247733</v>
      </c>
      <c r="M184" s="84">
        <v>1</v>
      </c>
      <c r="N184" s="84">
        <v>1</v>
      </c>
      <c r="O184" s="84"/>
      <c r="P184" s="7"/>
      <c r="Q184" s="417"/>
    </row>
    <row r="185" spans="6:18" s="386" customFormat="1" x14ac:dyDescent="0.2">
      <c r="F185" s="65" t="s">
        <v>167</v>
      </c>
      <c r="G185" s="48" t="s">
        <v>443</v>
      </c>
      <c r="H185" s="84">
        <v>12458.418586179509</v>
      </c>
      <c r="I185" s="84">
        <v>10784.673623175171</v>
      </c>
      <c r="J185" s="84">
        <v>8442.9139887831552</v>
      </c>
      <c r="K185" s="84">
        <v>5099.0947230203774</v>
      </c>
      <c r="L185" s="84">
        <v>85.051491992108993</v>
      </c>
      <c r="M185" s="84">
        <v>1</v>
      </c>
      <c r="N185" s="84">
        <v>1</v>
      </c>
      <c r="O185" s="84"/>
      <c r="P185" s="7"/>
      <c r="Q185" s="417"/>
    </row>
    <row r="186" spans="6:18" s="386" customFormat="1" x14ac:dyDescent="0.2">
      <c r="F186" s="65" t="s">
        <v>168</v>
      </c>
      <c r="G186" s="48" t="s">
        <v>443</v>
      </c>
      <c r="H186" s="84">
        <v>7833.5889594916598</v>
      </c>
      <c r="I186" s="84">
        <v>6781.0532921763206</v>
      </c>
      <c r="J186" s="84">
        <v>5308.49224790676</v>
      </c>
      <c r="K186" s="84">
        <v>3205.8680395862821</v>
      </c>
      <c r="L186" s="84">
        <v>53.055485747727232</v>
      </c>
      <c r="M186" s="84">
        <v>1</v>
      </c>
      <c r="N186" s="84">
        <v>1</v>
      </c>
      <c r="O186" s="84"/>
      <c r="P186" s="7"/>
      <c r="Q186" s="417"/>
    </row>
    <row r="187" spans="6:18" s="386" customFormat="1" x14ac:dyDescent="0.2">
      <c r="F187" s="65" t="s">
        <v>169</v>
      </c>
      <c r="G187" s="48" t="s">
        <v>443</v>
      </c>
      <c r="H187" s="84">
        <v>2389.6598490865767</v>
      </c>
      <c r="I187" s="84">
        <v>2068.167781904473</v>
      </c>
      <c r="J187" s="84">
        <v>1618.5734120488373</v>
      </c>
      <c r="K187" s="84">
        <v>976.81295026926944</v>
      </c>
      <c r="L187" s="84">
        <v>14.734025763991806</v>
      </c>
      <c r="M187" s="84">
        <v>1</v>
      </c>
      <c r="N187" s="84">
        <v>1</v>
      </c>
      <c r="O187" s="84"/>
      <c r="P187" s="7"/>
      <c r="Q187" s="417"/>
    </row>
    <row r="188" spans="6:18" s="386" customFormat="1" x14ac:dyDescent="0.2">
      <c r="F188" s="65" t="s">
        <v>166</v>
      </c>
      <c r="G188" s="48" t="s">
        <v>443</v>
      </c>
      <c r="H188" s="84">
        <v>8898.3244638602064</v>
      </c>
      <c r="I188" s="84">
        <v>6245.019466268287</v>
      </c>
      <c r="J188" s="84">
        <v>3401.1483421568087</v>
      </c>
      <c r="K188" s="84">
        <v>112.1954458145417</v>
      </c>
      <c r="L188" s="84">
        <v>1</v>
      </c>
      <c r="M188" s="84">
        <v>1</v>
      </c>
      <c r="N188" s="84">
        <v>1</v>
      </c>
      <c r="O188" s="84"/>
      <c r="P188" s="7"/>
      <c r="Q188" s="417"/>
    </row>
    <row r="189" spans="6:18" s="386" customFormat="1" ht="4.1500000000000004" customHeight="1" x14ac:dyDescent="0.2">
      <c r="F189" s="46"/>
      <c r="G189" s="50"/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/>
      <c r="P189" s="37"/>
      <c r="Q189" s="37"/>
      <c r="R189" s="37"/>
    </row>
    <row r="190" spans="6:18" s="386" customFormat="1" x14ac:dyDescent="0.2">
      <c r="F190" s="65" t="s">
        <v>170</v>
      </c>
      <c r="G190" s="48" t="s">
        <v>443</v>
      </c>
      <c r="H190" s="84">
        <v>1068</v>
      </c>
      <c r="I190" s="84">
        <v>1068</v>
      </c>
      <c r="J190" s="84">
        <v>1068</v>
      </c>
      <c r="K190" s="84">
        <v>1068</v>
      </c>
      <c r="L190" s="84">
        <v>1068</v>
      </c>
      <c r="M190" s="84">
        <v>1068</v>
      </c>
      <c r="N190" s="84">
        <v>1068</v>
      </c>
      <c r="O190" s="84"/>
      <c r="P190" s="7"/>
      <c r="Q190" s="417"/>
    </row>
    <row r="191" spans="6:18" s="386" customFormat="1" ht="4.1500000000000004" customHeight="1" x14ac:dyDescent="0.2">
      <c r="O191" s="44"/>
    </row>
    <row r="192" spans="6:18" s="386" customFormat="1" collapsed="1" x14ac:dyDescent="0.2">
      <c r="F192" s="85" t="s">
        <v>47</v>
      </c>
      <c r="G192" s="87"/>
      <c r="H192" s="138">
        <v>121936</v>
      </c>
      <c r="I192" s="138">
        <v>74136.645730264325</v>
      </c>
      <c r="J192" s="138">
        <v>47228.442390072647</v>
      </c>
      <c r="K192" s="138">
        <v>36747.352295117991</v>
      </c>
      <c r="L192" s="138">
        <v>25851.884133425072</v>
      </c>
      <c r="M192" s="138">
        <v>25675</v>
      </c>
      <c r="N192" s="138">
        <v>25675</v>
      </c>
      <c r="O192" s="122"/>
    </row>
    <row r="193" spans="2:18" s="386" customFormat="1" x14ac:dyDescent="0.2">
      <c r="B193" s="558"/>
      <c r="F193" s="121"/>
      <c r="G193" s="52"/>
      <c r="H193" s="122"/>
      <c r="I193" s="122"/>
      <c r="J193" s="122"/>
      <c r="K193" s="122"/>
      <c r="L193" s="122"/>
      <c r="M193" s="122"/>
      <c r="N193" s="122"/>
    </row>
    <row r="194" spans="2:18" s="386" customFormat="1" ht="12.75" x14ac:dyDescent="0.2">
      <c r="B194" s="558"/>
      <c r="F194" s="38" t="s">
        <v>755</v>
      </c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"/>
    </row>
    <row r="195" spans="2:18" s="386" customFormat="1" ht="4.1500000000000004" customHeight="1" x14ac:dyDescent="0.2">
      <c r="B195" s="558"/>
      <c r="I195" s="37"/>
      <c r="J195" s="37"/>
      <c r="K195" s="37"/>
      <c r="L195" s="37"/>
      <c r="M195" s="37"/>
      <c r="N195" s="37"/>
    </row>
    <row r="196" spans="2:18" s="386" customFormat="1" x14ac:dyDescent="0.2">
      <c r="B196" s="558"/>
      <c r="F196" s="65" t="s">
        <v>164</v>
      </c>
      <c r="G196" s="48" t="s">
        <v>443</v>
      </c>
      <c r="H196" s="84">
        <v>414</v>
      </c>
      <c r="I196" s="84">
        <v>414</v>
      </c>
      <c r="J196" s="84">
        <v>414</v>
      </c>
      <c r="K196" s="84">
        <v>414</v>
      </c>
      <c r="L196" s="84">
        <v>414</v>
      </c>
      <c r="M196" s="84">
        <v>414</v>
      </c>
      <c r="N196" s="84">
        <v>414</v>
      </c>
      <c r="O196" s="84"/>
      <c r="P196" s="7"/>
      <c r="Q196" s="417"/>
    </row>
    <row r="197" spans="2:18" s="386" customFormat="1" x14ac:dyDescent="0.2">
      <c r="B197" s="558"/>
      <c r="F197" s="65" t="s">
        <v>489</v>
      </c>
      <c r="G197" s="48" t="s">
        <v>443</v>
      </c>
      <c r="H197" s="84">
        <v>1</v>
      </c>
      <c r="I197" s="84">
        <v>1</v>
      </c>
      <c r="J197" s="84">
        <v>1</v>
      </c>
      <c r="K197" s="84">
        <v>1</v>
      </c>
      <c r="L197" s="84">
        <v>1</v>
      </c>
      <c r="M197" s="84">
        <v>1</v>
      </c>
      <c r="N197" s="84">
        <v>1</v>
      </c>
      <c r="O197" s="84"/>
      <c r="P197" s="7"/>
      <c r="Q197" s="417"/>
    </row>
    <row r="198" spans="2:18" s="386" customFormat="1" x14ac:dyDescent="0.2">
      <c r="B198" s="558"/>
      <c r="F198" s="65" t="s">
        <v>172</v>
      </c>
      <c r="G198" s="48" t="s">
        <v>443</v>
      </c>
      <c r="H198" s="84">
        <v>266</v>
      </c>
      <c r="I198" s="84">
        <v>266</v>
      </c>
      <c r="J198" s="84">
        <v>266</v>
      </c>
      <c r="K198" s="84">
        <v>266</v>
      </c>
      <c r="L198" s="84">
        <v>266</v>
      </c>
      <c r="M198" s="84">
        <v>266</v>
      </c>
      <c r="N198" s="84">
        <v>266</v>
      </c>
      <c r="O198" s="84"/>
      <c r="P198" s="7"/>
      <c r="Q198" s="417"/>
    </row>
    <row r="199" spans="2:18" s="386" customFormat="1" x14ac:dyDescent="0.2">
      <c r="B199" s="558"/>
      <c r="F199" s="65" t="s">
        <v>171</v>
      </c>
      <c r="G199" s="48" t="s">
        <v>443</v>
      </c>
      <c r="H199" s="84">
        <v>330</v>
      </c>
      <c r="I199" s="84">
        <v>330</v>
      </c>
      <c r="J199" s="84">
        <v>330</v>
      </c>
      <c r="K199" s="84">
        <v>330</v>
      </c>
      <c r="L199" s="84">
        <v>330</v>
      </c>
      <c r="M199" s="84">
        <v>330</v>
      </c>
      <c r="N199" s="84">
        <v>330</v>
      </c>
      <c r="O199" s="84"/>
      <c r="P199" s="7"/>
      <c r="Q199" s="417"/>
    </row>
    <row r="200" spans="2:18" s="386" customFormat="1" x14ac:dyDescent="0.2">
      <c r="B200" s="558"/>
      <c r="F200" s="65" t="s">
        <v>487</v>
      </c>
      <c r="G200" s="48" t="s">
        <v>443</v>
      </c>
      <c r="H200" s="84">
        <v>30</v>
      </c>
      <c r="I200" s="84">
        <v>30</v>
      </c>
      <c r="J200" s="84">
        <v>30</v>
      </c>
      <c r="K200" s="84">
        <v>30</v>
      </c>
      <c r="L200" s="84">
        <v>30</v>
      </c>
      <c r="M200" s="84">
        <v>30</v>
      </c>
      <c r="N200" s="84">
        <v>30</v>
      </c>
      <c r="O200" s="84"/>
      <c r="P200" s="7"/>
      <c r="Q200" s="417"/>
    </row>
    <row r="201" spans="2:18" s="386" customFormat="1" x14ac:dyDescent="0.2">
      <c r="B201" s="558"/>
      <c r="F201" s="65" t="s">
        <v>488</v>
      </c>
      <c r="G201" s="48" t="s">
        <v>443</v>
      </c>
      <c r="H201" s="84">
        <v>2675</v>
      </c>
      <c r="I201" s="84">
        <v>2675</v>
      </c>
      <c r="J201" s="84">
        <v>2675</v>
      </c>
      <c r="K201" s="84">
        <v>2675</v>
      </c>
      <c r="L201" s="84">
        <v>2675</v>
      </c>
      <c r="M201" s="84">
        <v>2675</v>
      </c>
      <c r="N201" s="84">
        <v>2675</v>
      </c>
      <c r="O201" s="84"/>
      <c r="P201" s="7"/>
      <c r="Q201" s="417"/>
    </row>
    <row r="202" spans="2:18" s="386" customFormat="1" x14ac:dyDescent="0.2">
      <c r="B202" s="558"/>
      <c r="F202" s="65" t="s">
        <v>165</v>
      </c>
      <c r="G202" s="48" t="s">
        <v>443</v>
      </c>
      <c r="H202" s="84">
        <v>255</v>
      </c>
      <c r="I202" s="84">
        <v>255</v>
      </c>
      <c r="J202" s="84">
        <v>255</v>
      </c>
      <c r="K202" s="84">
        <v>255</v>
      </c>
      <c r="L202" s="84">
        <v>255</v>
      </c>
      <c r="M202" s="84">
        <v>255</v>
      </c>
      <c r="N202" s="84">
        <v>255</v>
      </c>
      <c r="O202" s="84"/>
      <c r="P202" s="7"/>
      <c r="Q202" s="417"/>
    </row>
    <row r="203" spans="2:18" s="386" customFormat="1" x14ac:dyDescent="0.2">
      <c r="B203" s="558"/>
      <c r="F203" s="65" t="s">
        <v>173</v>
      </c>
      <c r="G203" s="48" t="s">
        <v>443</v>
      </c>
      <c r="H203" s="84">
        <v>3143</v>
      </c>
      <c r="I203" s="84">
        <v>3143</v>
      </c>
      <c r="J203" s="84">
        <v>3143</v>
      </c>
      <c r="K203" s="84">
        <v>3143</v>
      </c>
      <c r="L203" s="84">
        <v>3143</v>
      </c>
      <c r="M203" s="84">
        <v>3143</v>
      </c>
      <c r="N203" s="84">
        <v>3143</v>
      </c>
      <c r="O203" s="84"/>
      <c r="P203" s="7"/>
      <c r="Q203" s="417"/>
    </row>
    <row r="204" spans="2:18" s="386" customFormat="1" x14ac:dyDescent="0.2">
      <c r="B204" s="558"/>
      <c r="F204" s="65" t="s">
        <v>486</v>
      </c>
      <c r="G204" s="48" t="s">
        <v>443</v>
      </c>
      <c r="H204" s="84">
        <v>23</v>
      </c>
      <c r="I204" s="84">
        <v>23</v>
      </c>
      <c r="J204" s="84">
        <v>23</v>
      </c>
      <c r="K204" s="84">
        <v>23</v>
      </c>
      <c r="L204" s="84">
        <v>23</v>
      </c>
      <c r="M204" s="84">
        <v>23</v>
      </c>
      <c r="N204" s="84">
        <v>23</v>
      </c>
      <c r="O204" s="84"/>
      <c r="P204" s="7"/>
      <c r="Q204" s="417"/>
    </row>
    <row r="205" spans="2:18" s="386" customFormat="1" ht="4.1500000000000004" customHeight="1" x14ac:dyDescent="0.2">
      <c r="B205" s="558"/>
      <c r="F205" s="46"/>
      <c r="G205" s="50"/>
      <c r="H205" s="84"/>
      <c r="I205" s="84"/>
      <c r="J205" s="84"/>
      <c r="K205" s="84"/>
      <c r="L205" s="84"/>
      <c r="M205" s="84"/>
      <c r="N205" s="84"/>
      <c r="O205" s="84"/>
      <c r="P205" s="37"/>
      <c r="Q205" s="37"/>
      <c r="R205" s="37"/>
    </row>
    <row r="206" spans="2:18" s="386" customFormat="1" x14ac:dyDescent="0.2">
      <c r="B206" s="558"/>
      <c r="F206" s="65" t="s">
        <v>193</v>
      </c>
      <c r="G206" s="48" t="s">
        <v>443</v>
      </c>
      <c r="H206" s="84">
        <v>646</v>
      </c>
      <c r="I206" s="84">
        <v>646</v>
      </c>
      <c r="J206" s="84">
        <v>646</v>
      </c>
      <c r="K206" s="84">
        <v>646</v>
      </c>
      <c r="L206" s="84">
        <v>646</v>
      </c>
      <c r="M206" s="84">
        <v>646</v>
      </c>
      <c r="N206" s="84">
        <v>646</v>
      </c>
      <c r="O206" s="84"/>
      <c r="P206" s="7"/>
      <c r="Q206" s="417"/>
    </row>
    <row r="207" spans="2:18" s="386" customFormat="1" x14ac:dyDescent="0.2">
      <c r="B207" s="558"/>
      <c r="F207" s="65" t="s">
        <v>167</v>
      </c>
      <c r="G207" s="48" t="s">
        <v>443</v>
      </c>
      <c r="H207" s="84">
        <v>3182</v>
      </c>
      <c r="I207" s="84">
        <v>3182</v>
      </c>
      <c r="J207" s="84">
        <v>3182</v>
      </c>
      <c r="K207" s="84">
        <v>3182</v>
      </c>
      <c r="L207" s="84">
        <v>3182</v>
      </c>
      <c r="M207" s="84">
        <v>3182</v>
      </c>
      <c r="N207" s="84">
        <v>3182</v>
      </c>
      <c r="O207" s="84"/>
      <c r="P207" s="7"/>
      <c r="Q207" s="417"/>
    </row>
    <row r="208" spans="2:18" s="386" customFormat="1" x14ac:dyDescent="0.2">
      <c r="B208" s="558"/>
      <c r="F208" s="65" t="s">
        <v>168</v>
      </c>
      <c r="G208" s="48" t="s">
        <v>443</v>
      </c>
      <c r="H208" s="84">
        <v>4320</v>
      </c>
      <c r="I208" s="84">
        <v>4320</v>
      </c>
      <c r="J208" s="84">
        <v>4320</v>
      </c>
      <c r="K208" s="84">
        <v>4320</v>
      </c>
      <c r="L208" s="84">
        <v>4320</v>
      </c>
      <c r="M208" s="84">
        <v>4320</v>
      </c>
      <c r="N208" s="84">
        <v>4320</v>
      </c>
      <c r="O208" s="84"/>
      <c r="P208" s="7"/>
      <c r="Q208" s="417"/>
    </row>
    <row r="209" spans="2:18" s="386" customFormat="1" x14ac:dyDescent="0.2">
      <c r="B209" s="558"/>
      <c r="F209" s="65" t="s">
        <v>169</v>
      </c>
      <c r="G209" s="48" t="s">
        <v>443</v>
      </c>
      <c r="H209" s="84">
        <v>9936</v>
      </c>
      <c r="I209" s="84">
        <v>9936</v>
      </c>
      <c r="J209" s="84">
        <v>9936</v>
      </c>
      <c r="K209" s="84">
        <v>9936</v>
      </c>
      <c r="L209" s="84">
        <v>9936</v>
      </c>
      <c r="M209" s="84">
        <v>9936</v>
      </c>
      <c r="N209" s="84">
        <v>9936</v>
      </c>
      <c r="O209" s="84"/>
      <c r="P209" s="7"/>
      <c r="Q209" s="417"/>
    </row>
    <row r="210" spans="2:18" s="386" customFormat="1" x14ac:dyDescent="0.2">
      <c r="B210" s="558"/>
      <c r="F210" s="65" t="s">
        <v>166</v>
      </c>
      <c r="G210" s="48" t="s">
        <v>443</v>
      </c>
      <c r="H210" s="84">
        <v>236</v>
      </c>
      <c r="I210" s="84">
        <v>236</v>
      </c>
      <c r="J210" s="84">
        <v>236</v>
      </c>
      <c r="K210" s="84">
        <v>236</v>
      </c>
      <c r="L210" s="84">
        <v>236</v>
      </c>
      <c r="M210" s="84">
        <v>236</v>
      </c>
      <c r="N210" s="84">
        <v>236</v>
      </c>
      <c r="O210" s="84"/>
      <c r="P210" s="7"/>
      <c r="Q210" s="417"/>
    </row>
    <row r="211" spans="2:18" s="386" customFormat="1" ht="4.1500000000000004" customHeight="1" x14ac:dyDescent="0.2">
      <c r="B211" s="558"/>
      <c r="F211" s="46"/>
      <c r="G211" s="50"/>
      <c r="H211" s="84"/>
      <c r="I211" s="84"/>
      <c r="J211" s="84"/>
      <c r="K211" s="84"/>
      <c r="L211" s="84"/>
      <c r="M211" s="84"/>
      <c r="N211" s="84"/>
      <c r="O211" s="84"/>
      <c r="P211" s="37"/>
      <c r="Q211" s="37"/>
      <c r="R211" s="37"/>
    </row>
    <row r="212" spans="2:18" s="386" customFormat="1" x14ac:dyDescent="0.2">
      <c r="B212" s="558"/>
      <c r="F212" s="65" t="s">
        <v>170</v>
      </c>
      <c r="G212" s="48" t="s">
        <v>443</v>
      </c>
      <c r="H212" s="84">
        <v>72</v>
      </c>
      <c r="I212" s="84">
        <v>72</v>
      </c>
      <c r="J212" s="84">
        <v>72</v>
      </c>
      <c r="K212" s="84">
        <v>72</v>
      </c>
      <c r="L212" s="84">
        <v>72</v>
      </c>
      <c r="M212" s="84">
        <v>72</v>
      </c>
      <c r="N212" s="84">
        <v>72</v>
      </c>
      <c r="O212" s="84"/>
      <c r="P212" s="7"/>
      <c r="Q212" s="417"/>
    </row>
    <row r="213" spans="2:18" s="386" customFormat="1" ht="4.1500000000000004" customHeight="1" x14ac:dyDescent="0.2">
      <c r="B213" s="558"/>
      <c r="O213" s="44"/>
    </row>
    <row r="214" spans="2:18" s="386" customFormat="1" collapsed="1" x14ac:dyDescent="0.2">
      <c r="B214" s="558"/>
      <c r="F214" s="85" t="s">
        <v>47</v>
      </c>
      <c r="G214" s="87"/>
      <c r="H214" s="138">
        <v>25529</v>
      </c>
      <c r="I214" s="138">
        <v>25529</v>
      </c>
      <c r="J214" s="138">
        <v>25529</v>
      </c>
      <c r="K214" s="138">
        <v>25529</v>
      </c>
      <c r="L214" s="138">
        <v>25529</v>
      </c>
      <c r="M214" s="138">
        <v>25529</v>
      </c>
      <c r="N214" s="138">
        <v>25529</v>
      </c>
      <c r="O214" s="122"/>
    </row>
    <row r="215" spans="2:18" s="386" customFormat="1" x14ac:dyDescent="0.2">
      <c r="B215" s="558"/>
      <c r="F215" s="121"/>
      <c r="G215" s="52"/>
      <c r="H215" s="122"/>
      <c r="I215" s="122"/>
      <c r="J215" s="122"/>
      <c r="K215" s="122"/>
      <c r="L215" s="122"/>
      <c r="M215" s="122"/>
      <c r="N215" s="122"/>
    </row>
    <row r="216" spans="2:18" s="386" customFormat="1" x14ac:dyDescent="0.2">
      <c r="B216" s="558"/>
      <c r="F216" s="121"/>
      <c r="G216" s="52"/>
      <c r="H216" s="122"/>
      <c r="I216" s="122"/>
      <c r="J216" s="122"/>
      <c r="K216" s="122"/>
      <c r="L216" s="122"/>
      <c r="M216" s="122"/>
      <c r="N216" s="122"/>
    </row>
    <row r="217" spans="2:18" ht="12.75" x14ac:dyDescent="0.2">
      <c r="D217" s="80" t="s">
        <v>191</v>
      </c>
    </row>
    <row r="218" spans="2:18" ht="24" x14ac:dyDescent="0.2">
      <c r="F218" s="79" t="s">
        <v>521</v>
      </c>
      <c r="H218" s="218" t="s">
        <v>290</v>
      </c>
      <c r="I218" s="218" t="s">
        <v>514</v>
      </c>
      <c r="J218" s="218" t="s">
        <v>194</v>
      </c>
      <c r="K218" s="218" t="s">
        <v>517</v>
      </c>
      <c r="L218" s="218" t="s">
        <v>195</v>
      </c>
      <c r="M218" s="218" t="s">
        <v>515</v>
      </c>
    </row>
    <row r="219" spans="2:18" x14ac:dyDescent="0.2">
      <c r="F219" s="63"/>
      <c r="H219" s="220" t="s">
        <v>991</v>
      </c>
      <c r="I219" s="220" t="s">
        <v>516</v>
      </c>
      <c r="J219" s="220" t="s">
        <v>991</v>
      </c>
      <c r="K219" s="220" t="s">
        <v>516</v>
      </c>
      <c r="L219" s="220" t="s">
        <v>991</v>
      </c>
      <c r="M219" s="220" t="s">
        <v>991</v>
      </c>
    </row>
    <row r="220" spans="2:18" x14ac:dyDescent="0.2">
      <c r="F220" s="65" t="s">
        <v>164</v>
      </c>
      <c r="H220" s="219">
        <v>16.285</v>
      </c>
      <c r="I220" s="214">
        <v>4</v>
      </c>
      <c r="J220" s="782"/>
      <c r="K220" s="214">
        <v>8</v>
      </c>
      <c r="L220" s="782"/>
      <c r="M220" s="216"/>
      <c r="P220" s="7" t="s">
        <v>1012</v>
      </c>
      <c r="Q220" s="8"/>
    </row>
    <row r="221" spans="2:18" x14ac:dyDescent="0.2">
      <c r="F221" s="65" t="s">
        <v>489</v>
      </c>
      <c r="H221" s="219">
        <v>16.285</v>
      </c>
      <c r="I221" s="214">
        <v>4</v>
      </c>
      <c r="J221" s="782"/>
      <c r="K221" s="214">
        <v>8</v>
      </c>
      <c r="L221" s="782"/>
      <c r="M221" s="216"/>
      <c r="P221" s="7" t="s">
        <v>1012</v>
      </c>
      <c r="Q221" s="8"/>
    </row>
    <row r="222" spans="2:18" x14ac:dyDescent="0.2">
      <c r="F222" s="65" t="s">
        <v>172</v>
      </c>
      <c r="H222" s="219">
        <v>8.1675000000000004</v>
      </c>
      <c r="I222" s="214">
        <v>2</v>
      </c>
      <c r="J222" s="782"/>
      <c r="K222" s="214">
        <v>8</v>
      </c>
      <c r="L222" s="782"/>
      <c r="M222" s="216"/>
      <c r="P222" s="7" t="s">
        <v>289</v>
      </c>
      <c r="Q222" s="8"/>
    </row>
    <row r="223" spans="2:18" x14ac:dyDescent="0.2">
      <c r="F223" s="65" t="s">
        <v>171</v>
      </c>
      <c r="H223" s="219">
        <v>22.0275</v>
      </c>
      <c r="I223" s="214">
        <v>3</v>
      </c>
      <c r="J223" s="782"/>
      <c r="K223" s="214">
        <v>8</v>
      </c>
      <c r="L223" s="782"/>
      <c r="M223" s="216"/>
      <c r="P223" s="7" t="s">
        <v>289</v>
      </c>
      <c r="Q223" s="8"/>
    </row>
    <row r="224" spans="2:18" x14ac:dyDescent="0.2">
      <c r="F224" s="65" t="s">
        <v>487</v>
      </c>
      <c r="H224" s="219">
        <v>22.0275</v>
      </c>
      <c r="I224" s="214">
        <v>3</v>
      </c>
      <c r="J224" s="782"/>
      <c r="K224" s="214">
        <v>8</v>
      </c>
      <c r="L224" s="782"/>
      <c r="M224" s="216"/>
      <c r="P224" s="7" t="s">
        <v>289</v>
      </c>
      <c r="Q224" s="8"/>
    </row>
    <row r="225" spans="6:17" x14ac:dyDescent="0.2">
      <c r="F225" s="65" t="s">
        <v>488</v>
      </c>
      <c r="H225" s="219">
        <v>22.0275</v>
      </c>
      <c r="I225" s="214">
        <v>3</v>
      </c>
      <c r="J225" s="782"/>
      <c r="K225" s="214">
        <v>8</v>
      </c>
      <c r="L225" s="782"/>
      <c r="M225" s="216"/>
      <c r="P225" s="7" t="s">
        <v>289</v>
      </c>
      <c r="Q225" s="8"/>
    </row>
    <row r="226" spans="6:17" s="386" customFormat="1" x14ac:dyDescent="0.2">
      <c r="F226" s="65" t="s">
        <v>165</v>
      </c>
      <c r="H226" s="219">
        <v>0</v>
      </c>
      <c r="I226" s="214">
        <v>0</v>
      </c>
      <c r="J226" s="782"/>
      <c r="K226" s="214">
        <v>0</v>
      </c>
      <c r="L226" s="782"/>
      <c r="M226" s="216"/>
      <c r="P226" s="7" t="s">
        <v>289</v>
      </c>
      <c r="Q226" s="417" t="s">
        <v>682</v>
      </c>
    </row>
    <row r="227" spans="6:17" x14ac:dyDescent="0.2">
      <c r="F227" s="65" t="s">
        <v>173</v>
      </c>
      <c r="H227" s="219">
        <v>13.635000000000002</v>
      </c>
      <c r="I227" s="214">
        <v>4</v>
      </c>
      <c r="J227" s="782"/>
      <c r="K227" s="214">
        <v>8</v>
      </c>
      <c r="L227" s="782"/>
      <c r="M227" s="216"/>
      <c r="P227" s="7" t="s">
        <v>289</v>
      </c>
      <c r="Q227" s="8"/>
    </row>
    <row r="228" spans="6:17" x14ac:dyDescent="0.2">
      <c r="F228" s="65" t="s">
        <v>486</v>
      </c>
      <c r="H228" s="219">
        <v>13.635000000000002</v>
      </c>
      <c r="I228" s="214">
        <v>4</v>
      </c>
      <c r="J228" s="782"/>
      <c r="K228" s="214">
        <v>8</v>
      </c>
      <c r="L228" s="782"/>
      <c r="M228" s="216"/>
      <c r="P228" s="7" t="s">
        <v>289</v>
      </c>
      <c r="Q228" s="417"/>
    </row>
    <row r="229" spans="6:17" ht="4.1500000000000004" customHeight="1" x14ac:dyDescent="0.2">
      <c r="F229" s="46"/>
      <c r="H229" s="219"/>
      <c r="I229" s="215"/>
      <c r="J229" s="217"/>
      <c r="K229" s="215"/>
      <c r="L229" s="217"/>
      <c r="M229" s="217"/>
    </row>
    <row r="230" spans="6:17" x14ac:dyDescent="0.2">
      <c r="F230" s="65" t="s">
        <v>193</v>
      </c>
      <c r="H230" s="219">
        <v>0</v>
      </c>
      <c r="I230" s="214">
        <v>0</v>
      </c>
      <c r="J230" s="782"/>
      <c r="K230" s="214">
        <v>0</v>
      </c>
      <c r="L230" s="782"/>
      <c r="M230" s="216"/>
      <c r="P230" s="7" t="s">
        <v>289</v>
      </c>
      <c r="Q230" s="8"/>
    </row>
    <row r="231" spans="6:17" x14ac:dyDescent="0.2">
      <c r="F231" s="65" t="s">
        <v>167</v>
      </c>
      <c r="H231" s="219">
        <v>0</v>
      </c>
      <c r="I231" s="214">
        <v>0</v>
      </c>
      <c r="J231" s="782"/>
      <c r="K231" s="214">
        <v>0</v>
      </c>
      <c r="L231" s="782"/>
      <c r="M231" s="216"/>
      <c r="P231" s="7" t="s">
        <v>289</v>
      </c>
      <c r="Q231" s="8"/>
    </row>
    <row r="232" spans="6:17" x14ac:dyDescent="0.2">
      <c r="F232" s="65" t="s">
        <v>168</v>
      </c>
      <c r="H232" s="219">
        <v>0</v>
      </c>
      <c r="I232" s="214">
        <v>0</v>
      </c>
      <c r="J232" s="782"/>
      <c r="K232" s="214">
        <v>0</v>
      </c>
      <c r="L232" s="782"/>
      <c r="M232" s="216"/>
      <c r="P232" s="7" t="s">
        <v>289</v>
      </c>
      <c r="Q232" s="8"/>
    </row>
    <row r="233" spans="6:17" x14ac:dyDescent="0.2">
      <c r="F233" s="65" t="s">
        <v>169</v>
      </c>
      <c r="H233" s="219">
        <v>0</v>
      </c>
      <c r="I233" s="214">
        <v>0</v>
      </c>
      <c r="J233" s="782"/>
      <c r="K233" s="214">
        <v>0</v>
      </c>
      <c r="L233" s="782"/>
      <c r="M233" s="216"/>
      <c r="P233" s="7" t="s">
        <v>289</v>
      </c>
      <c r="Q233" s="8"/>
    </row>
    <row r="234" spans="6:17" s="386" customFormat="1" x14ac:dyDescent="0.2">
      <c r="F234" s="65" t="s">
        <v>166</v>
      </c>
      <c r="H234" s="219">
        <v>0</v>
      </c>
      <c r="I234" s="214">
        <v>0</v>
      </c>
      <c r="J234" s="782"/>
      <c r="K234" s="214">
        <v>0</v>
      </c>
      <c r="L234" s="782"/>
      <c r="M234" s="216"/>
      <c r="P234" s="7" t="s">
        <v>289</v>
      </c>
      <c r="Q234" s="417" t="s">
        <v>682</v>
      </c>
    </row>
    <row r="235" spans="6:17" ht="4.1500000000000004" customHeight="1" x14ac:dyDescent="0.2">
      <c r="F235" s="46"/>
      <c r="H235" s="219"/>
      <c r="I235" s="215"/>
      <c r="J235" s="217"/>
      <c r="K235" s="215"/>
      <c r="L235" s="217"/>
      <c r="M235" s="217"/>
    </row>
    <row r="236" spans="6:17" x14ac:dyDescent="0.2">
      <c r="F236" s="65" t="s">
        <v>170</v>
      </c>
      <c r="H236" s="219">
        <v>0</v>
      </c>
      <c r="I236" s="214"/>
      <c r="J236" s="782"/>
      <c r="K236" s="214"/>
      <c r="L236" s="782"/>
      <c r="M236" s="216"/>
      <c r="P236" s="7" t="s">
        <v>289</v>
      </c>
      <c r="Q236" s="8"/>
    </row>
    <row r="237" spans="6:17" ht="4.1500000000000004" customHeight="1" x14ac:dyDescent="0.2"/>
    <row r="239" spans="6:17" s="558" customFormat="1" x14ac:dyDescent="0.2">
      <c r="H239" s="558" t="s">
        <v>991</v>
      </c>
    </row>
    <row r="240" spans="6:17" s="558" customFormat="1" x14ac:dyDescent="0.2">
      <c r="F240" s="558" t="s">
        <v>993</v>
      </c>
      <c r="G240" s="48" t="s">
        <v>942</v>
      </c>
      <c r="H240" s="781"/>
    </row>
    <row r="241" spans="1:16" s="558" customFormat="1" x14ac:dyDescent="0.2"/>
    <row r="242" spans="1:16" s="431" customFormat="1" ht="12.75" x14ac:dyDescent="0.2">
      <c r="H242" s="604" t="s">
        <v>251</v>
      </c>
      <c r="I242" s="604" t="s">
        <v>252</v>
      </c>
      <c r="J242" s="604" t="s">
        <v>253</v>
      </c>
      <c r="K242" s="604" t="s">
        <v>254</v>
      </c>
      <c r="L242" s="604" t="s">
        <v>255</v>
      </c>
      <c r="M242" s="604" t="s">
        <v>256</v>
      </c>
      <c r="N242" s="604" t="s">
        <v>257</v>
      </c>
    </row>
    <row r="243" spans="1:16" s="431" customFormat="1" x14ac:dyDescent="0.2">
      <c r="F243" s="431" t="s">
        <v>1024</v>
      </c>
      <c r="H243" s="496">
        <v>1.0037014</v>
      </c>
      <c r="I243" s="496">
        <v>1.0075221999999999</v>
      </c>
      <c r="J243" s="496">
        <v>1.0122385</v>
      </c>
      <c r="K243" s="496">
        <v>1.0186861</v>
      </c>
      <c r="L243" s="496">
        <v>1.0261486</v>
      </c>
      <c r="M243" s="496">
        <v>1.0329543999999999</v>
      </c>
      <c r="N243" s="496">
        <v>1.0390438</v>
      </c>
    </row>
    <row r="244" spans="1:16" s="558" customFormat="1" x14ac:dyDescent="0.2"/>
    <row r="245" spans="1:16" s="558" customFormat="1" x14ac:dyDescent="0.2"/>
    <row r="246" spans="1:16" x14ac:dyDescent="0.2">
      <c r="A246" s="386"/>
      <c r="B246" s="386"/>
      <c r="C246" s="386"/>
      <c r="D246" s="386"/>
      <c r="E246" s="386"/>
      <c r="F246" s="386"/>
      <c r="G246" s="386"/>
      <c r="H246" s="386"/>
      <c r="I246" s="386"/>
      <c r="J246" s="386"/>
      <c r="K246" s="386"/>
      <c r="L246" s="386"/>
      <c r="M246" s="386"/>
      <c r="N246" s="386"/>
      <c r="O246" s="386"/>
      <c r="P246" s="386"/>
    </row>
  </sheetData>
  <dataValidations count="1">
    <dataValidation type="list" allowBlank="1" showInputMessage="1" showErrorMessage="1" sqref="F125:F133 F135:F139 F102:F110 F112:F116 F141 F151:F159 F161:F165 F236 F26 F220:F228 F96 F167 F90:F94 F118 F10:F18 F20:F24 F80:F88 F230:F234 F174:F182 F184:F188 F190 F196:F204 F206:F210 F212 F69 F53:F61 F63:F67 F48 F32:F40 F42:F46" xr:uid="{00000000-0002-0000-1100-000000000000}">
      <formula1>Base_Light_lst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>
    <tabColor theme="5"/>
  </sheetPr>
  <dimension ref="A1:R336"/>
  <sheetViews>
    <sheetView showGridLines="0" zoomScaleNormal="100" workbookViewId="0"/>
  </sheetViews>
  <sheetFormatPr defaultRowHeight="12" outlineLevelRow="3" x14ac:dyDescent="0.2"/>
  <cols>
    <col min="1" max="1" width="10.33203125" customWidth="1"/>
    <col min="2" max="2" width="7.5" customWidth="1"/>
    <col min="3" max="5" width="2.5" customWidth="1"/>
    <col min="6" max="6" width="34.1640625" customWidth="1"/>
    <col min="7" max="7" width="11" bestFit="1" customWidth="1"/>
    <col min="8" max="14" width="16.1640625" customWidth="1"/>
    <col min="15" max="15" width="4.6640625" customWidth="1"/>
    <col min="16" max="16" width="30" customWidth="1"/>
    <col min="17" max="17" width="61.1640625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572"/>
      <c r="H1" s="62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303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8" x14ac:dyDescent="0.2">
      <c r="B8" s="38" t="s">
        <v>1036</v>
      </c>
    </row>
    <row r="9" spans="1:18" ht="4.1500000000000004" customHeight="1" x14ac:dyDescent="0.2"/>
    <row r="10" spans="1:18" x14ac:dyDescent="0.2">
      <c r="F10" s="65" t="s">
        <v>164</v>
      </c>
      <c r="G10" s="48" t="s">
        <v>68</v>
      </c>
      <c r="H10" s="53">
        <v>13908.190399999999</v>
      </c>
      <c r="I10" s="53">
        <v>9296.7376340329956</v>
      </c>
      <c r="J10" s="53">
        <v>3260.9614552503735</v>
      </c>
      <c r="K10" s="53">
        <v>1.6316506804317221</v>
      </c>
      <c r="L10" s="53">
        <v>1.6316506804317221</v>
      </c>
      <c r="M10" s="53">
        <v>1.6316506804317221</v>
      </c>
      <c r="N10" s="53">
        <v>1.6316506804317221</v>
      </c>
    </row>
    <row r="11" spans="1:18" x14ac:dyDescent="0.2">
      <c r="F11" s="65" t="s">
        <v>172</v>
      </c>
      <c r="G11" s="48" t="s">
        <v>68</v>
      </c>
      <c r="H11" s="53">
        <v>49213.596799999999</v>
      </c>
      <c r="I11" s="53">
        <v>32161.104251544624</v>
      </c>
      <c r="J11" s="53">
        <v>10332.358819729894</v>
      </c>
      <c r="K11" s="53">
        <v>3.6290536686085093</v>
      </c>
      <c r="L11" s="53">
        <v>3.6290536686085093</v>
      </c>
      <c r="M11" s="53">
        <v>3.6290536686085093</v>
      </c>
      <c r="N11" s="53">
        <v>3.6290536686085093</v>
      </c>
    </row>
    <row r="12" spans="1:18" s="58" customFormat="1" x14ac:dyDescent="0.2">
      <c r="F12" s="65" t="s">
        <v>487</v>
      </c>
      <c r="G12" s="48" t="s">
        <v>68</v>
      </c>
      <c r="H12" s="53">
        <v>802.39560000000006</v>
      </c>
      <c r="I12" s="53">
        <v>542.53387984032804</v>
      </c>
      <c r="J12" s="53">
        <v>198.42159492402993</v>
      </c>
      <c r="K12" s="53">
        <v>0.60104539325842699</v>
      </c>
      <c r="L12" s="53">
        <v>0.60104539325842699</v>
      </c>
      <c r="M12" s="53">
        <v>0.60104539325842699</v>
      </c>
      <c r="N12" s="53">
        <v>0.60104539325842699</v>
      </c>
    </row>
    <row r="13" spans="1:18" s="58" customFormat="1" x14ac:dyDescent="0.2">
      <c r="F13" s="65" t="s">
        <v>488</v>
      </c>
      <c r="G13" s="48" t="s">
        <v>68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</row>
    <row r="14" spans="1:18" s="58" customFormat="1" x14ac:dyDescent="0.2">
      <c r="F14" s="65" t="s">
        <v>165</v>
      </c>
      <c r="G14" s="48" t="s">
        <v>68</v>
      </c>
      <c r="H14" s="53">
        <v>277227.67979999998</v>
      </c>
      <c r="I14" s="53">
        <v>135773.10028069341</v>
      </c>
      <c r="J14" s="53">
        <v>25.527410662983421</v>
      </c>
      <c r="K14" s="53">
        <v>25.527410662983421</v>
      </c>
      <c r="L14" s="53">
        <v>25.527410662983421</v>
      </c>
      <c r="M14" s="53">
        <v>25.527410662983421</v>
      </c>
      <c r="N14" s="53">
        <v>25.527410662983421</v>
      </c>
    </row>
    <row r="15" spans="1:18" s="58" customFormat="1" x14ac:dyDescent="0.2">
      <c r="F15" s="65" t="s">
        <v>173</v>
      </c>
      <c r="G15" s="48" t="s">
        <v>68</v>
      </c>
      <c r="H15" s="53">
        <v>107922.20819999999</v>
      </c>
      <c r="I15" s="53">
        <v>71987.409701748635</v>
      </c>
      <c r="J15" s="53">
        <v>25052.771211648651</v>
      </c>
      <c r="K15" s="53">
        <v>1.8196292058674759</v>
      </c>
      <c r="L15" s="53">
        <v>1.8196292058674759</v>
      </c>
      <c r="M15" s="53">
        <v>1.8196292058674759</v>
      </c>
      <c r="N15" s="53">
        <v>1.8196292058674759</v>
      </c>
    </row>
    <row r="16" spans="1:18" s="58" customFormat="1" ht="4.1500000000000004" customHeight="1" x14ac:dyDescent="0.2">
      <c r="F16" s="46"/>
      <c r="G16" s="48"/>
      <c r="H16" s="53"/>
      <c r="I16" s="53"/>
      <c r="J16" s="53"/>
      <c r="K16" s="53"/>
      <c r="L16" s="53"/>
      <c r="M16" s="53"/>
      <c r="N16" s="53"/>
    </row>
    <row r="17" spans="6:14" s="58" customFormat="1" x14ac:dyDescent="0.2">
      <c r="F17" s="65" t="s">
        <v>193</v>
      </c>
      <c r="G17" s="48" t="s">
        <v>68</v>
      </c>
      <c r="H17" s="53">
        <v>133.73259999999999</v>
      </c>
      <c r="I17" s="53">
        <v>123.74426829430573</v>
      </c>
      <c r="J17" s="53">
        <v>107.11935326138952</v>
      </c>
      <c r="K17" s="53">
        <v>83.859347945869388</v>
      </c>
      <c r="L17" s="53">
        <v>50.646329845985832</v>
      </c>
      <c r="M17" s="53">
        <v>0.84370768875281299</v>
      </c>
      <c r="N17" s="53">
        <v>3.0086074240719907E-2</v>
      </c>
    </row>
    <row r="18" spans="6:14" s="58" customFormat="1" x14ac:dyDescent="0.2">
      <c r="F18" s="65" t="s">
        <v>167</v>
      </c>
      <c r="G18" s="48" t="s">
        <v>68</v>
      </c>
      <c r="H18" s="53">
        <v>401.19779999999997</v>
      </c>
      <c r="I18" s="53">
        <v>371.23366965644152</v>
      </c>
      <c r="J18" s="53">
        <v>321.35972454960688</v>
      </c>
      <c r="K18" s="53">
        <v>251.58040091273219</v>
      </c>
      <c r="L18" s="53">
        <v>151.94188835913431</v>
      </c>
      <c r="M18" s="53">
        <v>2.5343487428662912</v>
      </c>
      <c r="N18" s="53">
        <v>2.9797816399286983E-2</v>
      </c>
    </row>
    <row r="19" spans="6:14" s="58" customFormat="1" x14ac:dyDescent="0.2">
      <c r="F19" s="65" t="s">
        <v>168</v>
      </c>
      <c r="G19" s="48" t="s">
        <v>68</v>
      </c>
      <c r="H19" s="53">
        <v>267.46519999999998</v>
      </c>
      <c r="I19" s="53">
        <v>247.48552300593298</v>
      </c>
      <c r="J19" s="53">
        <v>214.23290515031869</v>
      </c>
      <c r="K19" s="53">
        <v>167.71048202041473</v>
      </c>
      <c r="L19" s="53">
        <v>101.28255804176149</v>
      </c>
      <c r="M19" s="53">
        <v>1.6761748295077974</v>
      </c>
      <c r="N19" s="53">
        <v>3.1592865579966926E-2</v>
      </c>
    </row>
    <row r="20" spans="6:14" s="58" customFormat="1" x14ac:dyDescent="0.2">
      <c r="F20" s="65" t="s">
        <v>169</v>
      </c>
      <c r="G20" s="48" t="s">
        <v>68</v>
      </c>
      <c r="H20" s="53">
        <v>133.73259999999999</v>
      </c>
      <c r="I20" s="53">
        <v>123.72258022994792</v>
      </c>
      <c r="J20" s="53">
        <v>107.07760538533415</v>
      </c>
      <c r="K20" s="53">
        <v>83.800244167310225</v>
      </c>
      <c r="L20" s="53">
        <v>50.573649072079014</v>
      </c>
      <c r="M20" s="53">
        <v>0.76284149201920648</v>
      </c>
      <c r="N20" s="53">
        <v>5.1774138598528842E-2</v>
      </c>
    </row>
    <row r="21" spans="6:14" s="58" customFormat="1" x14ac:dyDescent="0.2">
      <c r="F21" s="65" t="s">
        <v>166</v>
      </c>
      <c r="G21" s="48" t="s">
        <v>68</v>
      </c>
      <c r="H21" s="53">
        <v>212367.3688</v>
      </c>
      <c r="I21" s="53">
        <v>166788.50424701345</v>
      </c>
      <c r="J21" s="53">
        <v>117055.45914882405</v>
      </c>
      <c r="K21" s="53">
        <v>63750.478757486635</v>
      </c>
      <c r="L21" s="53">
        <v>2102.9701340668307</v>
      </c>
      <c r="M21" s="53">
        <v>18.743810132391879</v>
      </c>
      <c r="N21" s="53">
        <v>18.743810132391879</v>
      </c>
    </row>
    <row r="22" spans="6:14" s="58" customFormat="1" ht="4.1500000000000004" customHeight="1" x14ac:dyDescent="0.2">
      <c r="F22" s="46"/>
      <c r="G22" s="48"/>
      <c r="H22" s="53"/>
      <c r="I22" s="53"/>
      <c r="J22" s="53"/>
      <c r="K22" s="53"/>
      <c r="L22" s="53"/>
      <c r="M22" s="53"/>
      <c r="N22" s="53"/>
    </row>
    <row r="23" spans="6:14" s="58" customFormat="1" x14ac:dyDescent="0.2">
      <c r="F23" s="65" t="s">
        <v>170</v>
      </c>
      <c r="G23" s="48" t="s">
        <v>68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</row>
    <row r="24" spans="6:14" s="58" customFormat="1" ht="4.1500000000000004" customHeight="1" x14ac:dyDescent="0.2">
      <c r="G24" s="48"/>
      <c r="H24" s="53"/>
      <c r="I24" s="53"/>
      <c r="J24" s="53"/>
      <c r="K24" s="53"/>
      <c r="L24" s="53"/>
      <c r="M24" s="53"/>
      <c r="N24" s="53"/>
    </row>
    <row r="25" spans="6:14" s="58" customFormat="1" x14ac:dyDescent="0.2">
      <c r="F25" s="65" t="s">
        <v>161</v>
      </c>
      <c r="G25" s="48" t="s">
        <v>68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</row>
    <row r="26" spans="6:14" s="58" customFormat="1" ht="4.1500000000000004" customHeight="1" x14ac:dyDescent="0.2">
      <c r="F26" s="46"/>
      <c r="G26" s="48"/>
      <c r="H26" s="53"/>
      <c r="I26" s="53"/>
      <c r="J26" s="53"/>
      <c r="K26" s="53"/>
      <c r="L26" s="53"/>
      <c r="M26" s="53"/>
      <c r="N26" s="53"/>
    </row>
    <row r="27" spans="6:14" s="58" customFormat="1" x14ac:dyDescent="0.2">
      <c r="F27" s="65" t="s">
        <v>188</v>
      </c>
      <c r="G27" s="48" t="s">
        <v>68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</row>
    <row r="28" spans="6:14" s="58" customFormat="1" ht="4.1500000000000004" customHeight="1" x14ac:dyDescent="0.2"/>
    <row r="29" spans="6:14" s="58" customFormat="1" x14ac:dyDescent="0.2">
      <c r="F29" s="65" t="s">
        <v>489</v>
      </c>
      <c r="G29" s="48" t="s">
        <v>68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</row>
    <row r="30" spans="6:14" s="58" customFormat="1" x14ac:dyDescent="0.2">
      <c r="F30" s="65" t="s">
        <v>486</v>
      </c>
      <c r="G30" s="48" t="s">
        <v>68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</row>
    <row r="31" spans="6:14" s="58" customFormat="1" x14ac:dyDescent="0.2">
      <c r="F31" s="65" t="s">
        <v>171</v>
      </c>
      <c r="G31" s="48" t="s">
        <v>68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</row>
    <row r="32" spans="6:14" ht="4.1500000000000004" customHeight="1" x14ac:dyDescent="0.2">
      <c r="G32" s="86"/>
      <c r="H32" s="53"/>
      <c r="I32" s="53"/>
      <c r="J32" s="53"/>
      <c r="K32" s="53"/>
      <c r="L32" s="53"/>
      <c r="M32" s="53"/>
      <c r="N32" s="53"/>
    </row>
    <row r="33" spans="2:14" x14ac:dyDescent="0.2">
      <c r="F33" s="85" t="s">
        <v>1272</v>
      </c>
      <c r="G33" s="87" t="s">
        <v>42</v>
      </c>
      <c r="H33" s="88">
        <v>662377.56779999996</v>
      </c>
      <c r="I33" s="88">
        <v>417415.57603606011</v>
      </c>
      <c r="J33" s="88">
        <v>156675.28922938663</v>
      </c>
      <c r="K33" s="88">
        <v>64370.638022144114</v>
      </c>
      <c r="L33" s="88">
        <v>2490.6233489969409</v>
      </c>
      <c r="M33" s="88">
        <v>57.769672496687548</v>
      </c>
      <c r="N33" s="88">
        <v>52.095850638359941</v>
      </c>
    </row>
    <row r="34" spans="2:14" x14ac:dyDescent="0.2">
      <c r="G34" s="86"/>
      <c r="H34" s="53"/>
      <c r="I34" s="53"/>
      <c r="J34" s="53"/>
      <c r="K34" s="53"/>
      <c r="L34" s="53"/>
      <c r="M34" s="53"/>
      <c r="N34" s="53"/>
    </row>
    <row r="35" spans="2:14" x14ac:dyDescent="0.2">
      <c r="B35" s="38" t="s">
        <v>1037</v>
      </c>
    </row>
    <row r="36" spans="2:14" s="58" customFormat="1" ht="4.1500000000000004" customHeight="1" x14ac:dyDescent="0.2"/>
    <row r="37" spans="2:14" s="58" customFormat="1" x14ac:dyDescent="0.2">
      <c r="F37" s="65" t="s">
        <v>164</v>
      </c>
      <c r="G37" s="48" t="s">
        <v>443</v>
      </c>
      <c r="H37" s="37">
        <v>5697.7499813704926</v>
      </c>
      <c r="I37" s="37">
        <v>1998.5659273512813</v>
      </c>
      <c r="J37" s="37">
        <v>1</v>
      </c>
      <c r="K37" s="37">
        <v>1</v>
      </c>
      <c r="L37" s="37">
        <v>1</v>
      </c>
      <c r="M37" s="37">
        <v>1</v>
      </c>
      <c r="N37" s="37">
        <v>1</v>
      </c>
    </row>
    <row r="38" spans="2:14" s="58" customFormat="1" x14ac:dyDescent="0.2">
      <c r="F38" s="65" t="s">
        <v>172</v>
      </c>
      <c r="G38" s="48" t="s">
        <v>443</v>
      </c>
      <c r="H38" s="37">
        <v>8862.118664636937</v>
      </c>
      <c r="I38" s="37">
        <v>2847.1220773352843</v>
      </c>
      <c r="J38" s="37">
        <v>1</v>
      </c>
      <c r="K38" s="37">
        <v>1</v>
      </c>
      <c r="L38" s="37">
        <v>1</v>
      </c>
      <c r="M38" s="37">
        <v>1</v>
      </c>
      <c r="N38" s="37">
        <v>1</v>
      </c>
    </row>
    <row r="39" spans="2:14" s="58" customFormat="1" x14ac:dyDescent="0.2">
      <c r="F39" s="65" t="s">
        <v>487</v>
      </c>
      <c r="G39" s="48" t="s">
        <v>443</v>
      </c>
      <c r="H39" s="37">
        <v>902.65042528503136</v>
      </c>
      <c r="I39" s="37">
        <v>330.12746982109564</v>
      </c>
      <c r="J39" s="37">
        <v>1</v>
      </c>
      <c r="K39" s="37">
        <v>1</v>
      </c>
      <c r="L39" s="37">
        <v>1</v>
      </c>
      <c r="M39" s="37">
        <v>1</v>
      </c>
      <c r="N39" s="37">
        <v>1</v>
      </c>
    </row>
    <row r="40" spans="2:14" s="58" customFormat="1" x14ac:dyDescent="0.2">
      <c r="F40" s="65" t="s">
        <v>488</v>
      </c>
      <c r="G40" s="48" t="s">
        <v>443</v>
      </c>
      <c r="H40" s="37">
        <v>236.18104687183964</v>
      </c>
      <c r="I40" s="37">
        <v>88.422442700959152</v>
      </c>
      <c r="J40" s="37">
        <v>1</v>
      </c>
      <c r="K40" s="37">
        <v>1</v>
      </c>
      <c r="L40" s="37">
        <v>1</v>
      </c>
      <c r="M40" s="37">
        <v>1</v>
      </c>
      <c r="N40" s="37">
        <v>1</v>
      </c>
    </row>
    <row r="41" spans="2:14" s="58" customFormat="1" x14ac:dyDescent="0.2">
      <c r="F41" s="65" t="s">
        <v>165</v>
      </c>
      <c r="G41" s="48" t="s">
        <v>443</v>
      </c>
      <c r="H41" s="37">
        <v>5318.7180663636263</v>
      </c>
      <c r="I41" s="37">
        <v>1</v>
      </c>
      <c r="J41" s="37">
        <v>1</v>
      </c>
      <c r="K41" s="37">
        <v>1</v>
      </c>
      <c r="L41" s="37">
        <v>1</v>
      </c>
      <c r="M41" s="37">
        <v>1</v>
      </c>
      <c r="N41" s="37">
        <v>1</v>
      </c>
    </row>
    <row r="42" spans="2:14" s="58" customFormat="1" x14ac:dyDescent="0.2">
      <c r="F42" s="65" t="s">
        <v>173</v>
      </c>
      <c r="G42" s="48" t="s">
        <v>443</v>
      </c>
      <c r="H42" s="37">
        <v>39561.581815472076</v>
      </c>
      <c r="I42" s="37">
        <v>13768.0639170139</v>
      </c>
      <c r="J42" s="37">
        <v>1</v>
      </c>
      <c r="K42" s="37">
        <v>1</v>
      </c>
      <c r="L42" s="37">
        <v>1</v>
      </c>
      <c r="M42" s="37">
        <v>1</v>
      </c>
      <c r="N42" s="37">
        <v>1</v>
      </c>
    </row>
    <row r="43" spans="2:14" s="58" customFormat="1" ht="4.1500000000000004" customHeight="1" x14ac:dyDescent="0.2">
      <c r="F43" s="46"/>
      <c r="G43" s="48"/>
      <c r="H43" s="37"/>
      <c r="I43" s="37"/>
      <c r="J43" s="37"/>
      <c r="K43" s="37"/>
      <c r="L43" s="37"/>
      <c r="M43" s="37"/>
      <c r="N43" s="37"/>
    </row>
    <row r="44" spans="2:14" s="58" customFormat="1" x14ac:dyDescent="0.2">
      <c r="F44" s="65" t="s">
        <v>193</v>
      </c>
      <c r="G44" s="48" t="s">
        <v>443</v>
      </c>
      <c r="H44" s="37">
        <v>4113.008141382049</v>
      </c>
      <c r="I44" s="37">
        <v>3560.4297325175494</v>
      </c>
      <c r="J44" s="37">
        <v>2787.3143991770853</v>
      </c>
      <c r="K44" s="37">
        <v>1683.3811364275207</v>
      </c>
      <c r="L44" s="37">
        <v>28.043129921247733</v>
      </c>
      <c r="M44" s="37">
        <v>1</v>
      </c>
      <c r="N44" s="37">
        <v>1</v>
      </c>
    </row>
    <row r="45" spans="2:14" s="58" customFormat="1" x14ac:dyDescent="0.2">
      <c r="F45" s="65" t="s">
        <v>167</v>
      </c>
      <c r="G45" s="48" t="s">
        <v>443</v>
      </c>
      <c r="H45" s="37">
        <v>12458.418586179509</v>
      </c>
      <c r="I45" s="37">
        <v>10784.673623175171</v>
      </c>
      <c r="J45" s="37">
        <v>8442.9139887831552</v>
      </c>
      <c r="K45" s="37">
        <v>5099.0947230203774</v>
      </c>
      <c r="L45" s="37">
        <v>85.051491992108993</v>
      </c>
      <c r="M45" s="37">
        <v>1</v>
      </c>
      <c r="N45" s="37">
        <v>1</v>
      </c>
    </row>
    <row r="46" spans="2:14" s="58" customFormat="1" x14ac:dyDescent="0.2">
      <c r="F46" s="65" t="s">
        <v>168</v>
      </c>
      <c r="G46" s="48" t="s">
        <v>443</v>
      </c>
      <c r="H46" s="37">
        <v>7833.5889594916598</v>
      </c>
      <c r="I46" s="37">
        <v>6781.0532921763206</v>
      </c>
      <c r="J46" s="37">
        <v>5308.49224790676</v>
      </c>
      <c r="K46" s="37">
        <v>3205.8680395862821</v>
      </c>
      <c r="L46" s="37">
        <v>53.055485747727232</v>
      </c>
      <c r="M46" s="37">
        <v>1</v>
      </c>
      <c r="N46" s="37">
        <v>1</v>
      </c>
    </row>
    <row r="47" spans="2:14" s="58" customFormat="1" x14ac:dyDescent="0.2">
      <c r="F47" s="65" t="s">
        <v>169</v>
      </c>
      <c r="G47" s="48" t="s">
        <v>443</v>
      </c>
      <c r="H47" s="37">
        <v>2389.6598490865767</v>
      </c>
      <c r="I47" s="37">
        <v>2068.167781904473</v>
      </c>
      <c r="J47" s="37">
        <v>1618.5734120488373</v>
      </c>
      <c r="K47" s="37">
        <v>976.81295026926944</v>
      </c>
      <c r="L47" s="37">
        <v>14.734025763991806</v>
      </c>
      <c r="M47" s="37">
        <v>1</v>
      </c>
      <c r="N47" s="37">
        <v>1</v>
      </c>
    </row>
    <row r="48" spans="2:14" s="58" customFormat="1" x14ac:dyDescent="0.2">
      <c r="F48" s="65" t="s">
        <v>166</v>
      </c>
      <c r="G48" s="48" t="s">
        <v>443</v>
      </c>
      <c r="H48" s="37">
        <v>8898.3244638602064</v>
      </c>
      <c r="I48" s="37">
        <v>6245.019466268287</v>
      </c>
      <c r="J48" s="37">
        <v>3401.1483421568087</v>
      </c>
      <c r="K48" s="37">
        <v>112.1954458145417</v>
      </c>
      <c r="L48" s="37">
        <v>1</v>
      </c>
      <c r="M48" s="37">
        <v>1</v>
      </c>
      <c r="N48" s="37">
        <v>1</v>
      </c>
    </row>
    <row r="49" spans="2:14" s="58" customFormat="1" ht="4.1500000000000004" customHeight="1" x14ac:dyDescent="0.2">
      <c r="F49" s="46"/>
      <c r="G49" s="48"/>
      <c r="H49" s="37"/>
      <c r="I49" s="37"/>
      <c r="J49" s="37"/>
      <c r="K49" s="37"/>
      <c r="L49" s="37"/>
      <c r="M49" s="37"/>
      <c r="N49" s="37"/>
    </row>
    <row r="50" spans="2:14" s="58" customFormat="1" x14ac:dyDescent="0.2">
      <c r="F50" s="65" t="s">
        <v>170</v>
      </c>
      <c r="G50" s="48" t="s">
        <v>443</v>
      </c>
      <c r="H50" s="37">
        <v>1068</v>
      </c>
      <c r="I50" s="37">
        <v>1068</v>
      </c>
      <c r="J50" s="37">
        <v>1068</v>
      </c>
      <c r="K50" s="37">
        <v>1068</v>
      </c>
      <c r="L50" s="37">
        <v>1068</v>
      </c>
      <c r="M50" s="37">
        <v>1068</v>
      </c>
      <c r="N50" s="37">
        <v>1068</v>
      </c>
    </row>
    <row r="51" spans="2:14" s="58" customFormat="1" ht="4.1500000000000004" customHeight="1" x14ac:dyDescent="0.2">
      <c r="G51" s="48"/>
      <c r="H51" s="37"/>
      <c r="I51" s="37"/>
      <c r="J51" s="37"/>
      <c r="K51" s="37"/>
      <c r="L51" s="37"/>
      <c r="M51" s="37"/>
      <c r="N51" s="37"/>
    </row>
    <row r="52" spans="2:14" s="58" customFormat="1" x14ac:dyDescent="0.2">
      <c r="F52" s="65" t="s">
        <v>161</v>
      </c>
      <c r="G52" s="48" t="s">
        <v>443</v>
      </c>
      <c r="H52" s="37">
        <v>58091</v>
      </c>
      <c r="I52" s="37">
        <v>99637.698165777489</v>
      </c>
      <c r="J52" s="37">
        <v>118671.00000000001</v>
      </c>
      <c r="K52" s="37">
        <v>118677.00000000001</v>
      </c>
      <c r="L52" s="37">
        <v>118677.24832232091</v>
      </c>
      <c r="M52" s="37">
        <v>118677.49664464181</v>
      </c>
      <c r="N52" s="37">
        <v>118677.74496696271</v>
      </c>
    </row>
    <row r="53" spans="2:14" s="58" customFormat="1" ht="4.1500000000000004" customHeight="1" x14ac:dyDescent="0.2">
      <c r="F53" s="46"/>
      <c r="G53" s="48"/>
      <c r="H53" s="37"/>
      <c r="I53" s="37"/>
      <c r="J53" s="37"/>
      <c r="K53" s="37"/>
      <c r="L53" s="37"/>
      <c r="M53" s="37"/>
      <c r="N53" s="37"/>
    </row>
    <row r="54" spans="2:14" s="58" customFormat="1" x14ac:dyDescent="0.2">
      <c r="F54" s="65" t="s">
        <v>188</v>
      </c>
      <c r="G54" s="48" t="s">
        <v>443</v>
      </c>
      <c r="H54" s="37">
        <v>4740</v>
      </c>
      <c r="I54" s="37">
        <v>10993.656103958197</v>
      </c>
      <c r="J54" s="37">
        <v>18874.557609927353</v>
      </c>
      <c r="K54" s="37">
        <v>29355.647704882009</v>
      </c>
      <c r="L54" s="37">
        <v>40252.115866574924</v>
      </c>
      <c r="M54" s="37">
        <v>40434</v>
      </c>
      <c r="N54" s="37">
        <v>40434.141230044333</v>
      </c>
    </row>
    <row r="55" spans="2:14" s="58" customFormat="1" ht="4.1500000000000004" customHeight="1" x14ac:dyDescent="0.2"/>
    <row r="56" spans="2:14" s="58" customFormat="1" x14ac:dyDescent="0.2">
      <c r="F56" s="65" t="s">
        <v>489</v>
      </c>
      <c r="G56" s="48" t="s">
        <v>443</v>
      </c>
      <c r="H56" s="37">
        <v>265</v>
      </c>
      <c r="I56" s="37">
        <v>265</v>
      </c>
      <c r="J56" s="37">
        <v>265</v>
      </c>
      <c r="K56" s="37">
        <v>265</v>
      </c>
      <c r="L56" s="37">
        <v>265</v>
      </c>
      <c r="M56" s="37">
        <v>265</v>
      </c>
      <c r="N56" s="37">
        <v>265</v>
      </c>
    </row>
    <row r="57" spans="2:14" s="58" customFormat="1" x14ac:dyDescent="0.2">
      <c r="F57" s="65" t="s">
        <v>486</v>
      </c>
      <c r="G57" s="48" t="s">
        <v>443</v>
      </c>
      <c r="H57" s="37">
        <v>4299</v>
      </c>
      <c r="I57" s="37">
        <v>4299</v>
      </c>
      <c r="J57" s="37">
        <v>4299</v>
      </c>
      <c r="K57" s="37">
        <v>4299</v>
      </c>
      <c r="L57" s="37">
        <v>4299</v>
      </c>
      <c r="M57" s="37">
        <v>4299</v>
      </c>
      <c r="N57" s="37">
        <v>4299</v>
      </c>
    </row>
    <row r="58" spans="2:14" s="58" customFormat="1" x14ac:dyDescent="0.2">
      <c r="F58" s="65" t="s">
        <v>171</v>
      </c>
      <c r="G58" s="48" t="s">
        <v>443</v>
      </c>
      <c r="H58" s="37">
        <v>20032</v>
      </c>
      <c r="I58" s="37">
        <v>20032</v>
      </c>
      <c r="J58" s="37">
        <v>20032</v>
      </c>
      <c r="K58" s="37">
        <v>20032</v>
      </c>
      <c r="L58" s="37">
        <v>20032</v>
      </c>
      <c r="M58" s="37">
        <v>20032</v>
      </c>
      <c r="N58" s="37">
        <v>20032</v>
      </c>
    </row>
    <row r="59" spans="2:14" s="58" customFormat="1" ht="4.1500000000000004" customHeight="1" x14ac:dyDescent="0.2">
      <c r="G59" s="86"/>
      <c r="H59" s="37"/>
      <c r="I59" s="37"/>
      <c r="J59" s="37"/>
      <c r="K59" s="37"/>
      <c r="L59" s="37"/>
      <c r="M59" s="37"/>
      <c r="N59" s="37"/>
    </row>
    <row r="60" spans="2:14" s="58" customFormat="1" x14ac:dyDescent="0.2">
      <c r="F60" s="85" t="s">
        <v>216</v>
      </c>
      <c r="G60" s="87"/>
      <c r="H60" s="138">
        <v>184767</v>
      </c>
      <c r="I60" s="138">
        <v>184768</v>
      </c>
      <c r="J60" s="138">
        <v>184774</v>
      </c>
      <c r="K60" s="138">
        <v>184780</v>
      </c>
      <c r="L60" s="138">
        <v>184781.24832232093</v>
      </c>
      <c r="M60" s="138">
        <v>184786.4966446418</v>
      </c>
      <c r="N60" s="138">
        <v>184786.88619700703</v>
      </c>
    </row>
    <row r="61" spans="2:14" s="58" customFormat="1" x14ac:dyDescent="0.2"/>
    <row r="62" spans="2:14" s="558" customFormat="1" x14ac:dyDescent="0.2">
      <c r="B62" s="38" t="s">
        <v>1242</v>
      </c>
    </row>
    <row r="63" spans="2:14" s="558" customFormat="1" ht="4.1500000000000004" customHeight="1" x14ac:dyDescent="0.2"/>
    <row r="64" spans="2:14" s="558" customFormat="1" x14ac:dyDescent="0.2">
      <c r="F64" s="65" t="s">
        <v>161</v>
      </c>
      <c r="G64" s="48" t="s">
        <v>443</v>
      </c>
      <c r="H64" s="37">
        <v>58091</v>
      </c>
      <c r="I64" s="37">
        <v>99637.698165777489</v>
      </c>
      <c r="J64" s="37">
        <v>118671.00000000001</v>
      </c>
      <c r="K64" s="37">
        <v>118677.00000000001</v>
      </c>
      <c r="L64" s="37">
        <v>118677.24832232091</v>
      </c>
      <c r="M64" s="37">
        <v>118677.49664464181</v>
      </c>
      <c r="N64" s="37">
        <v>118677.74496696271</v>
      </c>
    </row>
    <row r="65" spans="1:17" s="558" customFormat="1" x14ac:dyDescent="0.2">
      <c r="F65" s="65" t="s">
        <v>188</v>
      </c>
      <c r="G65" s="48" t="s">
        <v>443</v>
      </c>
      <c r="H65" s="37">
        <v>4740</v>
      </c>
      <c r="I65" s="37">
        <v>10993.656103958197</v>
      </c>
      <c r="J65" s="37">
        <v>18874.557609927353</v>
      </c>
      <c r="K65" s="37">
        <v>29355.647704882009</v>
      </c>
      <c r="L65" s="37">
        <v>40252.115866574924</v>
      </c>
      <c r="M65" s="37">
        <v>40434</v>
      </c>
      <c r="N65" s="37">
        <v>40434.141230044333</v>
      </c>
    </row>
    <row r="66" spans="1:17" s="558" customFormat="1" ht="4.1500000000000004" customHeight="1" x14ac:dyDescent="0.2"/>
    <row r="67" spans="1:17" s="558" customFormat="1" x14ac:dyDescent="0.2">
      <c r="F67" s="85" t="s">
        <v>216</v>
      </c>
      <c r="G67" s="87"/>
      <c r="H67" s="138">
        <v>62831</v>
      </c>
      <c r="I67" s="138">
        <v>110631.35426973569</v>
      </c>
      <c r="J67" s="138">
        <v>137545.55760992737</v>
      </c>
      <c r="K67" s="138">
        <v>148032.64770488202</v>
      </c>
      <c r="L67" s="138">
        <v>158929.36418889585</v>
      </c>
      <c r="M67" s="138">
        <v>159111.4966446418</v>
      </c>
      <c r="N67" s="138">
        <v>159111.88619700703</v>
      </c>
    </row>
    <row r="68" spans="1:17" s="558" customFormat="1" x14ac:dyDescent="0.2"/>
    <row r="69" spans="1:17" x14ac:dyDescent="0.2">
      <c r="F69" s="58"/>
      <c r="G69" s="58"/>
      <c r="H69" s="44"/>
      <c r="I69" s="58"/>
      <c r="J69" s="58"/>
      <c r="K69" s="58"/>
      <c r="L69" s="58"/>
      <c r="M69" s="58"/>
      <c r="N69" s="58"/>
    </row>
    <row r="70" spans="1:17" ht="15.75" thickBot="1" x14ac:dyDescent="0.3">
      <c r="A70" s="10" t="s">
        <v>37</v>
      </c>
      <c r="B70" s="10"/>
      <c r="C70" s="10"/>
      <c r="D70" s="10"/>
      <c r="E70" s="10"/>
      <c r="F70" s="10"/>
      <c r="G70" s="51"/>
      <c r="H70" s="10"/>
      <c r="I70" s="10"/>
      <c r="J70" s="10"/>
      <c r="K70" s="10"/>
      <c r="L70" s="10"/>
      <c r="M70" s="10"/>
      <c r="N70" s="10"/>
      <c r="O70" s="10"/>
      <c r="P70" s="10"/>
      <c r="Q70" s="10"/>
    </row>
    <row r="71" spans="1:17" ht="12.75" x14ac:dyDescent="0.2">
      <c r="G71" s="50"/>
      <c r="H71" s="43" t="s">
        <v>251</v>
      </c>
      <c r="I71" s="43" t="s">
        <v>252</v>
      </c>
      <c r="J71" s="43" t="s">
        <v>253</v>
      </c>
      <c r="K71" s="43" t="s">
        <v>254</v>
      </c>
      <c r="L71" s="43" t="s">
        <v>255</v>
      </c>
      <c r="M71" s="43" t="s">
        <v>256</v>
      </c>
      <c r="N71" s="43" t="s">
        <v>257</v>
      </c>
      <c r="P71" s="5"/>
      <c r="Q71" s="5"/>
    </row>
    <row r="72" spans="1:17" s="58" customFormat="1" outlineLevel="1" x14ac:dyDescent="0.2">
      <c r="A72" s="120" t="s">
        <v>263</v>
      </c>
    </row>
    <row r="73" spans="1:17" ht="12.75" outlineLevel="1" x14ac:dyDescent="0.2">
      <c r="D73" s="5" t="s">
        <v>299</v>
      </c>
    </row>
    <row r="74" spans="1:17" outlineLevel="2" x14ac:dyDescent="0.2">
      <c r="H74" s="168"/>
    </row>
    <row r="75" spans="1:17" outlineLevel="2" x14ac:dyDescent="0.2">
      <c r="F75" s="65" t="s">
        <v>172</v>
      </c>
    </row>
    <row r="76" spans="1:17" ht="4.1500000000000004" customHeight="1" outlineLevel="3" x14ac:dyDescent="0.2"/>
    <row r="77" spans="1:17" outlineLevel="3" x14ac:dyDescent="0.2">
      <c r="A77" t="s">
        <v>172</v>
      </c>
      <c r="F77" t="s">
        <v>296</v>
      </c>
      <c r="G77" s="58"/>
      <c r="H77" s="128">
        <v>13561</v>
      </c>
      <c r="I77" s="128">
        <v>8862.118664636937</v>
      </c>
      <c r="J77" s="128">
        <v>2847.1220773352843</v>
      </c>
      <c r="K77" s="128">
        <v>1</v>
      </c>
      <c r="L77" s="128">
        <v>1</v>
      </c>
      <c r="M77" s="128">
        <v>1</v>
      </c>
      <c r="N77" s="128">
        <v>1</v>
      </c>
    </row>
    <row r="78" spans="1:17" outlineLevel="3" x14ac:dyDescent="0.2">
      <c r="A78" t="s">
        <v>172</v>
      </c>
      <c r="F78" t="s">
        <v>247</v>
      </c>
      <c r="G78" s="127">
        <v>0.14436271117876875</v>
      </c>
      <c r="H78" s="128">
        <v>-4330.881335363063</v>
      </c>
      <c r="I78" s="128">
        <v>-5774.5084471507498</v>
      </c>
      <c r="J78" s="128">
        <v>-2769.8607452462506</v>
      </c>
      <c r="K78" s="128">
        <v>-0.97286335815942782</v>
      </c>
      <c r="L78" s="128">
        <v>0</v>
      </c>
      <c r="M78" s="128">
        <v>0</v>
      </c>
      <c r="N78" s="128">
        <v>0</v>
      </c>
      <c r="P78" s="558"/>
      <c r="Q78" s="8" t="s">
        <v>297</v>
      </c>
    </row>
    <row r="79" spans="1:17" outlineLevel="3" x14ac:dyDescent="0.2">
      <c r="A79" t="s">
        <v>172</v>
      </c>
      <c r="F79" t="s">
        <v>294</v>
      </c>
      <c r="G79" s="127">
        <v>2.7136641840572229E-2</v>
      </c>
      <c r="H79" s="128">
        <v>-368</v>
      </c>
      <c r="I79" s="128">
        <v>-240.48814015090281</v>
      </c>
      <c r="J79" s="128">
        <v>-77.261332089033601</v>
      </c>
      <c r="K79" s="128">
        <v>-2.7136641840572229E-2</v>
      </c>
      <c r="L79" s="128">
        <v>-2.7136641840572229E-2</v>
      </c>
      <c r="M79" s="128">
        <v>-2.7136641840572229E-2</v>
      </c>
      <c r="N79" s="128">
        <v>-2.7136641840572229E-2</v>
      </c>
      <c r="P79" s="558"/>
      <c r="Q79" s="8" t="s">
        <v>298</v>
      </c>
    </row>
    <row r="80" spans="1:17" s="58" customFormat="1" ht="4.1500000000000004" customHeight="1" outlineLevel="3" x14ac:dyDescent="0.2">
      <c r="G80" s="127"/>
      <c r="H80" s="128"/>
      <c r="I80" s="128"/>
      <c r="J80" s="128"/>
      <c r="K80" s="128"/>
      <c r="L80" s="128"/>
      <c r="M80" s="128"/>
      <c r="N80" s="128"/>
    </row>
    <row r="81" spans="1:17" outlineLevel="3" x14ac:dyDescent="0.2">
      <c r="A81" t="s">
        <v>172</v>
      </c>
      <c r="B81" t="s">
        <v>443</v>
      </c>
      <c r="F81" s="85" t="s">
        <v>295</v>
      </c>
      <c r="G81" s="85"/>
      <c r="H81" s="101">
        <v>8862.118664636937</v>
      </c>
      <c r="I81" s="101">
        <v>2847.1220773352843</v>
      </c>
      <c r="J81" s="101">
        <v>1</v>
      </c>
      <c r="K81" s="101">
        <v>1</v>
      </c>
      <c r="L81" s="101">
        <v>1</v>
      </c>
      <c r="M81" s="101">
        <v>1</v>
      </c>
      <c r="N81" s="101">
        <v>1</v>
      </c>
    </row>
    <row r="82" spans="1:17" outlineLevel="3" x14ac:dyDescent="0.2">
      <c r="G82" s="6" t="s">
        <v>991</v>
      </c>
    </row>
    <row r="83" spans="1:17" s="58" customFormat="1" ht="4.1500000000000004" customHeight="1" outlineLevel="3" x14ac:dyDescent="0.2"/>
    <row r="84" spans="1:17" s="58" customFormat="1" outlineLevel="3" x14ac:dyDescent="0.2">
      <c r="A84" s="58" t="s">
        <v>172</v>
      </c>
      <c r="B84" s="58" t="s">
        <v>69</v>
      </c>
      <c r="F84" s="58" t="s">
        <v>196</v>
      </c>
      <c r="G84" s="783"/>
      <c r="H84" s="775"/>
      <c r="I84" s="775"/>
      <c r="J84" s="775"/>
      <c r="K84" s="775"/>
      <c r="L84" s="775"/>
      <c r="M84" s="775"/>
      <c r="N84" s="775"/>
    </row>
    <row r="85" spans="1:17" s="558" customFormat="1" outlineLevel="3" x14ac:dyDescent="0.2">
      <c r="A85" s="558" t="s">
        <v>172</v>
      </c>
      <c r="B85" s="558" t="s">
        <v>69</v>
      </c>
      <c r="F85" s="558" t="s">
        <v>1243</v>
      </c>
      <c r="G85" s="783"/>
      <c r="H85" s="775"/>
      <c r="I85" s="775"/>
      <c r="J85" s="775"/>
      <c r="K85" s="775"/>
      <c r="L85" s="775"/>
      <c r="M85" s="775"/>
      <c r="N85" s="775"/>
    </row>
    <row r="86" spans="1:17" s="58" customFormat="1" outlineLevel="3" x14ac:dyDescent="0.2">
      <c r="A86" s="58" t="s">
        <v>172</v>
      </c>
      <c r="B86" s="58" t="s">
        <v>69</v>
      </c>
      <c r="F86" s="58" t="s">
        <v>310</v>
      </c>
      <c r="G86" s="139">
        <v>126.542</v>
      </c>
      <c r="H86" s="53">
        <v>548038.38593951275</v>
      </c>
      <c r="I86" s="53">
        <v>730717.84791935014</v>
      </c>
      <c r="J86" s="53">
        <v>350503.71842495108</v>
      </c>
      <c r="K86" s="53">
        <v>123.10807506821031</v>
      </c>
      <c r="L86" s="53">
        <v>0</v>
      </c>
      <c r="M86" s="53">
        <v>0</v>
      </c>
      <c r="N86" s="53">
        <v>0</v>
      </c>
      <c r="P86" s="558"/>
      <c r="Q86" s="417" t="s">
        <v>941</v>
      </c>
    </row>
    <row r="87" spans="1:17" s="58" customFormat="1" outlineLevel="3" x14ac:dyDescent="0.2">
      <c r="A87" s="58" t="s">
        <v>172</v>
      </c>
      <c r="B87" s="58" t="s">
        <v>68</v>
      </c>
      <c r="F87" s="58" t="s">
        <v>309</v>
      </c>
      <c r="G87" s="139">
        <v>133.73259999999999</v>
      </c>
      <c r="H87" s="53">
        <v>49213.596799999999</v>
      </c>
      <c r="I87" s="53">
        <v>32161.104251544624</v>
      </c>
      <c r="J87" s="53">
        <v>10332.358819729894</v>
      </c>
      <c r="K87" s="53">
        <v>3.6290536686085093</v>
      </c>
      <c r="L87" s="53">
        <v>3.6290536686085093</v>
      </c>
      <c r="M87" s="53">
        <v>3.6290536686085093</v>
      </c>
      <c r="N87" s="53">
        <v>3.6290536686085093</v>
      </c>
      <c r="P87" s="558"/>
      <c r="Q87" s="417" t="s">
        <v>941</v>
      </c>
    </row>
    <row r="88" spans="1:17" s="58" customFormat="1" ht="4.1500000000000004" customHeight="1" outlineLevel="3" x14ac:dyDescent="0.2"/>
    <row r="89" spans="1:17" s="58" customFormat="1" outlineLevel="2" x14ac:dyDescent="0.2">
      <c r="F89" s="85" t="s">
        <v>1273</v>
      </c>
      <c r="G89" s="85"/>
      <c r="H89" s="140">
        <v>2043663.8908540118</v>
      </c>
      <c r="I89" s="140">
        <v>2614418.0888724513</v>
      </c>
      <c r="J89" s="140">
        <v>1237238.5617086254</v>
      </c>
      <c r="K89" s="140">
        <v>434.55760873681885</v>
      </c>
      <c r="L89" s="140">
        <v>11.982267785561538</v>
      </c>
      <c r="M89" s="140">
        <v>11.982267785561538</v>
      </c>
      <c r="N89" s="140">
        <v>11.982267785561538</v>
      </c>
    </row>
    <row r="90" spans="1:17" s="58" customFormat="1" outlineLevel="2" x14ac:dyDescent="0.2"/>
    <row r="91" spans="1:17" s="58" customFormat="1" outlineLevel="2" x14ac:dyDescent="0.2">
      <c r="F91" s="65" t="s">
        <v>173</v>
      </c>
    </row>
    <row r="92" spans="1:17" s="58" customFormat="1" ht="4.1500000000000004" customHeight="1" outlineLevel="3" x14ac:dyDescent="0.2"/>
    <row r="93" spans="1:17" s="58" customFormat="1" outlineLevel="3" x14ac:dyDescent="0.2">
      <c r="A93" s="58" t="s">
        <v>173</v>
      </c>
      <c r="F93" s="58" t="s">
        <v>296</v>
      </c>
      <c r="G93" s="558"/>
      <c r="H93" s="128">
        <v>59310</v>
      </c>
      <c r="I93" s="128">
        <v>39561.581815472076</v>
      </c>
      <c r="J93" s="128">
        <v>13768.0639170139</v>
      </c>
      <c r="K93" s="128">
        <v>1</v>
      </c>
      <c r="L93" s="128">
        <v>1</v>
      </c>
      <c r="M93" s="128">
        <v>1</v>
      </c>
      <c r="N93" s="128">
        <v>1</v>
      </c>
    </row>
    <row r="94" spans="1:17" s="58" customFormat="1" outlineLevel="3" x14ac:dyDescent="0.2">
      <c r="A94" s="58" t="s">
        <v>173</v>
      </c>
      <c r="F94" s="58" t="s">
        <v>247</v>
      </c>
      <c r="G94" s="127">
        <v>0.63138060615093095</v>
      </c>
      <c r="H94" s="128">
        <v>-18941.418184527927</v>
      </c>
      <c r="I94" s="128">
        <v>-25255.224246037236</v>
      </c>
      <c r="J94" s="128">
        <v>-13580.729107015077</v>
      </c>
      <c r="K94" s="128">
        <v>-0.98639352554375315</v>
      </c>
      <c r="L94" s="128">
        <v>0</v>
      </c>
      <c r="M94" s="128">
        <v>0</v>
      </c>
      <c r="N94" s="128">
        <v>0</v>
      </c>
      <c r="P94" s="7"/>
      <c r="Q94" s="417" t="s">
        <v>297</v>
      </c>
    </row>
    <row r="95" spans="1:17" s="58" customFormat="1" outlineLevel="3" x14ac:dyDescent="0.2">
      <c r="A95" s="58" t="s">
        <v>173</v>
      </c>
      <c r="F95" s="58" t="s">
        <v>294</v>
      </c>
      <c r="G95" s="127">
        <v>1.3606474456246839E-2</v>
      </c>
      <c r="H95" s="128">
        <v>-807</v>
      </c>
      <c r="I95" s="128">
        <v>-538.29365242094025</v>
      </c>
      <c r="J95" s="128">
        <v>-187.33480999882343</v>
      </c>
      <c r="K95" s="128">
        <v>-1.3606474456246839E-2</v>
      </c>
      <c r="L95" s="128">
        <v>-1.3606474456246839E-2</v>
      </c>
      <c r="M95" s="128">
        <v>-1.3606474456246839E-2</v>
      </c>
      <c r="N95" s="128">
        <v>-1.3606474456246839E-2</v>
      </c>
      <c r="P95" s="7"/>
      <c r="Q95" s="417" t="s">
        <v>298</v>
      </c>
    </row>
    <row r="96" spans="1:17" s="58" customFormat="1" ht="4.1500000000000004" customHeight="1" outlineLevel="3" x14ac:dyDescent="0.2">
      <c r="G96" s="127"/>
      <c r="H96" s="128"/>
      <c r="I96" s="128"/>
      <c r="J96" s="128"/>
      <c r="K96" s="128"/>
      <c r="L96" s="128"/>
      <c r="Q96" s="558"/>
    </row>
    <row r="97" spans="1:17" s="58" customFormat="1" outlineLevel="3" x14ac:dyDescent="0.2">
      <c r="A97" s="58" t="s">
        <v>173</v>
      </c>
      <c r="B97" s="58" t="s">
        <v>443</v>
      </c>
      <c r="F97" s="85" t="s">
        <v>295</v>
      </c>
      <c r="G97" s="85"/>
      <c r="H97" s="101">
        <v>39561.581815472076</v>
      </c>
      <c r="I97" s="101">
        <v>13768.0639170139</v>
      </c>
      <c r="J97" s="101">
        <v>1</v>
      </c>
      <c r="K97" s="101">
        <v>1</v>
      </c>
      <c r="L97" s="101">
        <v>1</v>
      </c>
      <c r="M97" s="101">
        <v>1</v>
      </c>
      <c r="N97" s="101">
        <v>1</v>
      </c>
      <c r="Q97" s="558"/>
    </row>
    <row r="98" spans="1:17" outlineLevel="3" x14ac:dyDescent="0.2">
      <c r="F98" s="58"/>
      <c r="G98" s="6" t="s">
        <v>991</v>
      </c>
      <c r="H98" s="558"/>
      <c r="I98" s="558"/>
      <c r="J98" s="558"/>
      <c r="K98" s="558"/>
      <c r="L98" s="558"/>
      <c r="M98" s="558"/>
      <c r="N98" s="558"/>
      <c r="Q98" s="558"/>
    </row>
    <row r="99" spans="1:17" s="58" customFormat="1" ht="4.1500000000000004" customHeight="1" outlineLevel="3" x14ac:dyDescent="0.2">
      <c r="G99" s="558"/>
      <c r="H99" s="558"/>
      <c r="I99" s="558"/>
      <c r="J99" s="558"/>
      <c r="K99" s="558"/>
      <c r="L99" s="558"/>
      <c r="M99" s="558"/>
      <c r="N99" s="558"/>
      <c r="Q99" s="558"/>
    </row>
    <row r="100" spans="1:17" s="58" customFormat="1" outlineLevel="3" x14ac:dyDescent="0.2">
      <c r="A100" s="58" t="s">
        <v>173</v>
      </c>
      <c r="B100" s="58" t="s">
        <v>69</v>
      </c>
      <c r="F100" s="58" t="s">
        <v>196</v>
      </c>
      <c r="G100" s="783"/>
      <c r="H100" s="775"/>
      <c r="I100" s="775"/>
      <c r="J100" s="775"/>
      <c r="K100" s="775"/>
      <c r="L100" s="775"/>
      <c r="M100" s="775"/>
      <c r="N100" s="775"/>
      <c r="Q100" s="558"/>
    </row>
    <row r="101" spans="1:17" s="558" customFormat="1" outlineLevel="3" x14ac:dyDescent="0.2">
      <c r="A101" s="558" t="s">
        <v>173</v>
      </c>
      <c r="B101" s="558" t="s">
        <v>69</v>
      </c>
      <c r="F101" s="558" t="s">
        <v>1243</v>
      </c>
      <c r="G101" s="783"/>
      <c r="H101" s="775"/>
      <c r="I101" s="775"/>
      <c r="J101" s="775"/>
      <c r="K101" s="775"/>
      <c r="L101" s="775"/>
      <c r="M101" s="775"/>
      <c r="N101" s="775"/>
    </row>
    <row r="102" spans="1:17" s="58" customFormat="1" outlineLevel="3" x14ac:dyDescent="0.2">
      <c r="A102" s="58" t="s">
        <v>173</v>
      </c>
      <c r="B102" s="58" t="s">
        <v>69</v>
      </c>
      <c r="F102" s="58" t="s">
        <v>310</v>
      </c>
      <c r="G102" s="139">
        <v>126.542</v>
      </c>
      <c r="H102" s="53">
        <v>2396884.9399065329</v>
      </c>
      <c r="I102" s="53">
        <v>3195846.5865420438</v>
      </c>
      <c r="J102" s="53">
        <v>1718532.6226599019</v>
      </c>
      <c r="K102" s="53">
        <v>124.82020950935761</v>
      </c>
      <c r="L102" s="53">
        <v>0</v>
      </c>
      <c r="M102" s="53">
        <v>0</v>
      </c>
      <c r="N102" s="53">
        <v>0</v>
      </c>
      <c r="Q102" s="417" t="s">
        <v>941</v>
      </c>
    </row>
    <row r="103" spans="1:17" s="58" customFormat="1" outlineLevel="3" x14ac:dyDescent="0.2">
      <c r="A103" s="58" t="s">
        <v>173</v>
      </c>
      <c r="B103" s="58" t="s">
        <v>68</v>
      </c>
      <c r="F103" s="58" t="s">
        <v>309</v>
      </c>
      <c r="G103" s="139">
        <v>133.73259999999999</v>
      </c>
      <c r="H103" s="53">
        <v>107922.20819999999</v>
      </c>
      <c r="I103" s="53">
        <v>71987.409701748635</v>
      </c>
      <c r="J103" s="53">
        <v>25052.771211648651</v>
      </c>
      <c r="K103" s="53">
        <v>1.8196292058674759</v>
      </c>
      <c r="L103" s="53">
        <v>1.8196292058674759</v>
      </c>
      <c r="M103" s="53">
        <v>1.8196292058674759</v>
      </c>
      <c r="N103" s="53">
        <v>1.8196292058674759</v>
      </c>
      <c r="Q103" s="417" t="s">
        <v>941</v>
      </c>
    </row>
    <row r="104" spans="1:17" s="58" customFormat="1" ht="4.1500000000000004" customHeight="1" outlineLevel="3" x14ac:dyDescent="0.2"/>
    <row r="105" spans="1:17" s="58" customFormat="1" outlineLevel="2" x14ac:dyDescent="0.2">
      <c r="F105" s="85" t="s">
        <v>1274</v>
      </c>
      <c r="G105" s="85"/>
      <c r="H105" s="140">
        <v>8583774.712908648</v>
      </c>
      <c r="I105" s="140">
        <v>11207607.05663578</v>
      </c>
      <c r="J105" s="140">
        <v>5981677.4374774499</v>
      </c>
      <c r="K105" s="140">
        <v>434.46031871522513</v>
      </c>
      <c r="L105" s="140">
        <v>6.0079807040971174</v>
      </c>
      <c r="M105" s="140">
        <v>6.0079807040971174</v>
      </c>
      <c r="N105" s="140">
        <v>6.0079807040971174</v>
      </c>
    </row>
    <row r="106" spans="1:17" s="58" customFormat="1" outlineLevel="2" x14ac:dyDescent="0.2"/>
    <row r="107" spans="1:17" s="58" customFormat="1" outlineLevel="2" x14ac:dyDescent="0.2">
      <c r="F107" s="65" t="s">
        <v>487</v>
      </c>
    </row>
    <row r="108" spans="1:17" s="58" customFormat="1" ht="4.1500000000000004" customHeight="1" outlineLevel="3" x14ac:dyDescent="0.2"/>
    <row r="109" spans="1:17" s="58" customFormat="1" outlineLevel="3" x14ac:dyDescent="0.2">
      <c r="A109" s="58" t="s">
        <v>487</v>
      </c>
      <c r="F109" s="58" t="s">
        <v>296</v>
      </c>
      <c r="G109" s="558"/>
      <c r="H109" s="128">
        <v>1335</v>
      </c>
      <c r="I109" s="128">
        <v>902.65042528503136</v>
      </c>
      <c r="J109" s="128">
        <v>330.12746982109564</v>
      </c>
      <c r="K109" s="128">
        <v>1</v>
      </c>
      <c r="L109" s="128">
        <v>1</v>
      </c>
      <c r="M109" s="128">
        <v>1</v>
      </c>
      <c r="N109" s="128">
        <v>1</v>
      </c>
    </row>
    <row r="110" spans="1:17" s="58" customFormat="1" outlineLevel="3" x14ac:dyDescent="0.2">
      <c r="A110" s="58" t="s">
        <v>487</v>
      </c>
      <c r="F110" s="58" t="s">
        <v>247</v>
      </c>
      <c r="G110" s="127">
        <v>1.4211652490498952E-2</v>
      </c>
      <c r="H110" s="128">
        <v>-426.34957471496858</v>
      </c>
      <c r="I110" s="128">
        <v>-568.46609961995807</v>
      </c>
      <c r="J110" s="128">
        <v>-328.64375085560755</v>
      </c>
      <c r="K110" s="128">
        <v>-0.99550561797752812</v>
      </c>
      <c r="L110" s="128">
        <v>0</v>
      </c>
      <c r="M110" s="128">
        <v>0</v>
      </c>
      <c r="N110" s="128">
        <v>0</v>
      </c>
      <c r="P110" s="7"/>
      <c r="Q110" s="417" t="s">
        <v>297</v>
      </c>
    </row>
    <row r="111" spans="1:17" s="58" customFormat="1" outlineLevel="3" x14ac:dyDescent="0.2">
      <c r="A111" s="58" t="s">
        <v>487</v>
      </c>
      <c r="F111" s="58" t="s">
        <v>294</v>
      </c>
      <c r="G111" s="127">
        <v>4.4943820224719105E-3</v>
      </c>
      <c r="H111" s="128">
        <v>-6.0000000000000009</v>
      </c>
      <c r="I111" s="128">
        <v>-4.0568558439776696</v>
      </c>
      <c r="J111" s="128">
        <v>-1.4837189654880705</v>
      </c>
      <c r="K111" s="128">
        <v>-4.4943820224719105E-3</v>
      </c>
      <c r="L111" s="128">
        <v>-4.4943820224719105E-3</v>
      </c>
      <c r="M111" s="128">
        <v>-4.4943820224719105E-3</v>
      </c>
      <c r="N111" s="128">
        <v>-4.4943820224719105E-3</v>
      </c>
      <c r="P111" s="7"/>
      <c r="Q111" s="417" t="s">
        <v>298</v>
      </c>
    </row>
    <row r="112" spans="1:17" s="58" customFormat="1" ht="4.1500000000000004" customHeight="1" outlineLevel="3" x14ac:dyDescent="0.2">
      <c r="G112" s="127"/>
      <c r="H112" s="128"/>
      <c r="I112" s="128"/>
      <c r="Q112" s="558"/>
    </row>
    <row r="113" spans="1:17" s="58" customFormat="1" outlineLevel="3" x14ac:dyDescent="0.2">
      <c r="A113" s="58" t="s">
        <v>487</v>
      </c>
      <c r="B113" s="58" t="s">
        <v>443</v>
      </c>
      <c r="F113" s="85" t="s">
        <v>295</v>
      </c>
      <c r="G113" s="85"/>
      <c r="H113" s="101">
        <v>902.65042528503136</v>
      </c>
      <c r="I113" s="101">
        <v>330.12746982109564</v>
      </c>
      <c r="J113" s="101">
        <v>1</v>
      </c>
      <c r="K113" s="101">
        <v>1</v>
      </c>
      <c r="L113" s="101">
        <v>1</v>
      </c>
      <c r="M113" s="101">
        <v>1</v>
      </c>
      <c r="N113" s="101">
        <v>1</v>
      </c>
      <c r="Q113" s="558"/>
    </row>
    <row r="114" spans="1:17" s="58" customFormat="1" outlineLevel="3" x14ac:dyDescent="0.2">
      <c r="G114" s="6" t="s">
        <v>991</v>
      </c>
      <c r="H114" s="558"/>
      <c r="I114" s="558"/>
      <c r="J114" s="558"/>
      <c r="K114" s="558"/>
      <c r="L114" s="558"/>
      <c r="M114" s="558"/>
      <c r="N114" s="558"/>
      <c r="Q114" s="558"/>
    </row>
    <row r="115" spans="1:17" s="58" customFormat="1" ht="4.1500000000000004" customHeight="1" outlineLevel="3" x14ac:dyDescent="0.2">
      <c r="G115" s="558"/>
      <c r="H115" s="558"/>
      <c r="I115" s="558"/>
      <c r="J115" s="558"/>
      <c r="K115" s="558"/>
      <c r="L115" s="558"/>
      <c r="M115" s="558"/>
      <c r="N115" s="558"/>
      <c r="Q115" s="558"/>
    </row>
    <row r="116" spans="1:17" s="58" customFormat="1" outlineLevel="3" x14ac:dyDescent="0.2">
      <c r="A116" s="58" t="s">
        <v>487</v>
      </c>
      <c r="B116" s="58" t="s">
        <v>69</v>
      </c>
      <c r="F116" s="58" t="s">
        <v>196</v>
      </c>
      <c r="G116" s="783"/>
      <c r="H116" s="775"/>
      <c r="I116" s="775"/>
      <c r="J116" s="775"/>
      <c r="K116" s="775"/>
      <c r="L116" s="775"/>
      <c r="M116" s="775"/>
      <c r="N116" s="775"/>
      <c r="Q116" s="558"/>
    </row>
    <row r="117" spans="1:17" s="558" customFormat="1" outlineLevel="3" x14ac:dyDescent="0.2">
      <c r="A117" s="558" t="s">
        <v>487</v>
      </c>
      <c r="B117" s="558" t="s">
        <v>69</v>
      </c>
      <c r="F117" s="558" t="s">
        <v>1243</v>
      </c>
      <c r="G117" s="783"/>
      <c r="H117" s="775"/>
      <c r="I117" s="775"/>
      <c r="J117" s="775"/>
      <c r="K117" s="775"/>
      <c r="L117" s="775"/>
      <c r="M117" s="775"/>
      <c r="N117" s="775"/>
    </row>
    <row r="118" spans="1:17" s="58" customFormat="1" outlineLevel="3" x14ac:dyDescent="0.2">
      <c r="A118" s="58" t="s">
        <v>487</v>
      </c>
      <c r="B118" s="58" t="s">
        <v>69</v>
      </c>
      <c r="F118" s="58" t="s">
        <v>310</v>
      </c>
      <c r="G118" s="139">
        <v>126.542</v>
      </c>
      <c r="H118" s="53">
        <v>53951.127883581554</v>
      </c>
      <c r="I118" s="53">
        <v>71934.837178108733</v>
      </c>
      <c r="J118" s="53">
        <v>41587.237520770293</v>
      </c>
      <c r="K118" s="53">
        <v>125.97327191011236</v>
      </c>
      <c r="L118" s="53">
        <v>0</v>
      </c>
      <c r="M118" s="53">
        <v>0</v>
      </c>
      <c r="N118" s="53">
        <v>0</v>
      </c>
      <c r="Q118" s="417" t="s">
        <v>941</v>
      </c>
    </row>
    <row r="119" spans="1:17" s="58" customFormat="1" outlineLevel="3" x14ac:dyDescent="0.2">
      <c r="A119" s="58" t="s">
        <v>487</v>
      </c>
      <c r="B119" s="58" t="s">
        <v>68</v>
      </c>
      <c r="F119" s="58" t="s">
        <v>309</v>
      </c>
      <c r="G119" s="139">
        <v>133.73259999999999</v>
      </c>
      <c r="H119" s="53">
        <v>802.39560000000006</v>
      </c>
      <c r="I119" s="53">
        <v>542.53387984032804</v>
      </c>
      <c r="J119" s="53">
        <v>198.42159492402993</v>
      </c>
      <c r="K119" s="53">
        <v>0.60104539325842699</v>
      </c>
      <c r="L119" s="53">
        <v>0.60104539325842699</v>
      </c>
      <c r="M119" s="53">
        <v>0.60104539325842699</v>
      </c>
      <c r="N119" s="53">
        <v>0.60104539325842699</v>
      </c>
      <c r="Q119" s="417" t="s">
        <v>941</v>
      </c>
    </row>
    <row r="120" spans="1:17" s="58" customFormat="1" ht="4.1500000000000004" customHeight="1" outlineLevel="3" x14ac:dyDescent="0.2"/>
    <row r="121" spans="1:17" s="58" customFormat="1" outlineLevel="2" x14ac:dyDescent="0.2">
      <c r="F121" s="85" t="s">
        <v>1275</v>
      </c>
      <c r="G121" s="85"/>
      <c r="H121" s="140">
        <v>720183.79156636912</v>
      </c>
      <c r="I121" s="140">
        <v>953648.82586758584</v>
      </c>
      <c r="J121" s="140">
        <v>549885.64022327028</v>
      </c>
      <c r="K121" s="140">
        <v>1665.6767173033709</v>
      </c>
      <c r="L121" s="140">
        <v>7.5183595505617991</v>
      </c>
      <c r="M121" s="140">
        <v>7.5183595505617991</v>
      </c>
      <c r="N121" s="140">
        <v>7.5183595505617991</v>
      </c>
    </row>
    <row r="122" spans="1:17" s="58" customFormat="1" outlineLevel="2" x14ac:dyDescent="0.2"/>
    <row r="123" spans="1:17" s="58" customFormat="1" outlineLevel="2" x14ac:dyDescent="0.2">
      <c r="F123" s="65" t="s">
        <v>488</v>
      </c>
    </row>
    <row r="124" spans="1:17" s="58" customFormat="1" ht="4.1500000000000004" customHeight="1" outlineLevel="3" x14ac:dyDescent="0.2"/>
    <row r="125" spans="1:17" s="58" customFormat="1" outlineLevel="3" x14ac:dyDescent="0.2">
      <c r="A125" s="58" t="s">
        <v>488</v>
      </c>
      <c r="F125" s="58" t="s">
        <v>296</v>
      </c>
      <c r="G125" s="558"/>
      <c r="H125" s="128">
        <v>347</v>
      </c>
      <c r="I125" s="128">
        <v>236.18104687183964</v>
      </c>
      <c r="J125" s="128">
        <v>88.422442700959152</v>
      </c>
      <c r="K125" s="128">
        <v>1</v>
      </c>
      <c r="L125" s="128">
        <v>1</v>
      </c>
      <c r="M125" s="128">
        <v>1</v>
      </c>
      <c r="N125" s="128">
        <v>1</v>
      </c>
    </row>
    <row r="126" spans="1:17" s="58" customFormat="1" outlineLevel="3" x14ac:dyDescent="0.2">
      <c r="A126" s="58" t="s">
        <v>488</v>
      </c>
      <c r="F126" s="58" t="s">
        <v>247</v>
      </c>
      <c r="G126" s="127">
        <v>3.693965104272012E-3</v>
      </c>
      <c r="H126" s="128">
        <v>-110.81895312816036</v>
      </c>
      <c r="I126" s="128">
        <v>-147.75860417088049</v>
      </c>
      <c r="J126" s="128">
        <v>-88.422442700959152</v>
      </c>
      <c r="K126" s="128">
        <v>-1</v>
      </c>
      <c r="L126" s="128">
        <v>0</v>
      </c>
      <c r="M126" s="128">
        <v>0</v>
      </c>
      <c r="N126" s="128">
        <v>0</v>
      </c>
      <c r="P126" s="7"/>
      <c r="Q126" s="417" t="s">
        <v>297</v>
      </c>
    </row>
    <row r="127" spans="1:17" s="58" customFormat="1" outlineLevel="3" x14ac:dyDescent="0.2">
      <c r="A127" s="58" t="s">
        <v>488</v>
      </c>
      <c r="F127" s="58" t="s">
        <v>294</v>
      </c>
      <c r="G127" s="127">
        <v>0</v>
      </c>
      <c r="H127" s="128">
        <v>0</v>
      </c>
      <c r="I127" s="128">
        <v>0</v>
      </c>
      <c r="J127" s="128">
        <v>0</v>
      </c>
      <c r="K127" s="128">
        <v>0</v>
      </c>
      <c r="L127" s="128">
        <v>0</v>
      </c>
      <c r="M127" s="128">
        <v>0</v>
      </c>
      <c r="N127" s="128">
        <v>0</v>
      </c>
      <c r="P127" s="7"/>
      <c r="Q127" s="417" t="s">
        <v>298</v>
      </c>
    </row>
    <row r="128" spans="1:17" s="58" customFormat="1" ht="4.1500000000000004" customHeight="1" outlineLevel="3" x14ac:dyDescent="0.2">
      <c r="G128" s="127"/>
      <c r="H128" s="128"/>
      <c r="I128" s="128"/>
      <c r="Q128" s="558"/>
    </row>
    <row r="129" spans="1:17" s="58" customFormat="1" outlineLevel="3" x14ac:dyDescent="0.2">
      <c r="A129" s="58" t="s">
        <v>488</v>
      </c>
      <c r="B129" s="58" t="s">
        <v>443</v>
      </c>
      <c r="F129" s="85" t="s">
        <v>295</v>
      </c>
      <c r="G129" s="85"/>
      <c r="H129" s="101">
        <v>236.18104687183964</v>
      </c>
      <c r="I129" s="101">
        <v>88.422442700959152</v>
      </c>
      <c r="J129" s="101">
        <v>1</v>
      </c>
      <c r="K129" s="101">
        <v>1</v>
      </c>
      <c r="L129" s="101">
        <v>1</v>
      </c>
      <c r="M129" s="101">
        <v>1</v>
      </c>
      <c r="N129" s="101">
        <v>1</v>
      </c>
      <c r="Q129" s="558"/>
    </row>
    <row r="130" spans="1:17" s="58" customFormat="1" outlineLevel="3" x14ac:dyDescent="0.2">
      <c r="G130" s="6" t="s">
        <v>991</v>
      </c>
      <c r="H130" s="558"/>
      <c r="I130" s="558"/>
      <c r="J130" s="558"/>
      <c r="K130" s="558"/>
      <c r="L130" s="558"/>
      <c r="M130" s="558"/>
      <c r="N130" s="558"/>
      <c r="Q130" s="558"/>
    </row>
    <row r="131" spans="1:17" s="58" customFormat="1" ht="4.1500000000000004" customHeight="1" outlineLevel="3" x14ac:dyDescent="0.2">
      <c r="G131" s="558"/>
      <c r="H131" s="558"/>
      <c r="I131" s="558"/>
      <c r="J131" s="558"/>
      <c r="K131" s="558"/>
      <c r="L131" s="558"/>
      <c r="M131" s="558"/>
      <c r="N131" s="558"/>
      <c r="Q131" s="558"/>
    </row>
    <row r="132" spans="1:17" s="58" customFormat="1" outlineLevel="3" x14ac:dyDescent="0.2">
      <c r="A132" s="58" t="s">
        <v>488</v>
      </c>
      <c r="B132" s="58" t="s">
        <v>69</v>
      </c>
      <c r="F132" s="58" t="s">
        <v>196</v>
      </c>
      <c r="G132" s="783"/>
      <c r="H132" s="775"/>
      <c r="I132" s="775"/>
      <c r="J132" s="775"/>
      <c r="K132" s="775"/>
      <c r="L132" s="775"/>
      <c r="M132" s="775"/>
      <c r="N132" s="775"/>
      <c r="Q132" s="558"/>
    </row>
    <row r="133" spans="1:17" s="558" customFormat="1" outlineLevel="3" x14ac:dyDescent="0.2">
      <c r="A133" s="558" t="s">
        <v>488</v>
      </c>
      <c r="B133" s="558" t="s">
        <v>69</v>
      </c>
      <c r="F133" s="558" t="s">
        <v>1243</v>
      </c>
      <c r="G133" s="783"/>
      <c r="H133" s="775"/>
      <c r="I133" s="775"/>
      <c r="J133" s="775"/>
      <c r="K133" s="775"/>
      <c r="L133" s="775"/>
      <c r="M133" s="775"/>
      <c r="N133" s="775"/>
    </row>
    <row r="134" spans="1:17" s="58" customFormat="1" outlineLevel="3" x14ac:dyDescent="0.2">
      <c r="A134" s="58" t="s">
        <v>488</v>
      </c>
      <c r="B134" s="58" t="s">
        <v>69</v>
      </c>
      <c r="F134" s="58" t="s">
        <v>310</v>
      </c>
      <c r="G134" s="139">
        <v>126.542</v>
      </c>
      <c r="H134" s="53">
        <v>14023.251966743668</v>
      </c>
      <c r="I134" s="53">
        <v>18697.669288991558</v>
      </c>
      <c r="J134" s="53">
        <v>11189.152744264773</v>
      </c>
      <c r="K134" s="53">
        <v>126.542</v>
      </c>
      <c r="L134" s="53">
        <v>0</v>
      </c>
      <c r="M134" s="53">
        <v>0</v>
      </c>
      <c r="N134" s="53">
        <v>0</v>
      </c>
      <c r="Q134" s="417" t="s">
        <v>941</v>
      </c>
    </row>
    <row r="135" spans="1:17" s="58" customFormat="1" outlineLevel="3" x14ac:dyDescent="0.2">
      <c r="A135" s="58" t="s">
        <v>488</v>
      </c>
      <c r="B135" s="58" t="s">
        <v>68</v>
      </c>
      <c r="F135" s="58" t="s">
        <v>309</v>
      </c>
      <c r="G135" s="139">
        <v>133.73259999999999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Q135" s="417" t="s">
        <v>941</v>
      </c>
    </row>
    <row r="136" spans="1:17" s="58" customFormat="1" ht="4.1500000000000004" customHeight="1" outlineLevel="3" x14ac:dyDescent="0.2"/>
    <row r="137" spans="1:17" s="58" customFormat="1" outlineLevel="2" x14ac:dyDescent="0.2">
      <c r="F137" s="85" t="s">
        <v>1276</v>
      </c>
      <c r="G137" s="85"/>
      <c r="H137" s="140">
        <v>48135.595311751502</v>
      </c>
      <c r="I137" s="140">
        <v>64180.793749001998</v>
      </c>
      <c r="J137" s="140">
        <v>38407.391499246522</v>
      </c>
      <c r="K137" s="140">
        <v>434.36248000000001</v>
      </c>
      <c r="L137" s="140">
        <v>0</v>
      </c>
      <c r="M137" s="140">
        <v>0</v>
      </c>
      <c r="N137" s="140">
        <v>0</v>
      </c>
    </row>
    <row r="138" spans="1:17" s="58" customFormat="1" outlineLevel="2" x14ac:dyDescent="0.2"/>
    <row r="139" spans="1:17" s="58" customFormat="1" outlineLevel="2" x14ac:dyDescent="0.2">
      <c r="F139" s="65" t="s">
        <v>179</v>
      </c>
    </row>
    <row r="140" spans="1:17" s="58" customFormat="1" ht="4.1500000000000004" customHeight="1" outlineLevel="3" x14ac:dyDescent="0.2"/>
    <row r="141" spans="1:17" s="58" customFormat="1" outlineLevel="3" x14ac:dyDescent="0.2">
      <c r="A141" s="58" t="s">
        <v>179</v>
      </c>
      <c r="F141" s="58" t="s">
        <v>296</v>
      </c>
      <c r="G141" s="558"/>
      <c r="H141" s="128">
        <v>8524</v>
      </c>
      <c r="I141" s="128">
        <v>5697.7499813704926</v>
      </c>
      <c r="J141" s="128">
        <v>1998.5659273512813</v>
      </c>
      <c r="K141" s="128">
        <v>1</v>
      </c>
      <c r="L141" s="128">
        <v>1</v>
      </c>
      <c r="M141" s="128">
        <v>1</v>
      </c>
      <c r="N141" s="128">
        <v>1</v>
      </c>
    </row>
    <row r="142" spans="1:17" s="58" customFormat="1" outlineLevel="3" x14ac:dyDescent="0.2">
      <c r="A142" s="58" t="s">
        <v>179</v>
      </c>
      <c r="F142" s="58" t="s">
        <v>247</v>
      </c>
      <c r="G142" s="127">
        <v>9.0741667287650235E-2</v>
      </c>
      <c r="H142" s="128">
        <v>-2722.2500186295069</v>
      </c>
      <c r="I142" s="128">
        <v>-3629.6666915060096</v>
      </c>
      <c r="J142" s="128">
        <v>-1974.1817349011953</v>
      </c>
      <c r="K142" s="128">
        <v>-0.98779915532613793</v>
      </c>
      <c r="L142" s="128">
        <v>0</v>
      </c>
      <c r="M142" s="128">
        <v>0</v>
      </c>
      <c r="N142" s="128">
        <v>0</v>
      </c>
      <c r="P142" s="7"/>
      <c r="Q142" s="417" t="s">
        <v>297</v>
      </c>
    </row>
    <row r="143" spans="1:17" s="58" customFormat="1" outlineLevel="3" x14ac:dyDescent="0.2">
      <c r="A143" s="58" t="s">
        <v>179</v>
      </c>
      <c r="F143" s="58" t="s">
        <v>294</v>
      </c>
      <c r="G143" s="127">
        <v>1.2200844673862036E-2</v>
      </c>
      <c r="H143" s="128">
        <v>-104</v>
      </c>
      <c r="I143" s="128">
        <v>-69.517362513201689</v>
      </c>
      <c r="J143" s="128">
        <v>-24.384192450086022</v>
      </c>
      <c r="K143" s="128">
        <v>-1.2200844673862036E-2</v>
      </c>
      <c r="L143" s="128">
        <v>-1.2200844673862036E-2</v>
      </c>
      <c r="M143" s="128">
        <v>-1.2200844673862036E-2</v>
      </c>
      <c r="N143" s="128">
        <v>-1.2200844673862036E-2</v>
      </c>
      <c r="P143" s="7"/>
      <c r="Q143" s="417" t="s">
        <v>298</v>
      </c>
    </row>
    <row r="144" spans="1:17" s="58" customFormat="1" ht="4.1500000000000004" customHeight="1" outlineLevel="3" x14ac:dyDescent="0.2">
      <c r="G144" s="127"/>
      <c r="H144" s="128"/>
      <c r="I144" s="128"/>
      <c r="Q144" s="558"/>
    </row>
    <row r="145" spans="1:17" s="58" customFormat="1" outlineLevel="3" x14ac:dyDescent="0.2">
      <c r="A145" s="58" t="s">
        <v>179</v>
      </c>
      <c r="B145" s="58" t="s">
        <v>443</v>
      </c>
      <c r="F145" s="85" t="s">
        <v>295</v>
      </c>
      <c r="G145" s="85"/>
      <c r="H145" s="101">
        <v>5697.7499813704926</v>
      </c>
      <c r="I145" s="101">
        <v>1998.5659273512813</v>
      </c>
      <c r="J145" s="101">
        <v>1</v>
      </c>
      <c r="K145" s="101">
        <v>1</v>
      </c>
      <c r="L145" s="101">
        <v>1</v>
      </c>
      <c r="M145" s="101">
        <v>1</v>
      </c>
      <c r="N145" s="101">
        <v>1</v>
      </c>
      <c r="Q145" s="558"/>
    </row>
    <row r="146" spans="1:17" outlineLevel="3" x14ac:dyDescent="0.2">
      <c r="F146" s="58"/>
      <c r="G146" s="6" t="s">
        <v>991</v>
      </c>
      <c r="H146" s="558"/>
      <c r="I146" s="558"/>
      <c r="J146" s="558"/>
      <c r="K146" s="558"/>
      <c r="L146" s="558"/>
      <c r="M146" s="558"/>
      <c r="N146" s="558"/>
      <c r="Q146" s="558"/>
    </row>
    <row r="147" spans="1:17" s="58" customFormat="1" ht="4.1500000000000004" customHeight="1" outlineLevel="3" x14ac:dyDescent="0.2">
      <c r="G147" s="558"/>
      <c r="H147" s="558"/>
      <c r="I147" s="558"/>
      <c r="J147" s="558"/>
      <c r="K147" s="558"/>
      <c r="L147" s="558"/>
      <c r="M147" s="558"/>
      <c r="N147" s="558"/>
      <c r="Q147" s="558"/>
    </row>
    <row r="148" spans="1:17" s="58" customFormat="1" outlineLevel="3" x14ac:dyDescent="0.2">
      <c r="A148" s="58" t="s">
        <v>179</v>
      </c>
      <c r="B148" s="58" t="s">
        <v>69</v>
      </c>
      <c r="F148" s="58" t="s">
        <v>196</v>
      </c>
      <c r="G148" s="783"/>
      <c r="H148" s="775"/>
      <c r="I148" s="775"/>
      <c r="J148" s="775"/>
      <c r="K148" s="775"/>
      <c r="L148" s="775"/>
      <c r="M148" s="775"/>
      <c r="N148" s="775"/>
      <c r="Q148" s="558"/>
    </row>
    <row r="149" spans="1:17" s="558" customFormat="1" outlineLevel="3" x14ac:dyDescent="0.2">
      <c r="A149" s="558" t="s">
        <v>179</v>
      </c>
      <c r="B149" s="558" t="s">
        <v>69</v>
      </c>
      <c r="F149" s="558" t="s">
        <v>1243</v>
      </c>
      <c r="G149" s="783"/>
      <c r="H149" s="775"/>
      <c r="I149" s="775"/>
      <c r="J149" s="775"/>
      <c r="K149" s="775"/>
      <c r="L149" s="775"/>
      <c r="M149" s="775"/>
      <c r="N149" s="775"/>
    </row>
    <row r="150" spans="1:17" s="58" customFormat="1" outlineLevel="3" x14ac:dyDescent="0.2">
      <c r="A150" s="58" t="s">
        <v>179</v>
      </c>
      <c r="B150" s="58" t="s">
        <v>69</v>
      </c>
      <c r="F150" s="58" t="s">
        <v>310</v>
      </c>
      <c r="G150" s="139">
        <v>126.542</v>
      </c>
      <c r="H150" s="53">
        <v>344478.9618574151</v>
      </c>
      <c r="I150" s="53">
        <v>459305.28247655346</v>
      </c>
      <c r="J150" s="53">
        <v>249816.90509786707</v>
      </c>
      <c r="K150" s="53">
        <v>124.99808071328015</v>
      </c>
      <c r="L150" s="53">
        <v>0</v>
      </c>
      <c r="M150" s="53">
        <v>0</v>
      </c>
      <c r="N150" s="53">
        <v>0</v>
      </c>
      <c r="Q150" s="417" t="s">
        <v>941</v>
      </c>
    </row>
    <row r="151" spans="1:17" s="58" customFormat="1" outlineLevel="3" x14ac:dyDescent="0.2">
      <c r="A151" s="58" t="s">
        <v>179</v>
      </c>
      <c r="B151" s="58" t="s">
        <v>68</v>
      </c>
      <c r="F151" s="58" t="s">
        <v>309</v>
      </c>
      <c r="G151" s="139">
        <v>133.73259999999999</v>
      </c>
      <c r="H151" s="53">
        <v>13908.190399999999</v>
      </c>
      <c r="I151" s="53">
        <v>9296.7376340329956</v>
      </c>
      <c r="J151" s="53">
        <v>3260.9614552503735</v>
      </c>
      <c r="K151" s="53">
        <v>1.6316506804317221</v>
      </c>
      <c r="L151" s="53">
        <v>1.6316506804317221</v>
      </c>
      <c r="M151" s="53">
        <v>1.6316506804317221</v>
      </c>
      <c r="N151" s="53">
        <v>1.6316506804317221</v>
      </c>
      <c r="Q151" s="417" t="s">
        <v>941</v>
      </c>
    </row>
    <row r="152" spans="1:17" s="58" customFormat="1" ht="4.1500000000000004" customHeight="1" outlineLevel="3" x14ac:dyDescent="0.2"/>
    <row r="153" spans="1:17" s="58" customFormat="1" outlineLevel="2" x14ac:dyDescent="0.2">
      <c r="F153" s="85" t="s">
        <v>1277</v>
      </c>
      <c r="G153" s="85"/>
      <c r="H153" s="140">
        <v>1228364.789591959</v>
      </c>
      <c r="I153" s="140">
        <v>1607286.6312271261</v>
      </c>
      <c r="J153" s="140">
        <v>868277.38962203404</v>
      </c>
      <c r="K153" s="140">
        <v>434.45021139371192</v>
      </c>
      <c r="L153" s="140">
        <v>5.3873205443453784</v>
      </c>
      <c r="M153" s="140">
        <v>5.3873205443453784</v>
      </c>
      <c r="N153" s="140">
        <v>5.3873205443453784</v>
      </c>
    </row>
    <row r="154" spans="1:17" s="58" customFormat="1" outlineLevel="2" x14ac:dyDescent="0.2"/>
    <row r="155" spans="1:17" s="58" customFormat="1" outlineLevel="2" x14ac:dyDescent="0.2">
      <c r="F155" s="65" t="s">
        <v>165</v>
      </c>
    </row>
    <row r="156" spans="1:17" s="58" customFormat="1" ht="4.1500000000000004" customHeight="1" outlineLevel="3" x14ac:dyDescent="0.2"/>
    <row r="157" spans="1:17" s="58" customFormat="1" outlineLevel="3" x14ac:dyDescent="0.2">
      <c r="A157" s="58" t="s">
        <v>165</v>
      </c>
      <c r="F157" s="58" t="s">
        <v>296</v>
      </c>
      <c r="G157" s="558"/>
      <c r="H157" s="128">
        <v>10860</v>
      </c>
      <c r="I157" s="128">
        <v>5318.7180663636263</v>
      </c>
      <c r="J157" s="128">
        <v>1</v>
      </c>
      <c r="K157" s="128">
        <v>1</v>
      </c>
      <c r="L157" s="128">
        <v>1</v>
      </c>
      <c r="M157" s="128">
        <v>1</v>
      </c>
      <c r="N157" s="128">
        <v>1</v>
      </c>
    </row>
    <row r="158" spans="1:17" s="58" customFormat="1" outlineLevel="3" x14ac:dyDescent="0.2">
      <c r="A158" s="58" t="s">
        <v>165</v>
      </c>
      <c r="F158" s="58" t="s">
        <v>247</v>
      </c>
      <c r="G158" s="127">
        <v>0.11560939778787911</v>
      </c>
      <c r="H158" s="128">
        <v>-3468.2819336363732</v>
      </c>
      <c r="I158" s="128">
        <v>-4303.4600045246025</v>
      </c>
      <c r="J158" s="128">
        <v>-0.80911602209944755</v>
      </c>
      <c r="K158" s="128">
        <v>-0.80911602209944755</v>
      </c>
      <c r="L158" s="128">
        <v>0</v>
      </c>
      <c r="M158" s="128">
        <v>0</v>
      </c>
      <c r="N158" s="128">
        <v>0</v>
      </c>
      <c r="P158" s="7"/>
      <c r="Q158" s="417" t="s">
        <v>297</v>
      </c>
    </row>
    <row r="159" spans="1:17" s="58" customFormat="1" outlineLevel="3" x14ac:dyDescent="0.2">
      <c r="A159" s="58" t="s">
        <v>165</v>
      </c>
      <c r="F159" s="58" t="s">
        <v>294</v>
      </c>
      <c r="G159" s="127">
        <v>0.19088397790055248</v>
      </c>
      <c r="H159" s="128">
        <v>-2073</v>
      </c>
      <c r="I159" s="128">
        <v>-1015.2580618390236</v>
      </c>
      <c r="J159" s="128">
        <v>-0.19088397790055248</v>
      </c>
      <c r="K159" s="128">
        <v>-0.19088397790055248</v>
      </c>
      <c r="L159" s="128">
        <v>-0.19088397790055248</v>
      </c>
      <c r="M159" s="128">
        <v>-0.19088397790055248</v>
      </c>
      <c r="N159" s="128">
        <v>-0.19088397790055248</v>
      </c>
      <c r="P159" s="7"/>
      <c r="Q159" s="417" t="s">
        <v>298</v>
      </c>
    </row>
    <row r="160" spans="1:17" s="58" customFormat="1" ht="4.1500000000000004" customHeight="1" outlineLevel="3" x14ac:dyDescent="0.2">
      <c r="G160" s="127"/>
      <c r="H160" s="128"/>
      <c r="I160" s="128"/>
      <c r="Q160" s="558"/>
    </row>
    <row r="161" spans="1:17" s="58" customFormat="1" outlineLevel="3" x14ac:dyDescent="0.2">
      <c r="A161" s="58" t="s">
        <v>165</v>
      </c>
      <c r="B161" s="58" t="s">
        <v>443</v>
      </c>
      <c r="F161" s="85" t="s">
        <v>295</v>
      </c>
      <c r="G161" s="85"/>
      <c r="H161" s="101">
        <v>5318.7180663636263</v>
      </c>
      <c r="I161" s="101">
        <v>1</v>
      </c>
      <c r="J161" s="101">
        <v>1</v>
      </c>
      <c r="K161" s="101">
        <v>1</v>
      </c>
      <c r="L161" s="101">
        <v>1</v>
      </c>
      <c r="M161" s="101">
        <v>1</v>
      </c>
      <c r="N161" s="101">
        <v>1</v>
      </c>
      <c r="Q161" s="558"/>
    </row>
    <row r="162" spans="1:17" outlineLevel="3" x14ac:dyDescent="0.2">
      <c r="F162" s="58"/>
      <c r="G162" s="6" t="s">
        <v>991</v>
      </c>
      <c r="H162" s="558"/>
      <c r="I162" s="558"/>
      <c r="J162" s="558"/>
      <c r="K162" s="558"/>
      <c r="L162" s="558"/>
      <c r="M162" s="558"/>
      <c r="N162" s="558"/>
      <c r="Q162" s="558"/>
    </row>
    <row r="163" spans="1:17" s="58" customFormat="1" ht="4.1500000000000004" customHeight="1" outlineLevel="3" x14ac:dyDescent="0.2">
      <c r="G163" s="558"/>
      <c r="H163" s="558"/>
      <c r="I163" s="558"/>
      <c r="J163" s="558"/>
      <c r="K163" s="558"/>
      <c r="L163" s="558"/>
      <c r="M163" s="558"/>
      <c r="N163" s="558"/>
      <c r="Q163" s="558"/>
    </row>
    <row r="164" spans="1:17" s="58" customFormat="1" outlineLevel="3" x14ac:dyDescent="0.2">
      <c r="A164" s="58" t="s">
        <v>165</v>
      </c>
      <c r="B164" s="58" t="s">
        <v>69</v>
      </c>
      <c r="F164" s="58" t="s">
        <v>196</v>
      </c>
      <c r="G164" s="783"/>
      <c r="H164" s="775"/>
      <c r="I164" s="775"/>
      <c r="J164" s="775"/>
      <c r="K164" s="775"/>
      <c r="L164" s="775"/>
      <c r="M164" s="775"/>
      <c r="N164" s="775"/>
      <c r="Q164" s="558"/>
    </row>
    <row r="165" spans="1:17" s="558" customFormat="1" outlineLevel="3" x14ac:dyDescent="0.2">
      <c r="A165" s="558" t="s">
        <v>165</v>
      </c>
      <c r="B165" s="558" t="s">
        <v>69</v>
      </c>
      <c r="F165" s="558" t="s">
        <v>1243</v>
      </c>
      <c r="G165" s="783"/>
      <c r="H165" s="775"/>
      <c r="I165" s="775"/>
      <c r="J165" s="775"/>
      <c r="K165" s="775"/>
      <c r="L165" s="775"/>
      <c r="M165" s="775"/>
      <c r="N165" s="775"/>
    </row>
    <row r="166" spans="1:17" s="58" customFormat="1" outlineLevel="3" x14ac:dyDescent="0.2">
      <c r="A166" s="58" t="s">
        <v>165</v>
      </c>
      <c r="B166" s="58" t="s">
        <v>69</v>
      </c>
      <c r="F166" s="58" t="s">
        <v>310</v>
      </c>
      <c r="G166" s="139">
        <v>126.542</v>
      </c>
      <c r="H166" s="53">
        <v>438883.33244621393</v>
      </c>
      <c r="I166" s="53">
        <v>544568.43589255225</v>
      </c>
      <c r="J166" s="53">
        <v>102.38715966850829</v>
      </c>
      <c r="K166" s="53">
        <v>102.38715966850829</v>
      </c>
      <c r="L166" s="53">
        <v>0</v>
      </c>
      <c r="M166" s="53">
        <v>0</v>
      </c>
      <c r="N166" s="53">
        <v>0</v>
      </c>
      <c r="Q166" s="417" t="s">
        <v>941</v>
      </c>
    </row>
    <row r="167" spans="1:17" s="58" customFormat="1" outlineLevel="3" x14ac:dyDescent="0.2">
      <c r="A167" s="58" t="s">
        <v>165</v>
      </c>
      <c r="B167" s="58" t="s">
        <v>68</v>
      </c>
      <c r="F167" s="58" t="s">
        <v>309</v>
      </c>
      <c r="G167" s="139">
        <v>133.73259999999999</v>
      </c>
      <c r="H167" s="53">
        <v>277227.67979999998</v>
      </c>
      <c r="I167" s="53">
        <v>135773.10028069341</v>
      </c>
      <c r="J167" s="53">
        <v>25.527410662983421</v>
      </c>
      <c r="K167" s="53">
        <v>25.527410662983421</v>
      </c>
      <c r="L167" s="53">
        <v>25.527410662983421</v>
      </c>
      <c r="M167" s="53">
        <v>25.527410662983421</v>
      </c>
      <c r="N167" s="53">
        <v>25.527410662983421</v>
      </c>
      <c r="Q167" s="417" t="s">
        <v>941</v>
      </c>
    </row>
    <row r="168" spans="1:17" s="58" customFormat="1" ht="4.1500000000000004" customHeight="1" outlineLevel="3" x14ac:dyDescent="0.2"/>
    <row r="169" spans="1:17" s="58" customFormat="1" outlineLevel="2" x14ac:dyDescent="0.2">
      <c r="F169" s="85" t="s">
        <v>1278</v>
      </c>
      <c r="G169" s="85"/>
      <c r="H169" s="140">
        <v>2421831.0768734906</v>
      </c>
      <c r="I169" s="140">
        <v>2317551.8843459687</v>
      </c>
      <c r="J169" s="140">
        <v>435.73505033149172</v>
      </c>
      <c r="K169" s="140">
        <v>435.73505033149172</v>
      </c>
      <c r="L169" s="140">
        <v>84.285408364640887</v>
      </c>
      <c r="M169" s="140">
        <v>84.285408364640887</v>
      </c>
      <c r="N169" s="140">
        <v>84.285408364640887</v>
      </c>
    </row>
    <row r="170" spans="1:17" outlineLevel="2" x14ac:dyDescent="0.2"/>
    <row r="171" spans="1:17" outlineLevel="1" x14ac:dyDescent="0.2">
      <c r="F171" s="131" t="s">
        <v>300</v>
      </c>
    </row>
    <row r="172" spans="1:17" ht="4.1500000000000004" customHeight="1" outlineLevel="1" x14ac:dyDescent="0.2">
      <c r="F172" s="58"/>
      <c r="G172" s="58"/>
      <c r="H172" s="58"/>
    </row>
    <row r="173" spans="1:17" outlineLevel="1" x14ac:dyDescent="0.2">
      <c r="F173" s="58" t="s">
        <v>296</v>
      </c>
      <c r="G173" s="58"/>
      <c r="H173" s="150">
        <v>93937</v>
      </c>
      <c r="I173" s="128">
        <v>60579</v>
      </c>
      <c r="J173" s="128">
        <v>19033.301834222519</v>
      </c>
      <c r="K173" s="128">
        <v>6</v>
      </c>
      <c r="L173" s="128">
        <v>6</v>
      </c>
      <c r="M173" s="128">
        <v>6</v>
      </c>
      <c r="N173" s="128">
        <v>6</v>
      </c>
    </row>
    <row r="174" spans="1:17" outlineLevel="1" x14ac:dyDescent="0.2">
      <c r="F174" s="58" t="s">
        <v>247</v>
      </c>
      <c r="G174" s="127"/>
      <c r="H174" s="128">
        <v>-30000</v>
      </c>
      <c r="I174" s="128">
        <v>-39679.084093009442</v>
      </c>
      <c r="J174" s="128">
        <v>-18742.646896741189</v>
      </c>
      <c r="K174" s="128">
        <v>-5.7516776791062938</v>
      </c>
      <c r="L174" s="128">
        <v>0</v>
      </c>
      <c r="M174" s="128">
        <v>0</v>
      </c>
      <c r="N174" s="128">
        <v>0</v>
      </c>
    </row>
    <row r="175" spans="1:17" outlineLevel="1" x14ac:dyDescent="0.2">
      <c r="F175" s="58" t="s">
        <v>294</v>
      </c>
      <c r="G175" s="127"/>
      <c r="H175" s="128">
        <v>-3358</v>
      </c>
      <c r="I175" s="128">
        <v>-1867.6140727680461</v>
      </c>
      <c r="J175" s="128">
        <v>-290.65493748133173</v>
      </c>
      <c r="K175" s="128">
        <v>-0.24832232089370548</v>
      </c>
      <c r="L175" s="128">
        <v>-0.24832232089370548</v>
      </c>
      <c r="M175" s="128">
        <v>-0.24832232089370548</v>
      </c>
      <c r="N175" s="128">
        <v>-0.24832232089370548</v>
      </c>
    </row>
    <row r="176" spans="1:17" ht="4.1500000000000004" customHeight="1" outlineLevel="1" x14ac:dyDescent="0.2">
      <c r="F176" s="58"/>
      <c r="G176" s="127"/>
      <c r="H176" s="128"/>
      <c r="I176" s="128"/>
      <c r="J176" s="128"/>
      <c r="K176" s="128"/>
      <c r="L176" s="128"/>
      <c r="M176" s="128"/>
      <c r="N176" s="128"/>
    </row>
    <row r="177" spans="1:14" outlineLevel="1" x14ac:dyDescent="0.2">
      <c r="F177" s="129" t="s">
        <v>295</v>
      </c>
      <c r="G177" s="129"/>
      <c r="H177" s="130">
        <v>60579</v>
      </c>
      <c r="I177" s="130">
        <v>19032.301834222511</v>
      </c>
      <c r="J177" s="130">
        <v>-2.3305801732931286E-12</v>
      </c>
      <c r="K177" s="130">
        <v>7.2164496600635175E-16</v>
      </c>
      <c r="L177" s="130">
        <v>5.7516776791062947</v>
      </c>
      <c r="M177" s="130">
        <v>5.7516776791062947</v>
      </c>
      <c r="N177" s="130">
        <v>5.7516776791062947</v>
      </c>
    </row>
    <row r="178" spans="1:14" outlineLevel="1" x14ac:dyDescent="0.2"/>
    <row r="179" spans="1:14" s="58" customFormat="1" ht="4.1500000000000004" customHeight="1" outlineLevel="1" x14ac:dyDescent="0.2"/>
    <row r="180" spans="1:14" s="58" customFormat="1" outlineLevel="1" x14ac:dyDescent="0.2">
      <c r="F180" s="58" t="s">
        <v>196</v>
      </c>
      <c r="H180" s="53">
        <v>9759570.9229462296</v>
      </c>
      <c r="I180" s="53">
        <v>12913976.742065504</v>
      </c>
      <c r="J180" s="53">
        <v>6174023.6727748783</v>
      </c>
      <c r="K180" s="53">
        <v>2996.2322526619432</v>
      </c>
      <c r="L180" s="53">
        <v>0</v>
      </c>
      <c r="M180" s="53">
        <v>0</v>
      </c>
      <c r="N180" s="53">
        <v>0</v>
      </c>
    </row>
    <row r="181" spans="1:14" s="558" customFormat="1" outlineLevel="1" x14ac:dyDescent="0.2">
      <c r="F181" s="558" t="s">
        <v>1243</v>
      </c>
      <c r="H181" s="53">
        <v>1041048.8633600001</v>
      </c>
      <c r="I181" s="53">
        <v>579884.99358695094</v>
      </c>
      <c r="J181" s="53">
        <v>91296.41870644009</v>
      </c>
      <c r="K181" s="53">
        <v>81.972547338057154</v>
      </c>
      <c r="L181" s="53">
        <v>81.972547338057154</v>
      </c>
      <c r="M181" s="53">
        <v>81.972547338057154</v>
      </c>
      <c r="N181" s="53">
        <v>81.972547338057154</v>
      </c>
    </row>
    <row r="182" spans="1:14" s="58" customFormat="1" outlineLevel="1" x14ac:dyDescent="0.2">
      <c r="F182" s="58" t="s">
        <v>310</v>
      </c>
      <c r="H182" s="53">
        <v>3796260</v>
      </c>
      <c r="I182" s="53">
        <v>5021070.6592975995</v>
      </c>
      <c r="J182" s="53">
        <v>2371732.0236074231</v>
      </c>
      <c r="K182" s="53">
        <v>727.82879686946876</v>
      </c>
      <c r="L182" s="53">
        <v>0</v>
      </c>
      <c r="M182" s="53">
        <v>0</v>
      </c>
      <c r="N182" s="53">
        <v>0</v>
      </c>
    </row>
    <row r="183" spans="1:14" s="58" customFormat="1" outlineLevel="1" x14ac:dyDescent="0.2">
      <c r="F183" s="58" t="s">
        <v>309</v>
      </c>
      <c r="H183" s="53">
        <v>449074.07079999999</v>
      </c>
      <c r="I183" s="53">
        <v>249760.88574786001</v>
      </c>
      <c r="J183" s="53">
        <v>38870.040492215936</v>
      </c>
      <c r="K183" s="53">
        <v>33.208789611149555</v>
      </c>
      <c r="L183" s="53">
        <v>33.208789611149555</v>
      </c>
      <c r="M183" s="53">
        <v>33.208789611149555</v>
      </c>
      <c r="N183" s="53">
        <v>33.208789611149555</v>
      </c>
    </row>
    <row r="184" spans="1:14" s="58" customFormat="1" ht="4.1500000000000004" customHeight="1" outlineLevel="1" x14ac:dyDescent="0.2"/>
    <row r="185" spans="1:14" s="58" customFormat="1" outlineLevel="1" x14ac:dyDescent="0.2">
      <c r="F185" s="85" t="s">
        <v>1279</v>
      </c>
      <c r="G185" s="85"/>
      <c r="H185" s="140">
        <v>15045953.857106231</v>
      </c>
      <c r="I185" s="140">
        <v>18764693.280697916</v>
      </c>
      <c r="J185" s="140">
        <v>8675922.1555809584</v>
      </c>
      <c r="K185" s="140">
        <v>3839.2423864806187</v>
      </c>
      <c r="L185" s="140">
        <v>115.18133694920671</v>
      </c>
      <c r="M185" s="140">
        <v>115.18133694920671</v>
      </c>
      <c r="N185" s="140">
        <v>115.18133694920671</v>
      </c>
    </row>
    <row r="186" spans="1:14" s="58" customFormat="1" outlineLevel="1" x14ac:dyDescent="0.2"/>
    <row r="187" spans="1:14" s="58" customFormat="1" outlineLevel="1" x14ac:dyDescent="0.2"/>
    <row r="188" spans="1:14" s="58" customFormat="1" ht="12.75" outlineLevel="1" x14ac:dyDescent="0.2">
      <c r="D188" s="5" t="s">
        <v>301</v>
      </c>
    </row>
    <row r="189" spans="1:14" s="58" customFormat="1" outlineLevel="1" x14ac:dyDescent="0.2"/>
    <row r="190" spans="1:14" s="58" customFormat="1" outlineLevel="2" x14ac:dyDescent="0.2">
      <c r="F190" s="65" t="s">
        <v>167</v>
      </c>
    </row>
    <row r="191" spans="1:14" s="58" customFormat="1" ht="4.1500000000000004" customHeight="1" outlineLevel="3" x14ac:dyDescent="0.2"/>
    <row r="192" spans="1:14" s="58" customFormat="1" outlineLevel="3" x14ac:dyDescent="0.2">
      <c r="A192" s="58" t="s">
        <v>167</v>
      </c>
      <c r="F192" s="58" t="s">
        <v>296</v>
      </c>
      <c r="G192" s="558"/>
      <c r="H192" s="128">
        <v>13464</v>
      </c>
      <c r="I192" s="128">
        <v>12458.418586179509</v>
      </c>
      <c r="J192" s="128">
        <v>10784.673623175171</v>
      </c>
      <c r="K192" s="128">
        <v>8442.9139887831552</v>
      </c>
      <c r="L192" s="128">
        <v>5099.0947230203774</v>
      </c>
      <c r="M192" s="128">
        <v>85.051491992108993</v>
      </c>
      <c r="N192" s="128">
        <v>1</v>
      </c>
    </row>
    <row r="193" spans="1:17" s="58" customFormat="1" outlineLevel="3" x14ac:dyDescent="0.2">
      <c r="A193" s="58" t="s">
        <v>167</v>
      </c>
      <c r="F193" s="58" t="s">
        <v>247</v>
      </c>
      <c r="G193" s="127">
        <v>0.33419380460683079</v>
      </c>
      <c r="H193" s="128">
        <v>-1002.5814138204923</v>
      </c>
      <c r="I193" s="128">
        <v>-1670.9690230341539</v>
      </c>
      <c r="J193" s="128">
        <v>-2339.3566322478155</v>
      </c>
      <c r="K193" s="128">
        <v>-3341.9380460683078</v>
      </c>
      <c r="L193" s="128">
        <v>-5012.9070691024617</v>
      </c>
      <c r="M193" s="128">
        <v>-85.032541124909329</v>
      </c>
      <c r="N193" s="128">
        <v>0</v>
      </c>
      <c r="P193" s="7"/>
      <c r="Q193" s="417" t="s">
        <v>297</v>
      </c>
    </row>
    <row r="194" spans="1:17" s="58" customFormat="1" outlineLevel="3" x14ac:dyDescent="0.2">
      <c r="A194" s="58" t="s">
        <v>167</v>
      </c>
      <c r="F194" s="58" t="s">
        <v>294</v>
      </c>
      <c r="G194" s="127">
        <v>2.2281639928698751E-4</v>
      </c>
      <c r="H194" s="128">
        <v>-3</v>
      </c>
      <c r="I194" s="128">
        <v>-2.7759399701825997</v>
      </c>
      <c r="J194" s="128">
        <v>-2.403002144201241</v>
      </c>
      <c r="K194" s="128">
        <v>-1.8812196944703998</v>
      </c>
      <c r="L194" s="128">
        <v>-1.1361619258066793</v>
      </c>
      <c r="M194" s="128">
        <v>-1.8950867199667779E-2</v>
      </c>
      <c r="N194" s="128">
        <v>-2.2281639928698751E-4</v>
      </c>
      <c r="P194" s="7"/>
      <c r="Q194" s="417" t="s">
        <v>298</v>
      </c>
    </row>
    <row r="195" spans="1:17" s="58" customFormat="1" ht="4.1500000000000004" customHeight="1" outlineLevel="3" x14ac:dyDescent="0.2">
      <c r="G195" s="127"/>
      <c r="H195" s="128"/>
      <c r="I195" s="128"/>
      <c r="J195" s="128"/>
      <c r="K195" s="128"/>
      <c r="L195" s="128"/>
      <c r="M195" s="128"/>
      <c r="N195" s="128"/>
      <c r="Q195" s="558"/>
    </row>
    <row r="196" spans="1:17" s="58" customFormat="1" outlineLevel="3" x14ac:dyDescent="0.2">
      <c r="A196" s="58" t="s">
        <v>167</v>
      </c>
      <c r="B196" s="58" t="s">
        <v>443</v>
      </c>
      <c r="F196" s="85" t="s">
        <v>295</v>
      </c>
      <c r="G196" s="85"/>
      <c r="H196" s="101">
        <v>12458.418586179509</v>
      </c>
      <c r="I196" s="101">
        <v>10784.673623175171</v>
      </c>
      <c r="J196" s="101">
        <v>8442.9139887831552</v>
      </c>
      <c r="K196" s="101">
        <v>5099.0947230203774</v>
      </c>
      <c r="L196" s="101">
        <v>85.051491992108993</v>
      </c>
      <c r="M196" s="101">
        <v>1</v>
      </c>
      <c r="N196" s="101">
        <v>1</v>
      </c>
      <c r="Q196" s="558"/>
    </row>
    <row r="197" spans="1:17" s="58" customFormat="1" outlineLevel="3" x14ac:dyDescent="0.2">
      <c r="G197" s="6" t="s">
        <v>991</v>
      </c>
      <c r="H197" s="558"/>
      <c r="I197" s="558"/>
      <c r="J197" s="558"/>
      <c r="K197" s="558"/>
      <c r="L197" s="558"/>
      <c r="M197" s="558"/>
      <c r="N197" s="558"/>
      <c r="Q197" s="558"/>
    </row>
    <row r="198" spans="1:17" s="58" customFormat="1" ht="4.1500000000000004" customHeight="1" outlineLevel="3" x14ac:dyDescent="0.2">
      <c r="G198" s="558"/>
      <c r="H198" s="558"/>
      <c r="I198" s="558"/>
      <c r="J198" s="558"/>
      <c r="K198" s="558"/>
      <c r="L198" s="558"/>
      <c r="M198" s="558"/>
      <c r="N198" s="558"/>
      <c r="Q198" s="558"/>
    </row>
    <row r="199" spans="1:17" s="58" customFormat="1" outlineLevel="3" x14ac:dyDescent="0.2">
      <c r="A199" s="58" t="s">
        <v>167</v>
      </c>
      <c r="B199" s="58" t="s">
        <v>69</v>
      </c>
      <c r="F199" s="58" t="s">
        <v>196</v>
      </c>
      <c r="G199" s="783"/>
      <c r="H199" s="775"/>
      <c r="I199" s="775"/>
      <c r="J199" s="775"/>
      <c r="K199" s="775"/>
      <c r="L199" s="775"/>
      <c r="M199" s="775"/>
      <c r="N199" s="775"/>
      <c r="Q199" s="558"/>
    </row>
    <row r="200" spans="1:17" s="558" customFormat="1" outlineLevel="3" x14ac:dyDescent="0.2">
      <c r="A200" s="558" t="s">
        <v>167</v>
      </c>
      <c r="B200" s="558" t="s">
        <v>69</v>
      </c>
      <c r="F200" s="558" t="s">
        <v>1243</v>
      </c>
      <c r="G200" s="783"/>
      <c r="H200" s="775"/>
      <c r="I200" s="775"/>
      <c r="J200" s="775"/>
      <c r="K200" s="775"/>
      <c r="L200" s="775"/>
      <c r="M200" s="775"/>
      <c r="N200" s="775"/>
    </row>
    <row r="201" spans="1:17" s="58" customFormat="1" outlineLevel="3" x14ac:dyDescent="0.2">
      <c r="A201" s="58" t="s">
        <v>167</v>
      </c>
      <c r="B201" s="58" t="s">
        <v>69</v>
      </c>
      <c r="F201" s="58" t="s">
        <v>310</v>
      </c>
      <c r="G201" s="139">
        <v>126.542</v>
      </c>
      <c r="H201" s="53">
        <v>126868.65726767274</v>
      </c>
      <c r="I201" s="53">
        <v>211447.7621127879</v>
      </c>
      <c r="J201" s="53">
        <v>296026.86695790308</v>
      </c>
      <c r="K201" s="53">
        <v>422895.52422557579</v>
      </c>
      <c r="L201" s="53">
        <v>634343.28633836377</v>
      </c>
      <c r="M201" s="53">
        <v>10760.187819028277</v>
      </c>
      <c r="N201" s="53">
        <v>0</v>
      </c>
      <c r="Q201" s="417" t="s">
        <v>941</v>
      </c>
    </row>
    <row r="202" spans="1:17" s="58" customFormat="1" outlineLevel="3" x14ac:dyDescent="0.2">
      <c r="A202" s="58" t="s">
        <v>167</v>
      </c>
      <c r="B202" s="58" t="s">
        <v>68</v>
      </c>
      <c r="F202" s="58" t="s">
        <v>309</v>
      </c>
      <c r="G202" s="139">
        <v>133.73259999999999</v>
      </c>
      <c r="H202" s="53">
        <v>401.19779999999997</v>
      </c>
      <c r="I202" s="53">
        <v>371.23366965644152</v>
      </c>
      <c r="J202" s="53">
        <v>321.35972454960688</v>
      </c>
      <c r="K202" s="53">
        <v>251.58040091273219</v>
      </c>
      <c r="L202" s="53">
        <v>151.94188835913431</v>
      </c>
      <c r="M202" s="53">
        <v>2.5343487428662912</v>
      </c>
      <c r="N202" s="53">
        <v>2.9797816399286983E-2</v>
      </c>
      <c r="Q202" s="417" t="s">
        <v>941</v>
      </c>
    </row>
    <row r="203" spans="1:17" s="58" customFormat="1" ht="4.1500000000000004" customHeight="1" outlineLevel="3" x14ac:dyDescent="0.2"/>
    <row r="204" spans="1:17" s="58" customFormat="1" outlineLevel="2" x14ac:dyDescent="0.2">
      <c r="F204" s="85" t="s">
        <v>1280</v>
      </c>
      <c r="G204" s="85"/>
      <c r="H204" s="140">
        <v>704137.15928282763</v>
      </c>
      <c r="I204" s="140">
        <v>1171988.6364321108</v>
      </c>
      <c r="J204" s="140">
        <v>1639734.7977201883</v>
      </c>
      <c r="K204" s="140">
        <v>2341380.6550007695</v>
      </c>
      <c r="L204" s="140">
        <v>3510878.5445335764</v>
      </c>
      <c r="M204" s="140">
        <v>59553.823744080837</v>
      </c>
      <c r="N204" s="140">
        <v>0.1576198841354724</v>
      </c>
    </row>
    <row r="205" spans="1:17" s="58" customFormat="1" outlineLevel="2" x14ac:dyDescent="0.2"/>
    <row r="206" spans="1:17" s="58" customFormat="1" outlineLevel="2" x14ac:dyDescent="0.2">
      <c r="F206" s="65" t="s">
        <v>168</v>
      </c>
    </row>
    <row r="207" spans="1:17" s="58" customFormat="1" ht="4.1500000000000004" customHeight="1" outlineLevel="3" x14ac:dyDescent="0.2"/>
    <row r="208" spans="1:17" s="58" customFormat="1" outlineLevel="3" x14ac:dyDescent="0.2">
      <c r="A208" s="58" t="s">
        <v>168</v>
      </c>
      <c r="F208" s="58" t="s">
        <v>296</v>
      </c>
      <c r="G208" s="558"/>
      <c r="H208" s="128">
        <v>8466</v>
      </c>
      <c r="I208" s="128">
        <v>7833.5889594916598</v>
      </c>
      <c r="J208" s="128">
        <v>6781.0532921763206</v>
      </c>
      <c r="K208" s="128">
        <v>5308.49224790676</v>
      </c>
      <c r="L208" s="128">
        <v>3205.8680395862821</v>
      </c>
      <c r="M208" s="128">
        <v>53.055485747727232</v>
      </c>
      <c r="N208" s="128">
        <v>1</v>
      </c>
    </row>
    <row r="209" spans="1:17" s="58" customFormat="1" outlineLevel="3" x14ac:dyDescent="0.2">
      <c r="A209" s="58" t="s">
        <v>168</v>
      </c>
      <c r="F209" s="58" t="s">
        <v>247</v>
      </c>
      <c r="G209" s="127">
        <v>0.21013701350278</v>
      </c>
      <c r="H209" s="128">
        <v>-630.41104050833997</v>
      </c>
      <c r="I209" s="128">
        <v>-1050.6850675138999</v>
      </c>
      <c r="J209" s="128">
        <v>-1470.95909451946</v>
      </c>
      <c r="K209" s="128">
        <v>-2101.3701350277997</v>
      </c>
      <c r="L209" s="128">
        <v>-3152.0552025417001</v>
      </c>
      <c r="M209" s="128">
        <v>-53.0429519689066</v>
      </c>
      <c r="N209" s="128">
        <v>0</v>
      </c>
      <c r="P209" s="7"/>
      <c r="Q209" s="417" t="s">
        <v>297</v>
      </c>
    </row>
    <row r="210" spans="1:17" s="58" customFormat="1" outlineLevel="3" x14ac:dyDescent="0.2">
      <c r="A210" s="58" t="s">
        <v>168</v>
      </c>
      <c r="F210" s="58" t="s">
        <v>294</v>
      </c>
      <c r="G210" s="127">
        <v>2.3623907394283014E-4</v>
      </c>
      <c r="H210" s="128">
        <v>-2</v>
      </c>
      <c r="I210" s="128">
        <v>-1.8505998014390881</v>
      </c>
      <c r="J210" s="128">
        <v>-1.6019497501007136</v>
      </c>
      <c r="K210" s="128">
        <v>-1.2540732926781857</v>
      </c>
      <c r="L210" s="128">
        <v>-0.75735129685477964</v>
      </c>
      <c r="M210" s="128">
        <v>-1.2533778820630104E-2</v>
      </c>
      <c r="N210" s="128">
        <v>-2.3623907394283014E-4</v>
      </c>
      <c r="P210" s="7"/>
      <c r="Q210" s="417" t="s">
        <v>298</v>
      </c>
    </row>
    <row r="211" spans="1:17" s="58" customFormat="1" ht="4.1500000000000004" customHeight="1" outlineLevel="3" x14ac:dyDescent="0.2">
      <c r="G211" s="127"/>
      <c r="H211" s="128"/>
      <c r="I211" s="128"/>
      <c r="Q211" s="558"/>
    </row>
    <row r="212" spans="1:17" s="58" customFormat="1" outlineLevel="3" x14ac:dyDescent="0.2">
      <c r="A212" s="58" t="s">
        <v>168</v>
      </c>
      <c r="B212" s="58" t="s">
        <v>443</v>
      </c>
      <c r="F212" s="85" t="s">
        <v>295</v>
      </c>
      <c r="G212" s="85"/>
      <c r="H212" s="101">
        <v>7833.5889594916598</v>
      </c>
      <c r="I212" s="101">
        <v>6781.0532921763206</v>
      </c>
      <c r="J212" s="101">
        <v>5308.49224790676</v>
      </c>
      <c r="K212" s="101">
        <v>3205.8680395862821</v>
      </c>
      <c r="L212" s="101">
        <v>53.055485747727232</v>
      </c>
      <c r="M212" s="101">
        <v>1</v>
      </c>
      <c r="N212" s="101">
        <v>1</v>
      </c>
      <c r="Q212" s="558"/>
    </row>
    <row r="213" spans="1:17" s="58" customFormat="1" outlineLevel="3" x14ac:dyDescent="0.2">
      <c r="G213" s="6" t="s">
        <v>991</v>
      </c>
      <c r="H213" s="558"/>
      <c r="I213" s="558"/>
      <c r="J213" s="558"/>
      <c r="K213" s="558"/>
      <c r="L213" s="558"/>
      <c r="M213" s="558"/>
      <c r="N213" s="558"/>
      <c r="Q213" s="558"/>
    </row>
    <row r="214" spans="1:17" s="58" customFormat="1" ht="4.1500000000000004" customHeight="1" outlineLevel="3" x14ac:dyDescent="0.2">
      <c r="G214" s="558"/>
      <c r="H214" s="558"/>
      <c r="I214" s="558"/>
      <c r="J214" s="558"/>
      <c r="K214" s="558"/>
      <c r="L214" s="558"/>
      <c r="M214" s="558"/>
      <c r="N214" s="558"/>
      <c r="Q214" s="558"/>
    </row>
    <row r="215" spans="1:17" s="58" customFormat="1" outlineLevel="3" x14ac:dyDescent="0.2">
      <c r="A215" s="58" t="s">
        <v>168</v>
      </c>
      <c r="B215" s="58" t="s">
        <v>69</v>
      </c>
      <c r="F215" s="58" t="s">
        <v>196</v>
      </c>
      <c r="G215" s="783"/>
      <c r="H215" s="775"/>
      <c r="I215" s="775"/>
      <c r="J215" s="775"/>
      <c r="K215" s="775"/>
      <c r="L215" s="775"/>
      <c r="M215" s="775"/>
      <c r="N215" s="775"/>
      <c r="Q215" s="558"/>
    </row>
    <row r="216" spans="1:17" s="558" customFormat="1" outlineLevel="3" x14ac:dyDescent="0.2">
      <c r="A216" s="558" t="s">
        <v>168</v>
      </c>
      <c r="B216" s="558" t="s">
        <v>69</v>
      </c>
      <c r="F216" s="558" t="s">
        <v>1243</v>
      </c>
      <c r="G216" s="783"/>
      <c r="H216" s="775"/>
      <c r="I216" s="775"/>
      <c r="J216" s="775"/>
      <c r="K216" s="775"/>
      <c r="L216" s="775"/>
      <c r="M216" s="775"/>
      <c r="N216" s="775"/>
    </row>
    <row r="217" spans="1:17" s="58" customFormat="1" outlineLevel="3" x14ac:dyDescent="0.2">
      <c r="A217" s="58" t="s">
        <v>168</v>
      </c>
      <c r="B217" s="58" t="s">
        <v>69</v>
      </c>
      <c r="F217" s="58" t="s">
        <v>310</v>
      </c>
      <c r="G217" s="139">
        <v>126.542</v>
      </c>
      <c r="H217" s="53">
        <v>79773.473888006352</v>
      </c>
      <c r="I217" s="53">
        <v>132955.78981334393</v>
      </c>
      <c r="J217" s="53">
        <v>186138.10573868151</v>
      </c>
      <c r="K217" s="53">
        <v>265911.57962668786</v>
      </c>
      <c r="L217" s="53">
        <v>398867.36944003182</v>
      </c>
      <c r="M217" s="53">
        <v>6712.1612280493791</v>
      </c>
      <c r="N217" s="53">
        <v>0</v>
      </c>
      <c r="Q217" s="417" t="s">
        <v>941</v>
      </c>
    </row>
    <row r="218" spans="1:17" s="58" customFormat="1" outlineLevel="3" x14ac:dyDescent="0.2">
      <c r="A218" s="58" t="s">
        <v>168</v>
      </c>
      <c r="B218" s="58" t="s">
        <v>68</v>
      </c>
      <c r="F218" s="58" t="s">
        <v>309</v>
      </c>
      <c r="G218" s="139">
        <v>133.73259999999999</v>
      </c>
      <c r="H218" s="53">
        <v>267.46519999999998</v>
      </c>
      <c r="I218" s="53">
        <v>247.48552300593298</v>
      </c>
      <c r="J218" s="53">
        <v>214.23290515031869</v>
      </c>
      <c r="K218" s="53">
        <v>167.71048202041473</v>
      </c>
      <c r="L218" s="53">
        <v>101.28255804176149</v>
      </c>
      <c r="M218" s="53">
        <v>1.6761748295077974</v>
      </c>
      <c r="N218" s="53">
        <v>3.1592865579966926E-2</v>
      </c>
      <c r="Q218" s="417" t="s">
        <v>941</v>
      </c>
    </row>
    <row r="219" spans="1:17" s="58" customFormat="1" ht="4.1500000000000004" customHeight="1" outlineLevel="3" x14ac:dyDescent="0.2"/>
    <row r="220" spans="1:17" s="58" customFormat="1" outlineLevel="2" x14ac:dyDescent="0.2">
      <c r="F220" s="85" t="s">
        <v>1281</v>
      </c>
      <c r="G220" s="85"/>
      <c r="H220" s="140">
        <v>442833.29690208111</v>
      </c>
      <c r="I220" s="140">
        <v>737006.61204249749</v>
      </c>
      <c r="J220" s="140">
        <v>1031109.7180315889</v>
      </c>
      <c r="K220" s="140">
        <v>1472282.1317295271</v>
      </c>
      <c r="L220" s="140">
        <v>2207628.2529333918</v>
      </c>
      <c r="M220" s="140">
        <v>37149.935978762558</v>
      </c>
      <c r="N220" s="140">
        <v>0.16711505787857314</v>
      </c>
    </row>
    <row r="221" spans="1:17" s="58" customFormat="1" outlineLevel="2" x14ac:dyDescent="0.2"/>
    <row r="222" spans="1:17" s="58" customFormat="1" outlineLevel="2" x14ac:dyDescent="0.2">
      <c r="F222" s="65" t="s">
        <v>169</v>
      </c>
    </row>
    <row r="223" spans="1:17" s="58" customFormat="1" ht="4.1500000000000004" customHeight="1" outlineLevel="3" x14ac:dyDescent="0.2"/>
    <row r="224" spans="1:17" s="58" customFormat="1" outlineLevel="3" x14ac:dyDescent="0.2">
      <c r="A224" s="58" t="s">
        <v>169</v>
      </c>
      <c r="F224" s="58" t="s">
        <v>296</v>
      </c>
      <c r="G224" s="558"/>
      <c r="H224" s="128">
        <v>2583</v>
      </c>
      <c r="I224" s="128">
        <v>2389.6598490865767</v>
      </c>
      <c r="J224" s="128">
        <v>2068.167781904473</v>
      </c>
      <c r="K224" s="128">
        <v>1618.5734120488373</v>
      </c>
      <c r="L224" s="128">
        <v>976.81295026926944</v>
      </c>
      <c r="M224" s="128">
        <v>14.734025763991806</v>
      </c>
      <c r="N224" s="128">
        <v>1</v>
      </c>
    </row>
    <row r="225" spans="1:17" s="58" customFormat="1" outlineLevel="3" x14ac:dyDescent="0.2">
      <c r="A225" s="58" t="s">
        <v>169</v>
      </c>
      <c r="F225" s="58" t="s">
        <v>247</v>
      </c>
      <c r="G225" s="127">
        <v>6.4113383637807789E-2</v>
      </c>
      <c r="H225" s="128">
        <v>-192.34015091342337</v>
      </c>
      <c r="I225" s="128">
        <v>-320.56691818903892</v>
      </c>
      <c r="J225" s="128">
        <v>-448.79368546465452</v>
      </c>
      <c r="K225" s="128">
        <v>-641.13383637807783</v>
      </c>
      <c r="L225" s="128">
        <v>-961.70075456711686</v>
      </c>
      <c r="M225" s="128">
        <v>-14.728321534118018</v>
      </c>
      <c r="N225" s="128">
        <v>0</v>
      </c>
      <c r="P225" s="7"/>
      <c r="Q225" s="417" t="s">
        <v>297</v>
      </c>
    </row>
    <row r="226" spans="1:17" s="58" customFormat="1" outlineLevel="3" x14ac:dyDescent="0.2">
      <c r="A226" s="58" t="s">
        <v>169</v>
      </c>
      <c r="F226" s="58" t="s">
        <v>294</v>
      </c>
      <c r="G226" s="127">
        <v>3.8714672861014324E-4</v>
      </c>
      <c r="H226" s="128">
        <v>-1</v>
      </c>
      <c r="I226" s="128">
        <v>-0.92514899306487675</v>
      </c>
      <c r="J226" s="128">
        <v>-0.80068439098121291</v>
      </c>
      <c r="K226" s="128">
        <v>-0.62662540149006474</v>
      </c>
      <c r="L226" s="128">
        <v>-0.37816993816077021</v>
      </c>
      <c r="M226" s="128">
        <v>-5.704229873786994E-3</v>
      </c>
      <c r="N226" s="128">
        <v>-3.8714672861014324E-4</v>
      </c>
      <c r="P226" s="7"/>
      <c r="Q226" s="417" t="s">
        <v>298</v>
      </c>
    </row>
    <row r="227" spans="1:17" s="58" customFormat="1" ht="4.1500000000000004" customHeight="1" outlineLevel="3" x14ac:dyDescent="0.2">
      <c r="G227" s="127"/>
      <c r="H227" s="128"/>
      <c r="I227" s="128"/>
      <c r="Q227" s="558"/>
    </row>
    <row r="228" spans="1:17" s="58" customFormat="1" outlineLevel="3" x14ac:dyDescent="0.2">
      <c r="A228" s="58" t="s">
        <v>169</v>
      </c>
      <c r="B228" s="58" t="s">
        <v>443</v>
      </c>
      <c r="F228" s="85" t="s">
        <v>295</v>
      </c>
      <c r="G228" s="85"/>
      <c r="H228" s="101">
        <v>2389.6598490865767</v>
      </c>
      <c r="I228" s="101">
        <v>2068.167781904473</v>
      </c>
      <c r="J228" s="101">
        <v>1618.5734120488373</v>
      </c>
      <c r="K228" s="101">
        <v>976.81295026926944</v>
      </c>
      <c r="L228" s="101">
        <v>14.734025763991806</v>
      </c>
      <c r="M228" s="101">
        <v>1</v>
      </c>
      <c r="N228" s="101">
        <v>1</v>
      </c>
      <c r="Q228" s="558"/>
    </row>
    <row r="229" spans="1:17" s="58" customFormat="1" outlineLevel="3" x14ac:dyDescent="0.2">
      <c r="G229" s="6" t="s">
        <v>991</v>
      </c>
      <c r="H229" s="558"/>
      <c r="I229" s="558"/>
      <c r="J229" s="558"/>
      <c r="K229" s="558"/>
      <c r="L229" s="558"/>
      <c r="M229" s="558"/>
      <c r="N229" s="558"/>
      <c r="Q229" s="558"/>
    </row>
    <row r="230" spans="1:17" s="58" customFormat="1" ht="4.1500000000000004" customHeight="1" outlineLevel="3" x14ac:dyDescent="0.2">
      <c r="G230" s="558"/>
      <c r="H230" s="558"/>
      <c r="I230" s="558"/>
      <c r="J230" s="558"/>
      <c r="K230" s="558"/>
      <c r="L230" s="558"/>
      <c r="M230" s="558"/>
      <c r="N230" s="558"/>
      <c r="Q230" s="558"/>
    </row>
    <row r="231" spans="1:17" s="58" customFormat="1" outlineLevel="3" x14ac:dyDescent="0.2">
      <c r="A231" s="58" t="s">
        <v>169</v>
      </c>
      <c r="B231" s="58" t="s">
        <v>69</v>
      </c>
      <c r="F231" s="58" t="s">
        <v>196</v>
      </c>
      <c r="G231" s="783"/>
      <c r="H231" s="775"/>
      <c r="I231" s="775"/>
      <c r="J231" s="775"/>
      <c r="K231" s="775"/>
      <c r="L231" s="775"/>
      <c r="M231" s="775"/>
      <c r="N231" s="775"/>
      <c r="Q231" s="558"/>
    </row>
    <row r="232" spans="1:17" s="558" customFormat="1" outlineLevel="3" x14ac:dyDescent="0.2">
      <c r="A232" s="558" t="s">
        <v>169</v>
      </c>
      <c r="B232" s="558" t="s">
        <v>69</v>
      </c>
      <c r="F232" s="558" t="s">
        <v>1243</v>
      </c>
      <c r="G232" s="783"/>
      <c r="H232" s="775"/>
      <c r="I232" s="775"/>
      <c r="J232" s="775"/>
      <c r="K232" s="775"/>
      <c r="L232" s="775"/>
      <c r="M232" s="775"/>
      <c r="N232" s="775"/>
    </row>
    <row r="233" spans="1:17" s="58" customFormat="1" outlineLevel="3" x14ac:dyDescent="0.2">
      <c r="A233" s="58" t="s">
        <v>169</v>
      </c>
      <c r="B233" s="58" t="s">
        <v>69</v>
      </c>
      <c r="F233" s="58" t="s">
        <v>310</v>
      </c>
      <c r="G233" s="139">
        <v>126.542</v>
      </c>
      <c r="H233" s="53">
        <v>24339.107376886419</v>
      </c>
      <c r="I233" s="53">
        <v>40565.178961477366</v>
      </c>
      <c r="J233" s="53">
        <v>56791.25054606831</v>
      </c>
      <c r="K233" s="53">
        <v>81130.357922954732</v>
      </c>
      <c r="L233" s="53">
        <v>121695.53688443211</v>
      </c>
      <c r="M233" s="53">
        <v>1863.7512635703624</v>
      </c>
      <c r="N233" s="53">
        <v>0</v>
      </c>
      <c r="Q233" s="417" t="s">
        <v>941</v>
      </c>
    </row>
    <row r="234" spans="1:17" s="58" customFormat="1" outlineLevel="3" x14ac:dyDescent="0.2">
      <c r="A234" s="58" t="s">
        <v>169</v>
      </c>
      <c r="B234" s="58" t="s">
        <v>68</v>
      </c>
      <c r="F234" s="58" t="s">
        <v>309</v>
      </c>
      <c r="G234" s="139">
        <v>133.73259999999999</v>
      </c>
      <c r="H234" s="53">
        <v>133.73259999999999</v>
      </c>
      <c r="I234" s="53">
        <v>123.72258022994792</v>
      </c>
      <c r="J234" s="53">
        <v>107.07760538533415</v>
      </c>
      <c r="K234" s="53">
        <v>83.800244167310225</v>
      </c>
      <c r="L234" s="53">
        <v>50.573649072079014</v>
      </c>
      <c r="M234" s="53">
        <v>0.76284149201920648</v>
      </c>
      <c r="N234" s="53">
        <v>5.1774138598528842E-2</v>
      </c>
      <c r="Q234" s="417" t="s">
        <v>941</v>
      </c>
    </row>
    <row r="235" spans="1:17" s="58" customFormat="1" ht="4.1500000000000004" customHeight="1" outlineLevel="3" x14ac:dyDescent="0.2"/>
    <row r="236" spans="1:17" s="58" customFormat="1" outlineLevel="2" x14ac:dyDescent="0.2">
      <c r="F236" s="85" t="s">
        <v>1282</v>
      </c>
      <c r="G236" s="85"/>
      <c r="H236" s="140">
        <v>135385.40272030185</v>
      </c>
      <c r="I236" s="140">
        <v>225117.78971823846</v>
      </c>
      <c r="J236" s="140">
        <v>314815.0801562097</v>
      </c>
      <c r="K236" s="140">
        <v>449369.95584850112</v>
      </c>
      <c r="L236" s="140">
        <v>673657.54007455113</v>
      </c>
      <c r="M236" s="140">
        <v>10316.915477934079</v>
      </c>
      <c r="N236" s="140">
        <v>0.27386683701122733</v>
      </c>
    </row>
    <row r="237" spans="1:17" s="58" customFormat="1" outlineLevel="2" x14ac:dyDescent="0.2"/>
    <row r="238" spans="1:17" s="58" customFormat="1" outlineLevel="2" x14ac:dyDescent="0.2">
      <c r="F238" s="65" t="s">
        <v>166</v>
      </c>
    </row>
    <row r="239" spans="1:17" s="58" customFormat="1" ht="4.1500000000000004" customHeight="1" outlineLevel="3" x14ac:dyDescent="0.2"/>
    <row r="240" spans="1:17" s="58" customFormat="1" outlineLevel="3" x14ac:dyDescent="0.2">
      <c r="A240" s="58" t="s">
        <v>166</v>
      </c>
      <c r="F240" s="58" t="s">
        <v>296</v>
      </c>
      <c r="G240" s="558"/>
      <c r="H240" s="128">
        <v>11330</v>
      </c>
      <c r="I240" s="128">
        <v>8898.3244638602064</v>
      </c>
      <c r="J240" s="128">
        <v>6245.019466268287</v>
      </c>
      <c r="K240" s="128">
        <v>3401.1483421568087</v>
      </c>
      <c r="L240" s="128">
        <v>112.1954458145417</v>
      </c>
      <c r="M240" s="128">
        <v>1</v>
      </c>
      <c r="N240" s="128">
        <v>1</v>
      </c>
    </row>
    <row r="241" spans="1:17" s="58" customFormat="1" outlineLevel="3" x14ac:dyDescent="0.2">
      <c r="A241" s="58" t="s">
        <v>166</v>
      </c>
      <c r="F241" s="58" t="s">
        <v>247</v>
      </c>
      <c r="G241" s="127">
        <v>0.28122517871326452</v>
      </c>
      <c r="H241" s="128">
        <v>-843.67553613979362</v>
      </c>
      <c r="I241" s="128">
        <v>-1406.1258935663227</v>
      </c>
      <c r="J241" s="128">
        <v>-1968.5762509928516</v>
      </c>
      <c r="K241" s="128">
        <v>-2812.2517871326454</v>
      </c>
      <c r="L241" s="128">
        <v>-96.47025888131202</v>
      </c>
      <c r="M241" s="128">
        <v>-0.85984112974404237</v>
      </c>
      <c r="N241" s="128">
        <v>0</v>
      </c>
      <c r="P241" s="7"/>
      <c r="Q241" s="417" t="s">
        <v>297</v>
      </c>
    </row>
    <row r="242" spans="1:17" s="58" customFormat="1" outlineLevel="3" x14ac:dyDescent="0.2">
      <c r="A242" s="58" t="s">
        <v>166</v>
      </c>
      <c r="F242" s="58" t="s">
        <v>294</v>
      </c>
      <c r="G242" s="127">
        <v>0.14015887025595763</v>
      </c>
      <c r="H242" s="128">
        <v>-1588</v>
      </c>
      <c r="I242" s="128">
        <v>-1247.1791040255964</v>
      </c>
      <c r="J242" s="128">
        <v>-875.2948731186267</v>
      </c>
      <c r="K242" s="128">
        <v>-476.70110920962156</v>
      </c>
      <c r="L242" s="128">
        <v>-15.725186933229676</v>
      </c>
      <c r="M242" s="128">
        <v>-0.14015887025595763</v>
      </c>
      <c r="N242" s="128">
        <v>-0.14015887025595763</v>
      </c>
      <c r="P242" s="7"/>
      <c r="Q242" s="417" t="s">
        <v>298</v>
      </c>
    </row>
    <row r="243" spans="1:17" s="58" customFormat="1" ht="4.1500000000000004" customHeight="1" outlineLevel="3" x14ac:dyDescent="0.2">
      <c r="G243" s="127"/>
      <c r="H243" s="128"/>
      <c r="I243" s="128"/>
      <c r="Q243" s="558"/>
    </row>
    <row r="244" spans="1:17" s="58" customFormat="1" outlineLevel="3" x14ac:dyDescent="0.2">
      <c r="A244" s="58" t="s">
        <v>166</v>
      </c>
      <c r="B244" s="58" t="s">
        <v>443</v>
      </c>
      <c r="F244" s="85" t="s">
        <v>295</v>
      </c>
      <c r="G244" s="85"/>
      <c r="H244" s="101">
        <v>8898.3244638602064</v>
      </c>
      <c r="I244" s="101">
        <v>6245.019466268287</v>
      </c>
      <c r="J244" s="101">
        <v>3401.1483421568087</v>
      </c>
      <c r="K244" s="101">
        <v>112.1954458145417</v>
      </c>
      <c r="L244" s="101">
        <v>1</v>
      </c>
      <c r="M244" s="101">
        <v>1</v>
      </c>
      <c r="N244" s="101">
        <v>1</v>
      </c>
      <c r="Q244" s="558"/>
    </row>
    <row r="245" spans="1:17" s="58" customFormat="1" outlineLevel="3" x14ac:dyDescent="0.2">
      <c r="G245" s="6" t="s">
        <v>991</v>
      </c>
      <c r="H245" s="558"/>
      <c r="I245" s="558"/>
      <c r="J245" s="558"/>
      <c r="K245" s="558"/>
      <c r="L245" s="558"/>
      <c r="M245" s="558"/>
      <c r="N245" s="558"/>
      <c r="Q245" s="558"/>
    </row>
    <row r="246" spans="1:17" s="58" customFormat="1" ht="4.1500000000000004" customHeight="1" outlineLevel="3" x14ac:dyDescent="0.2">
      <c r="G246" s="558"/>
      <c r="H246" s="558"/>
      <c r="I246" s="558"/>
      <c r="J246" s="558"/>
      <c r="K246" s="558"/>
      <c r="L246" s="558"/>
      <c r="M246" s="558"/>
      <c r="N246" s="558"/>
      <c r="Q246" s="558"/>
    </row>
    <row r="247" spans="1:17" s="58" customFormat="1" outlineLevel="3" x14ac:dyDescent="0.2">
      <c r="A247" s="58" t="s">
        <v>166</v>
      </c>
      <c r="B247" s="58" t="s">
        <v>69</v>
      </c>
      <c r="F247" s="58" t="s">
        <v>196</v>
      </c>
      <c r="G247" s="783"/>
      <c r="H247" s="775"/>
      <c r="I247" s="775"/>
      <c r="J247" s="775"/>
      <c r="K247" s="775"/>
      <c r="L247" s="775"/>
      <c r="M247" s="775"/>
      <c r="N247" s="775"/>
      <c r="Q247" s="558"/>
    </row>
    <row r="248" spans="1:17" s="558" customFormat="1" outlineLevel="3" x14ac:dyDescent="0.2">
      <c r="A248" s="558" t="s">
        <v>166</v>
      </c>
      <c r="B248" s="558" t="s">
        <v>69</v>
      </c>
      <c r="F248" s="558" t="s">
        <v>1243</v>
      </c>
      <c r="G248" s="783"/>
      <c r="H248" s="775"/>
      <c r="I248" s="775"/>
      <c r="J248" s="775"/>
      <c r="K248" s="775"/>
      <c r="L248" s="775"/>
      <c r="M248" s="775"/>
      <c r="N248" s="775"/>
    </row>
    <row r="249" spans="1:17" s="58" customFormat="1" outlineLevel="3" x14ac:dyDescent="0.2">
      <c r="A249" s="58" t="s">
        <v>166</v>
      </c>
      <c r="B249" s="58" t="s">
        <v>69</v>
      </c>
      <c r="F249" s="58" t="s">
        <v>310</v>
      </c>
      <c r="G249" s="139">
        <v>126.542</v>
      </c>
      <c r="H249" s="53">
        <v>106760.38969420176</v>
      </c>
      <c r="I249" s="53">
        <v>177933.98282366962</v>
      </c>
      <c r="J249" s="53">
        <v>249107.57595313742</v>
      </c>
      <c r="K249" s="53">
        <v>355867.96564733924</v>
      </c>
      <c r="L249" s="53">
        <v>12207.539499358985</v>
      </c>
      <c r="M249" s="53">
        <v>108.8060162400706</v>
      </c>
      <c r="N249" s="53">
        <v>0</v>
      </c>
      <c r="Q249" s="417" t="s">
        <v>941</v>
      </c>
    </row>
    <row r="250" spans="1:17" s="58" customFormat="1" outlineLevel="3" x14ac:dyDescent="0.2">
      <c r="A250" s="58" t="s">
        <v>166</v>
      </c>
      <c r="B250" s="58" t="s">
        <v>68</v>
      </c>
      <c r="F250" s="58" t="s">
        <v>309</v>
      </c>
      <c r="G250" s="139">
        <v>133.73259999999999</v>
      </c>
      <c r="H250" s="53">
        <v>212367.3688</v>
      </c>
      <c r="I250" s="53">
        <v>166788.50424701345</v>
      </c>
      <c r="J250" s="53">
        <v>117055.45914882405</v>
      </c>
      <c r="K250" s="53">
        <v>63750.478757486635</v>
      </c>
      <c r="L250" s="53">
        <v>2102.9701340668307</v>
      </c>
      <c r="M250" s="53">
        <v>18.743810132391879</v>
      </c>
      <c r="N250" s="53">
        <v>18.743810132391879</v>
      </c>
      <c r="Q250" s="417" t="s">
        <v>941</v>
      </c>
    </row>
    <row r="251" spans="1:17" s="58" customFormat="1" ht="4.1500000000000004" customHeight="1" outlineLevel="3" x14ac:dyDescent="0.2"/>
    <row r="252" spans="1:17" s="58" customFormat="1" outlineLevel="2" x14ac:dyDescent="0.2">
      <c r="F252" s="85" t="s">
        <v>1283</v>
      </c>
      <c r="G252" s="85"/>
      <c r="H252" s="140">
        <v>1714095.9748710727</v>
      </c>
      <c r="I252" s="140">
        <v>1866831.8659684507</v>
      </c>
      <c r="J252" s="140">
        <v>1997593.6148186675</v>
      </c>
      <c r="K252" s="140">
        <v>2306377.0548242871</v>
      </c>
      <c r="L252" s="140">
        <v>78673.159422621044</v>
      </c>
      <c r="M252" s="140">
        <v>701.21526637246257</v>
      </c>
      <c r="N252" s="140">
        <v>99.148110107678747</v>
      </c>
    </row>
    <row r="253" spans="1:17" s="58" customFormat="1" outlineLevel="2" x14ac:dyDescent="0.2"/>
    <row r="254" spans="1:17" s="58" customFormat="1" outlineLevel="2" x14ac:dyDescent="0.2">
      <c r="F254" s="65" t="s">
        <v>193</v>
      </c>
    </row>
    <row r="255" spans="1:17" s="58" customFormat="1" ht="4.1500000000000004" customHeight="1" outlineLevel="3" x14ac:dyDescent="0.2"/>
    <row r="256" spans="1:17" s="58" customFormat="1" outlineLevel="3" x14ac:dyDescent="0.2">
      <c r="A256" s="58" t="s">
        <v>193</v>
      </c>
      <c r="F256" s="58" t="s">
        <v>296</v>
      </c>
      <c r="G256" s="558"/>
      <c r="H256" s="128">
        <v>4445</v>
      </c>
      <c r="I256" s="128">
        <v>4113.008141382049</v>
      </c>
      <c r="J256" s="128">
        <v>3560.4297325175494</v>
      </c>
      <c r="K256" s="128">
        <v>2787.3143991770853</v>
      </c>
      <c r="L256" s="128">
        <v>1683.3811364275207</v>
      </c>
      <c r="M256" s="128">
        <v>28.043129921247733</v>
      </c>
      <c r="N256" s="128">
        <v>1</v>
      </c>
    </row>
    <row r="257" spans="1:17" s="58" customFormat="1" outlineLevel="3" x14ac:dyDescent="0.2">
      <c r="A257" s="58" t="s">
        <v>193</v>
      </c>
      <c r="F257" s="58" t="s">
        <v>247</v>
      </c>
      <c r="G257" s="127">
        <v>0.11033061953931692</v>
      </c>
      <c r="H257" s="128">
        <v>-330.99185861795075</v>
      </c>
      <c r="I257" s="128">
        <v>-551.65309769658461</v>
      </c>
      <c r="J257" s="128">
        <v>-772.31433677521841</v>
      </c>
      <c r="K257" s="128">
        <v>-1103.3061953931692</v>
      </c>
      <c r="L257" s="128">
        <v>-1654.9592930897538</v>
      </c>
      <c r="M257" s="128">
        <v>-28.036821005629903</v>
      </c>
      <c r="N257" s="128">
        <v>0</v>
      </c>
      <c r="P257" s="7"/>
      <c r="Q257" s="417" t="s">
        <v>297</v>
      </c>
    </row>
    <row r="258" spans="1:17" s="58" customFormat="1" outlineLevel="3" x14ac:dyDescent="0.2">
      <c r="A258" s="58" t="s">
        <v>193</v>
      </c>
      <c r="F258" s="58" t="s">
        <v>294</v>
      </c>
      <c r="G258" s="127">
        <v>2.2497187851518559E-4</v>
      </c>
      <c r="H258" s="128">
        <v>-1</v>
      </c>
      <c r="I258" s="128">
        <v>-0.92531116791497159</v>
      </c>
      <c r="J258" s="128">
        <v>-0.80099656524579288</v>
      </c>
      <c r="K258" s="128">
        <v>-0.62706735639529476</v>
      </c>
      <c r="L258" s="128">
        <v>-0.37871341651912727</v>
      </c>
      <c r="M258" s="128">
        <v>-6.3089156178285106E-3</v>
      </c>
      <c r="N258" s="128">
        <v>-2.2497187851518559E-4</v>
      </c>
      <c r="P258" s="7"/>
      <c r="Q258" s="417" t="s">
        <v>298</v>
      </c>
    </row>
    <row r="259" spans="1:17" s="58" customFormat="1" ht="4.1500000000000004" customHeight="1" outlineLevel="3" x14ac:dyDescent="0.2">
      <c r="G259" s="127"/>
      <c r="H259" s="128"/>
      <c r="I259" s="128"/>
      <c r="Q259" s="558"/>
    </row>
    <row r="260" spans="1:17" s="58" customFormat="1" outlineLevel="3" x14ac:dyDescent="0.2">
      <c r="A260" s="58" t="s">
        <v>193</v>
      </c>
      <c r="B260" s="58" t="s">
        <v>443</v>
      </c>
      <c r="F260" s="85" t="s">
        <v>295</v>
      </c>
      <c r="G260" s="85"/>
      <c r="H260" s="101">
        <v>4113.008141382049</v>
      </c>
      <c r="I260" s="101">
        <v>3560.4297325175494</v>
      </c>
      <c r="J260" s="101">
        <v>2787.3143991770853</v>
      </c>
      <c r="K260" s="101">
        <v>1683.3811364275207</v>
      </c>
      <c r="L260" s="101">
        <v>28.043129921247733</v>
      </c>
      <c r="M260" s="101">
        <v>1</v>
      </c>
      <c r="N260" s="101">
        <v>1</v>
      </c>
      <c r="Q260" s="558"/>
    </row>
    <row r="261" spans="1:17" s="58" customFormat="1" outlineLevel="3" x14ac:dyDescent="0.2">
      <c r="G261" s="6" t="s">
        <v>991</v>
      </c>
      <c r="H261" s="558"/>
      <c r="I261" s="558"/>
      <c r="J261" s="558"/>
      <c r="K261" s="558"/>
      <c r="L261" s="558"/>
      <c r="M261" s="558"/>
      <c r="N261" s="558"/>
      <c r="Q261" s="558"/>
    </row>
    <row r="262" spans="1:17" s="58" customFormat="1" ht="4.1500000000000004" customHeight="1" outlineLevel="3" x14ac:dyDescent="0.2">
      <c r="G262" s="558"/>
      <c r="H262" s="558"/>
      <c r="I262" s="558"/>
      <c r="J262" s="558"/>
      <c r="K262" s="558"/>
      <c r="L262" s="558"/>
      <c r="M262" s="558"/>
      <c r="N262" s="558"/>
      <c r="Q262" s="558"/>
    </row>
    <row r="263" spans="1:17" s="58" customFormat="1" outlineLevel="3" x14ac:dyDescent="0.2">
      <c r="A263" s="58" t="s">
        <v>193</v>
      </c>
      <c r="B263" s="58" t="s">
        <v>69</v>
      </c>
      <c r="F263" s="58" t="s">
        <v>196</v>
      </c>
      <c r="G263" s="783"/>
      <c r="H263" s="775"/>
      <c r="I263" s="775"/>
      <c r="J263" s="775"/>
      <c r="K263" s="775"/>
      <c r="L263" s="775"/>
      <c r="M263" s="775"/>
      <c r="N263" s="775"/>
      <c r="Q263" s="558"/>
    </row>
    <row r="264" spans="1:17" s="558" customFormat="1" outlineLevel="3" x14ac:dyDescent="0.2">
      <c r="A264" s="558" t="s">
        <v>193</v>
      </c>
      <c r="B264" s="558" t="s">
        <v>69</v>
      </c>
      <c r="F264" s="558" t="s">
        <v>1243</v>
      </c>
      <c r="G264" s="783"/>
      <c r="H264" s="775"/>
      <c r="I264" s="775"/>
      <c r="J264" s="775"/>
      <c r="K264" s="775"/>
      <c r="L264" s="775"/>
      <c r="M264" s="775"/>
      <c r="N264" s="775"/>
    </row>
    <row r="265" spans="1:17" s="58" customFormat="1" outlineLevel="3" x14ac:dyDescent="0.2">
      <c r="A265" s="58" t="s">
        <v>193</v>
      </c>
      <c r="B265" s="58" t="s">
        <v>69</v>
      </c>
      <c r="F265" s="58" t="s">
        <v>310</v>
      </c>
      <c r="G265" s="139">
        <v>126.542</v>
      </c>
      <c r="H265" s="53">
        <v>41884.371773232728</v>
      </c>
      <c r="I265" s="53">
        <v>69807.28628872121</v>
      </c>
      <c r="J265" s="53">
        <v>97730.200804209686</v>
      </c>
      <c r="K265" s="53">
        <v>139614.57257744242</v>
      </c>
      <c r="L265" s="53">
        <v>209421.85886616365</v>
      </c>
      <c r="M265" s="53">
        <v>3547.8354036944193</v>
      </c>
      <c r="N265" s="53">
        <v>0</v>
      </c>
      <c r="Q265" s="417" t="s">
        <v>941</v>
      </c>
    </row>
    <row r="266" spans="1:17" s="58" customFormat="1" outlineLevel="3" x14ac:dyDescent="0.2">
      <c r="A266" s="58" t="s">
        <v>193</v>
      </c>
      <c r="B266" s="58" t="s">
        <v>68</v>
      </c>
      <c r="F266" s="58" t="s">
        <v>309</v>
      </c>
      <c r="G266" s="139">
        <v>133.73259999999999</v>
      </c>
      <c r="H266" s="53">
        <v>133.73259999999999</v>
      </c>
      <c r="I266" s="53">
        <v>123.74426829430573</v>
      </c>
      <c r="J266" s="53">
        <v>107.11935326138952</v>
      </c>
      <c r="K266" s="53">
        <v>83.859347945869388</v>
      </c>
      <c r="L266" s="53">
        <v>50.646329845985832</v>
      </c>
      <c r="M266" s="53">
        <v>0.84370768875281299</v>
      </c>
      <c r="N266" s="53">
        <v>3.0086074240719907E-2</v>
      </c>
      <c r="Q266" s="417" t="s">
        <v>941</v>
      </c>
    </row>
    <row r="267" spans="1:17" s="58" customFormat="1" ht="4.1500000000000004" customHeight="1" outlineLevel="3" x14ac:dyDescent="0.2"/>
    <row r="268" spans="1:17" s="58" customFormat="1" outlineLevel="2" x14ac:dyDescent="0.2">
      <c r="F268" s="85" t="s">
        <v>1284</v>
      </c>
      <c r="G268" s="85"/>
      <c r="H268" s="140">
        <v>232470.36002371728</v>
      </c>
      <c r="I268" s="140">
        <v>386926.1666127686</v>
      </c>
      <c r="J268" s="140">
        <v>541346.86802897521</v>
      </c>
      <c r="K268" s="140">
        <v>772986.79283125303</v>
      </c>
      <c r="L268" s="140">
        <v>1159082.7110471537</v>
      </c>
      <c r="M268" s="140">
        <v>19636.053576632919</v>
      </c>
      <c r="N268" s="140">
        <v>0.15914466591676041</v>
      </c>
    </row>
    <row r="269" spans="1:17" s="58" customFormat="1" outlineLevel="2" x14ac:dyDescent="0.2"/>
    <row r="270" spans="1:17" s="58" customFormat="1" outlineLevel="1" x14ac:dyDescent="0.2">
      <c r="F270" s="131" t="s">
        <v>302</v>
      </c>
    </row>
    <row r="271" spans="1:17" s="58" customFormat="1" ht="4.1500000000000004" customHeight="1" outlineLevel="1" x14ac:dyDescent="0.2"/>
    <row r="272" spans="1:17" s="58" customFormat="1" outlineLevel="1" x14ac:dyDescent="0.2">
      <c r="F272" s="58" t="s">
        <v>296</v>
      </c>
      <c r="G272" s="128"/>
      <c r="H272" s="150">
        <v>40288</v>
      </c>
      <c r="I272" s="128">
        <v>35693</v>
      </c>
      <c r="J272" s="128">
        <v>29439.343896041806</v>
      </c>
      <c r="K272" s="128">
        <v>21558.442390072647</v>
      </c>
      <c r="L272" s="128">
        <v>11077.352295117991</v>
      </c>
      <c r="M272" s="128">
        <v>181.88413342507576</v>
      </c>
      <c r="N272" s="128">
        <v>5</v>
      </c>
    </row>
    <row r="273" spans="2:14" s="58" customFormat="1" outlineLevel="1" x14ac:dyDescent="0.2">
      <c r="B273" s="558"/>
      <c r="F273" s="58" t="s">
        <v>247</v>
      </c>
      <c r="G273" s="127"/>
      <c r="H273" s="128">
        <v>-3000</v>
      </c>
      <c r="I273" s="128">
        <v>-5000</v>
      </c>
      <c r="J273" s="128">
        <v>-7000</v>
      </c>
      <c r="K273" s="128">
        <v>-10000</v>
      </c>
      <c r="L273" s="128">
        <v>-10878.092578182346</v>
      </c>
      <c r="M273" s="128">
        <v>-181.7004767633079</v>
      </c>
      <c r="N273" s="128">
        <v>0</v>
      </c>
    </row>
    <row r="274" spans="2:14" s="58" customFormat="1" outlineLevel="1" x14ac:dyDescent="0.2">
      <c r="B274" s="558"/>
      <c r="F274" s="58" t="s">
        <v>294</v>
      </c>
      <c r="G274" s="128"/>
      <c r="H274" s="128">
        <v>-1595</v>
      </c>
      <c r="I274" s="128">
        <v>-1253.6561039581979</v>
      </c>
      <c r="J274" s="128">
        <v>-880.90150596915566</v>
      </c>
      <c r="K274" s="128">
        <v>-481.09009495465551</v>
      </c>
      <c r="L274" s="128">
        <v>-18.37558351057103</v>
      </c>
      <c r="M274" s="128">
        <v>-0.18365666176787102</v>
      </c>
      <c r="N274" s="128">
        <v>-0.14123004433631278</v>
      </c>
    </row>
    <row r="275" spans="2:14" s="58" customFormat="1" ht="4.1500000000000004" customHeight="1" outlineLevel="1" x14ac:dyDescent="0.2">
      <c r="G275" s="127"/>
      <c r="H275" s="128"/>
      <c r="I275" s="128"/>
      <c r="J275" s="128"/>
      <c r="K275" s="128"/>
      <c r="L275" s="128"/>
      <c r="M275" s="128"/>
      <c r="N275" s="128"/>
    </row>
    <row r="276" spans="2:14" s="58" customFormat="1" outlineLevel="1" x14ac:dyDescent="0.2">
      <c r="F276" s="129" t="s">
        <v>1247</v>
      </c>
      <c r="G276" s="129"/>
      <c r="H276" s="101">
        <v>35693</v>
      </c>
      <c r="I276" s="101">
        <v>29439.343896041803</v>
      </c>
      <c r="J276" s="101">
        <v>21558.442390072651</v>
      </c>
      <c r="K276" s="101">
        <v>11077.352295117991</v>
      </c>
      <c r="L276" s="101">
        <v>180.88413342507394</v>
      </c>
      <c r="M276" s="101">
        <v>1</v>
      </c>
      <c r="N276" s="101">
        <v>4.8587699556636874</v>
      </c>
    </row>
    <row r="277" spans="2:14" outlineLevel="1" x14ac:dyDescent="0.2"/>
    <row r="278" spans="2:14" s="58" customFormat="1" ht="4.1500000000000004" customHeight="1" outlineLevel="1" x14ac:dyDescent="0.2"/>
    <row r="279" spans="2:14" s="58" customFormat="1" outlineLevel="1" x14ac:dyDescent="0.2">
      <c r="F279" s="58" t="s">
        <v>196</v>
      </c>
      <c r="H279" s="53">
        <v>1720996.3200000003</v>
      </c>
      <c r="I279" s="53">
        <v>2868327.2</v>
      </c>
      <c r="J279" s="53">
        <v>4015658.080000001</v>
      </c>
      <c r="K279" s="53">
        <v>5736654.4000000004</v>
      </c>
      <c r="L279" s="53">
        <v>6240385.7652237099</v>
      </c>
      <c r="M279" s="53">
        <v>104235.2839506328</v>
      </c>
      <c r="N279" s="53">
        <v>0</v>
      </c>
    </row>
    <row r="280" spans="2:14" s="558" customFormat="1" outlineLevel="1" x14ac:dyDescent="0.2">
      <c r="F280" s="558" t="s">
        <v>1243</v>
      </c>
      <c r="H280" s="53">
        <v>914996.37680000009</v>
      </c>
      <c r="I280" s="53">
        <v>719179.18048586557</v>
      </c>
      <c r="J280" s="53">
        <v>505342.75001845846</v>
      </c>
      <c r="K280" s="53">
        <v>275984.76100180426</v>
      </c>
      <c r="L280" s="53">
        <v>10541.437199848478</v>
      </c>
      <c r="M280" s="53">
        <v>105.35747968199692</v>
      </c>
      <c r="N280" s="53">
        <v>81.018795525410397</v>
      </c>
    </row>
    <row r="281" spans="2:14" s="58" customFormat="1" outlineLevel="1" x14ac:dyDescent="0.2">
      <c r="F281" s="58" t="s">
        <v>310</v>
      </c>
      <c r="H281" s="53">
        <v>379626</v>
      </c>
      <c r="I281" s="53">
        <v>632710</v>
      </c>
      <c r="J281" s="53">
        <v>885794.00000000012</v>
      </c>
      <c r="K281" s="53">
        <v>1265420</v>
      </c>
      <c r="L281" s="53">
        <v>1376535.5910283504</v>
      </c>
      <c r="M281" s="53">
        <v>22992.741730582507</v>
      </c>
      <c r="N281" s="53">
        <v>0</v>
      </c>
    </row>
    <row r="282" spans="2:14" s="58" customFormat="1" outlineLevel="1" x14ac:dyDescent="0.2">
      <c r="F282" s="58" t="s">
        <v>309</v>
      </c>
      <c r="H282" s="53">
        <v>213303.49699999997</v>
      </c>
      <c r="I282" s="53">
        <v>167654.69028820007</v>
      </c>
      <c r="J282" s="53">
        <v>117805.2487371707</v>
      </c>
      <c r="K282" s="53">
        <v>64337.429232532966</v>
      </c>
      <c r="L282" s="53">
        <v>2457.4145593857911</v>
      </c>
      <c r="M282" s="53">
        <v>24.560882885537985</v>
      </c>
      <c r="N282" s="53">
        <v>18.887061027210382</v>
      </c>
    </row>
    <row r="283" spans="2:14" s="58" customFormat="1" ht="4.1500000000000004" customHeight="1" outlineLevel="1" x14ac:dyDescent="0.2"/>
    <row r="284" spans="2:14" s="58" customFormat="1" outlineLevel="1" x14ac:dyDescent="0.2">
      <c r="F284" s="85" t="s">
        <v>1248</v>
      </c>
      <c r="G284" s="85"/>
      <c r="H284" s="140">
        <v>3228922.1938000005</v>
      </c>
      <c r="I284" s="140">
        <v>4387871.0707740663</v>
      </c>
      <c r="J284" s="140">
        <v>5524600.0787556302</v>
      </c>
      <c r="K284" s="140">
        <v>7342396.5902343374</v>
      </c>
      <c r="L284" s="140">
        <v>7629920.2080112947</v>
      </c>
      <c r="M284" s="140">
        <v>127357.94404378285</v>
      </c>
      <c r="N284" s="140">
        <v>99.905856552620776</v>
      </c>
    </row>
    <row r="285" spans="2:14" outlineLevel="1" x14ac:dyDescent="0.2"/>
    <row r="286" spans="2:14" s="58" customFormat="1" ht="12.75" outlineLevel="1" x14ac:dyDescent="0.2">
      <c r="D286" s="5" t="s">
        <v>312</v>
      </c>
    </row>
    <row r="287" spans="2:14" s="58" customFormat="1" outlineLevel="1" x14ac:dyDescent="0.2">
      <c r="F287" s="65" t="s">
        <v>161</v>
      </c>
    </row>
    <row r="288" spans="2:14" s="58" customFormat="1" ht="4.1500000000000004" customHeight="1" outlineLevel="1" x14ac:dyDescent="0.2"/>
    <row r="289" spans="1:17" s="58" customFormat="1" outlineLevel="1" x14ac:dyDescent="0.2">
      <c r="A289" s="58" t="s">
        <v>161</v>
      </c>
      <c r="F289" s="58" t="s">
        <v>1181</v>
      </c>
      <c r="H289" s="128">
        <v>24733</v>
      </c>
      <c r="I289" s="128">
        <v>58091</v>
      </c>
      <c r="J289" s="128">
        <v>99637.698165777489</v>
      </c>
      <c r="K289" s="128">
        <v>118671.00000000001</v>
      </c>
      <c r="L289" s="128">
        <v>118677.00000000001</v>
      </c>
      <c r="M289" s="128">
        <v>118677.24832232091</v>
      </c>
      <c r="N289" s="128">
        <v>118677.49664464181</v>
      </c>
    </row>
    <row r="290" spans="1:17" s="58" customFormat="1" outlineLevel="1" x14ac:dyDescent="0.2">
      <c r="A290" s="58" t="s">
        <v>161</v>
      </c>
      <c r="B290" s="558"/>
      <c r="F290" s="58" t="s">
        <v>247</v>
      </c>
      <c r="G290" s="127"/>
      <c r="H290" s="150">
        <v>30000</v>
      </c>
      <c r="I290" s="128">
        <v>39679.084093009442</v>
      </c>
      <c r="J290" s="128">
        <v>18742.646896741189</v>
      </c>
      <c r="K290" s="128">
        <v>5.7516776791062938</v>
      </c>
      <c r="L290" s="128">
        <v>0</v>
      </c>
      <c r="M290" s="128">
        <v>0</v>
      </c>
      <c r="N290" s="128">
        <v>0</v>
      </c>
      <c r="P290" s="7"/>
      <c r="Q290" s="8" t="s">
        <v>297</v>
      </c>
    </row>
    <row r="291" spans="1:17" s="58" customFormat="1" outlineLevel="1" x14ac:dyDescent="0.2">
      <c r="A291" s="58" t="s">
        <v>161</v>
      </c>
      <c r="B291" s="558"/>
      <c r="F291" s="58" t="s">
        <v>294</v>
      </c>
      <c r="G291" s="127"/>
      <c r="H291" s="128">
        <v>3358</v>
      </c>
      <c r="I291" s="128">
        <v>1867.6140727680461</v>
      </c>
      <c r="J291" s="128">
        <v>290.65493748133173</v>
      </c>
      <c r="K291" s="128">
        <v>0.24832232089370548</v>
      </c>
      <c r="L291" s="128">
        <v>0.24832232089370548</v>
      </c>
      <c r="M291" s="128">
        <v>0.24832232089370548</v>
      </c>
      <c r="N291" s="128">
        <v>0.24832232089370548</v>
      </c>
      <c r="P291" s="7"/>
      <c r="Q291" s="8" t="s">
        <v>298</v>
      </c>
    </row>
    <row r="292" spans="1:17" s="58" customFormat="1" ht="4.1500000000000004" customHeight="1" outlineLevel="1" x14ac:dyDescent="0.2">
      <c r="G292" s="127"/>
      <c r="H292" s="128"/>
      <c r="I292" s="128"/>
      <c r="J292" s="128"/>
      <c r="K292" s="128"/>
      <c r="L292" s="128"/>
      <c r="M292" s="128"/>
      <c r="N292" s="128"/>
    </row>
    <row r="293" spans="1:17" s="58" customFormat="1" outlineLevel="1" x14ac:dyDescent="0.2">
      <c r="A293" s="58" t="s">
        <v>161</v>
      </c>
      <c r="B293" s="58" t="s">
        <v>443</v>
      </c>
      <c r="F293" s="85" t="s">
        <v>1179</v>
      </c>
      <c r="G293" s="85"/>
      <c r="H293" s="101">
        <v>58091</v>
      </c>
      <c r="I293" s="101">
        <v>99637.698165777489</v>
      </c>
      <c r="J293" s="101">
        <v>118671.00000000001</v>
      </c>
      <c r="K293" s="101">
        <v>118677.00000000001</v>
      </c>
      <c r="L293" s="101">
        <v>118677.24832232091</v>
      </c>
      <c r="M293" s="101">
        <v>118677.49664464181</v>
      </c>
      <c r="N293" s="101">
        <v>118677.74496696271</v>
      </c>
    </row>
    <row r="294" spans="1:17" outlineLevel="1" x14ac:dyDescent="0.2">
      <c r="H294" s="58"/>
    </row>
    <row r="295" spans="1:17" ht="12.75" outlineLevel="1" x14ac:dyDescent="0.2">
      <c r="D295" s="5" t="s">
        <v>311</v>
      </c>
    </row>
    <row r="296" spans="1:17" s="58" customFormat="1" outlineLevel="1" x14ac:dyDescent="0.2">
      <c r="F296" s="65" t="s">
        <v>188</v>
      </c>
    </row>
    <row r="297" spans="1:17" s="58" customFormat="1" ht="4.1500000000000004" customHeight="1" outlineLevel="1" x14ac:dyDescent="0.2"/>
    <row r="298" spans="1:17" s="58" customFormat="1" outlineLevel="1" x14ac:dyDescent="0.2">
      <c r="A298" s="58" t="s">
        <v>188</v>
      </c>
      <c r="F298" s="58" t="s">
        <v>1181</v>
      </c>
      <c r="H298" s="58">
        <v>145</v>
      </c>
      <c r="I298" s="128">
        <v>4740</v>
      </c>
      <c r="J298" s="128">
        <v>10993.656103958197</v>
      </c>
      <c r="K298" s="128">
        <v>18874.557609927353</v>
      </c>
      <c r="L298" s="128">
        <v>29355.647704882009</v>
      </c>
      <c r="M298" s="128">
        <v>40252.115866574924</v>
      </c>
      <c r="N298" s="128">
        <v>40434</v>
      </c>
    </row>
    <row r="299" spans="1:17" s="58" customFormat="1" outlineLevel="1" x14ac:dyDescent="0.2">
      <c r="A299" s="58" t="s">
        <v>188</v>
      </c>
      <c r="B299" s="558"/>
      <c r="F299" s="58" t="s">
        <v>247</v>
      </c>
      <c r="G299" s="127"/>
      <c r="H299" s="128">
        <v>3000</v>
      </c>
      <c r="I299" s="128">
        <v>5000</v>
      </c>
      <c r="J299" s="128">
        <v>7000</v>
      </c>
      <c r="K299" s="128">
        <v>10000</v>
      </c>
      <c r="L299" s="128">
        <v>10878.092578182346</v>
      </c>
      <c r="M299" s="128">
        <v>181.7004767633079</v>
      </c>
      <c r="N299" s="128">
        <v>0</v>
      </c>
      <c r="P299" s="7"/>
      <c r="Q299" s="8" t="s">
        <v>297</v>
      </c>
    </row>
    <row r="300" spans="1:17" s="58" customFormat="1" outlineLevel="1" x14ac:dyDescent="0.2">
      <c r="A300" s="58" t="s">
        <v>188</v>
      </c>
      <c r="B300" s="558"/>
      <c r="F300" s="58" t="s">
        <v>294</v>
      </c>
      <c r="G300" s="127"/>
      <c r="H300" s="128">
        <v>1595</v>
      </c>
      <c r="I300" s="128">
        <v>1253.6561039581979</v>
      </c>
      <c r="J300" s="128">
        <v>880.90150596915566</v>
      </c>
      <c r="K300" s="128">
        <v>481.09009495465551</v>
      </c>
      <c r="L300" s="128">
        <v>18.37558351057103</v>
      </c>
      <c r="M300" s="128">
        <v>0.18365666176787102</v>
      </c>
      <c r="N300" s="128">
        <v>0.14123004433631278</v>
      </c>
      <c r="P300" s="7"/>
      <c r="Q300" s="8" t="s">
        <v>298</v>
      </c>
    </row>
    <row r="301" spans="1:17" s="58" customFormat="1" ht="4.1500000000000004" customHeight="1" outlineLevel="1" x14ac:dyDescent="0.2">
      <c r="G301" s="127"/>
      <c r="H301" s="128"/>
      <c r="I301" s="128"/>
      <c r="J301" s="128"/>
      <c r="K301" s="128"/>
      <c r="L301" s="128"/>
      <c r="M301" s="128"/>
      <c r="N301" s="128"/>
    </row>
    <row r="302" spans="1:17" s="58" customFormat="1" outlineLevel="1" x14ac:dyDescent="0.2">
      <c r="A302" s="58" t="s">
        <v>188</v>
      </c>
      <c r="B302" s="58" t="s">
        <v>443</v>
      </c>
      <c r="F302" s="85" t="s">
        <v>1179</v>
      </c>
      <c r="G302" s="85"/>
      <c r="H302" s="101">
        <v>4740</v>
      </c>
      <c r="I302" s="101">
        <v>10993.656103958197</v>
      </c>
      <c r="J302" s="101">
        <v>18874.557609927353</v>
      </c>
      <c r="K302" s="101">
        <v>29355.647704882009</v>
      </c>
      <c r="L302" s="101">
        <v>40252.115866574924</v>
      </c>
      <c r="M302" s="101">
        <v>40434</v>
      </c>
      <c r="N302" s="101">
        <v>40434.141230044333</v>
      </c>
    </row>
    <row r="303" spans="1:17" outlineLevel="1" x14ac:dyDescent="0.2"/>
    <row r="304" spans="1:17" s="58" customFormat="1" outlineLevel="1" x14ac:dyDescent="0.2"/>
    <row r="305" spans="1:17" s="58" customFormat="1" ht="12.75" outlineLevel="1" x14ac:dyDescent="0.2">
      <c r="D305" s="5" t="s">
        <v>313</v>
      </c>
    </row>
    <row r="306" spans="1:17" s="58" customFormat="1" outlineLevel="1" x14ac:dyDescent="0.2">
      <c r="F306" s="65" t="s">
        <v>170</v>
      </c>
    </row>
    <row r="307" spans="1:17" s="58" customFormat="1" ht="4.1500000000000004" customHeight="1" outlineLevel="1" x14ac:dyDescent="0.2"/>
    <row r="308" spans="1:17" s="58" customFormat="1" outlineLevel="1" x14ac:dyDescent="0.2">
      <c r="A308" s="58" t="s">
        <v>170</v>
      </c>
      <c r="F308" s="58" t="s">
        <v>296</v>
      </c>
      <c r="H308" s="150">
        <v>1068</v>
      </c>
      <c r="I308" s="128">
        <v>1068</v>
      </c>
      <c r="J308" s="128">
        <v>1068</v>
      </c>
      <c r="K308" s="128">
        <v>1068</v>
      </c>
      <c r="L308" s="128">
        <v>1068</v>
      </c>
      <c r="M308" s="128">
        <v>1068</v>
      </c>
      <c r="N308" s="128">
        <v>1068</v>
      </c>
    </row>
    <row r="309" spans="1:17" s="58" customFormat="1" outlineLevel="1" x14ac:dyDescent="0.2">
      <c r="A309" s="58" t="s">
        <v>170</v>
      </c>
      <c r="F309" s="58" t="s">
        <v>247</v>
      </c>
      <c r="G309" s="127"/>
      <c r="H309" s="128"/>
      <c r="I309" s="128"/>
      <c r="J309" s="128"/>
      <c r="K309" s="128"/>
      <c r="L309" s="128"/>
      <c r="M309" s="128"/>
      <c r="N309" s="128"/>
      <c r="P309" s="7"/>
      <c r="Q309" s="8" t="s">
        <v>297</v>
      </c>
    </row>
    <row r="310" spans="1:17" s="58" customFormat="1" outlineLevel="1" x14ac:dyDescent="0.2">
      <c r="A310" s="58" t="s">
        <v>170</v>
      </c>
      <c r="F310" s="58" t="s">
        <v>294</v>
      </c>
      <c r="G310" s="127"/>
      <c r="H310" s="128"/>
      <c r="I310" s="128"/>
      <c r="J310" s="128"/>
      <c r="K310" s="128"/>
      <c r="L310" s="128"/>
      <c r="M310" s="128"/>
      <c r="N310" s="128"/>
      <c r="P310" s="7"/>
      <c r="Q310" s="8" t="s">
        <v>298</v>
      </c>
    </row>
    <row r="311" spans="1:17" s="58" customFormat="1" ht="4.1500000000000004" customHeight="1" outlineLevel="1" x14ac:dyDescent="0.2">
      <c r="G311" s="127"/>
      <c r="H311" s="128"/>
      <c r="I311" s="128"/>
      <c r="J311" s="128"/>
      <c r="K311" s="128"/>
      <c r="L311" s="128"/>
      <c r="M311" s="128"/>
      <c r="N311" s="128"/>
    </row>
    <row r="312" spans="1:17" s="58" customFormat="1" outlineLevel="1" x14ac:dyDescent="0.2">
      <c r="A312" s="58" t="s">
        <v>170</v>
      </c>
      <c r="B312" s="58" t="s">
        <v>443</v>
      </c>
      <c r="F312" s="85" t="s">
        <v>295</v>
      </c>
      <c r="G312" s="85"/>
      <c r="H312" s="101">
        <v>1068</v>
      </c>
      <c r="I312" s="101">
        <v>1068</v>
      </c>
      <c r="J312" s="101">
        <v>1068</v>
      </c>
      <c r="K312" s="101">
        <v>1068</v>
      </c>
      <c r="L312" s="101">
        <v>1068</v>
      </c>
      <c r="M312" s="101">
        <v>1068</v>
      </c>
      <c r="N312" s="101">
        <v>1068</v>
      </c>
    </row>
    <row r="313" spans="1:17" s="58" customFormat="1" outlineLevel="1" x14ac:dyDescent="0.2"/>
    <row r="314" spans="1:17" s="58" customFormat="1" outlineLevel="1" x14ac:dyDescent="0.2"/>
    <row r="315" spans="1:17" s="58" customFormat="1" ht="12.75" outlineLevel="1" x14ac:dyDescent="0.2">
      <c r="D315" s="5" t="s">
        <v>496</v>
      </c>
    </row>
    <row r="316" spans="1:17" s="58" customFormat="1" outlineLevel="1" x14ac:dyDescent="0.2">
      <c r="A316" s="58" t="s">
        <v>489</v>
      </c>
      <c r="B316" s="58" t="s">
        <v>443</v>
      </c>
      <c r="F316" s="65" t="s">
        <v>489</v>
      </c>
      <c r="G316" s="177"/>
      <c r="H316" s="178">
        <v>265</v>
      </c>
      <c r="I316" s="178">
        <v>265</v>
      </c>
      <c r="J316" s="178">
        <v>265</v>
      </c>
      <c r="K316" s="178">
        <v>265</v>
      </c>
      <c r="L316" s="178">
        <v>265</v>
      </c>
      <c r="M316" s="178">
        <v>265</v>
      </c>
      <c r="N316" s="178">
        <v>265</v>
      </c>
    </row>
    <row r="317" spans="1:17" s="58" customFormat="1" outlineLevel="1" x14ac:dyDescent="0.2">
      <c r="A317" s="58" t="s">
        <v>486</v>
      </c>
      <c r="B317" s="58" t="s">
        <v>443</v>
      </c>
      <c r="F317" s="65" t="s">
        <v>486</v>
      </c>
      <c r="G317" s="177"/>
      <c r="H317" s="178">
        <v>4299</v>
      </c>
      <c r="I317" s="178">
        <v>4299</v>
      </c>
      <c r="J317" s="178">
        <v>4299</v>
      </c>
      <c r="K317" s="178">
        <v>4299</v>
      </c>
      <c r="L317" s="178">
        <v>4299</v>
      </c>
      <c r="M317" s="178">
        <v>4299</v>
      </c>
      <c r="N317" s="178">
        <v>4299</v>
      </c>
    </row>
    <row r="318" spans="1:17" s="58" customFormat="1" outlineLevel="1" x14ac:dyDescent="0.2">
      <c r="A318" s="58" t="s">
        <v>171</v>
      </c>
      <c r="B318" s="58" t="s">
        <v>443</v>
      </c>
      <c r="F318" s="65" t="s">
        <v>171</v>
      </c>
      <c r="G318" s="177"/>
      <c r="H318" s="178">
        <v>20032</v>
      </c>
      <c r="I318" s="178">
        <v>20032</v>
      </c>
      <c r="J318" s="178">
        <v>20032</v>
      </c>
      <c r="K318" s="178">
        <v>20032</v>
      </c>
      <c r="L318" s="178">
        <v>20032</v>
      </c>
      <c r="M318" s="178">
        <v>20032</v>
      </c>
      <c r="N318" s="178">
        <v>20032</v>
      </c>
    </row>
    <row r="319" spans="1:17" s="58" customFormat="1" outlineLevel="1" x14ac:dyDescent="0.2"/>
    <row r="320" spans="1:17" s="58" customFormat="1" outlineLevel="1" x14ac:dyDescent="0.2">
      <c r="A320" s="120" t="s">
        <v>262</v>
      </c>
    </row>
    <row r="321" spans="1:17" ht="12.75" x14ac:dyDescent="0.2">
      <c r="A321" s="227" t="s">
        <v>523</v>
      </c>
      <c r="B321" s="80" t="s">
        <v>522</v>
      </c>
    </row>
    <row r="322" spans="1:17" ht="15.75" thickBot="1" x14ac:dyDescent="0.3">
      <c r="A322" s="10" t="s">
        <v>31</v>
      </c>
      <c r="B322" s="10"/>
      <c r="C322" s="10"/>
      <c r="D322" s="10"/>
      <c r="E322" s="10"/>
      <c r="F322" s="10"/>
      <c r="G322" s="51"/>
      <c r="H322" s="10"/>
      <c r="I322" s="10"/>
      <c r="J322" s="10"/>
      <c r="K322" s="10"/>
      <c r="L322" s="10"/>
      <c r="M322" s="10"/>
      <c r="N322" s="10"/>
      <c r="O322" s="10"/>
      <c r="P322" s="10"/>
      <c r="Q322" s="10"/>
    </row>
    <row r="323" spans="1:17" ht="12.75" x14ac:dyDescent="0.2">
      <c r="G323" s="50"/>
      <c r="H323" s="43" t="s">
        <v>251</v>
      </c>
      <c r="I323" s="43" t="s">
        <v>252</v>
      </c>
      <c r="J323" s="43" t="s">
        <v>253</v>
      </c>
      <c r="K323" s="43" t="s">
        <v>254</v>
      </c>
      <c r="L323" s="43" t="s">
        <v>255</v>
      </c>
      <c r="M323" s="43" t="s">
        <v>256</v>
      </c>
      <c r="N323" s="43" t="s">
        <v>257</v>
      </c>
    </row>
    <row r="324" spans="1:17" x14ac:dyDescent="0.2">
      <c r="G324" s="50"/>
    </row>
    <row r="325" spans="1:17" x14ac:dyDescent="0.2">
      <c r="A325" t="s">
        <v>356</v>
      </c>
      <c r="F325" t="s">
        <v>189</v>
      </c>
      <c r="G325" s="50" t="s">
        <v>58</v>
      </c>
      <c r="H325" s="40">
        <v>30000</v>
      </c>
      <c r="I325" s="40">
        <v>40000</v>
      </c>
      <c r="J325" s="40">
        <v>40000</v>
      </c>
      <c r="K325" s="40">
        <v>20000</v>
      </c>
      <c r="L325" s="40"/>
      <c r="M325" s="40"/>
      <c r="N325" s="40"/>
      <c r="P325" s="7" t="s">
        <v>288</v>
      </c>
      <c r="Q325" s="8"/>
    </row>
    <row r="326" spans="1:17" x14ac:dyDescent="0.2">
      <c r="A326" t="s">
        <v>356</v>
      </c>
      <c r="F326" t="s">
        <v>190</v>
      </c>
      <c r="G326" s="50" t="s">
        <v>58</v>
      </c>
      <c r="H326" s="40">
        <v>3000</v>
      </c>
      <c r="I326" s="40">
        <v>5000</v>
      </c>
      <c r="J326" s="40">
        <v>7000</v>
      </c>
      <c r="K326" s="40">
        <v>10000</v>
      </c>
      <c r="L326" s="40">
        <v>15000</v>
      </c>
      <c r="M326" s="40">
        <v>4000</v>
      </c>
      <c r="N326" s="40"/>
      <c r="P326" s="7" t="s">
        <v>288</v>
      </c>
      <c r="Q326" s="8"/>
    </row>
    <row r="328" spans="1:17" s="558" customFormat="1" x14ac:dyDescent="0.2"/>
    <row r="329" spans="1:17" x14ac:dyDescent="0.2">
      <c r="D329" s="58"/>
      <c r="E329" s="38" t="s">
        <v>353</v>
      </c>
      <c r="F329" s="58"/>
      <c r="G329" s="58"/>
      <c r="H329" s="58"/>
      <c r="I329" s="58"/>
      <c r="J329" s="58"/>
      <c r="K329" s="58"/>
      <c r="L329" s="58"/>
      <c r="M329" s="58"/>
      <c r="N329" s="39"/>
    </row>
    <row r="330" spans="1:17" x14ac:dyDescent="0.2">
      <c r="D330" s="58"/>
      <c r="E330" s="58"/>
      <c r="F330" s="136" t="s">
        <v>6</v>
      </c>
      <c r="G330" s="137" t="s">
        <v>249</v>
      </c>
      <c r="J330" s="58"/>
      <c r="K330" s="58"/>
      <c r="L330" s="58"/>
      <c r="M330" s="58"/>
    </row>
    <row r="331" spans="1:17" x14ac:dyDescent="0.2">
      <c r="D331" s="58"/>
      <c r="E331" s="58"/>
      <c r="F331" s="58" t="s">
        <v>196</v>
      </c>
      <c r="G331" t="s">
        <v>69</v>
      </c>
      <c r="J331" s="58"/>
      <c r="K331" s="58"/>
      <c r="L331" s="58"/>
      <c r="M331" s="58"/>
      <c r="P331" s="7"/>
      <c r="Q331" s="8" t="s">
        <v>187</v>
      </c>
    </row>
    <row r="332" spans="1:17" s="558" customFormat="1" x14ac:dyDescent="0.2">
      <c r="F332" s="558" t="s">
        <v>1243</v>
      </c>
      <c r="G332" s="558" t="s">
        <v>69</v>
      </c>
      <c r="P332" s="7"/>
      <c r="Q332" s="8" t="s">
        <v>1244</v>
      </c>
    </row>
    <row r="333" spans="1:17" x14ac:dyDescent="0.2">
      <c r="D333" s="58"/>
      <c r="E333" s="58"/>
      <c r="F333" s="58" t="s">
        <v>309</v>
      </c>
      <c r="G333" t="s">
        <v>68</v>
      </c>
      <c r="J333" s="58"/>
      <c r="K333" s="58"/>
      <c r="L333" s="58"/>
      <c r="M333" s="58"/>
      <c r="P333" s="7"/>
      <c r="Q333" s="417" t="s">
        <v>1246</v>
      </c>
    </row>
    <row r="334" spans="1:17" x14ac:dyDescent="0.2">
      <c r="F334" s="58" t="s">
        <v>310</v>
      </c>
      <c r="G334" t="s">
        <v>69</v>
      </c>
      <c r="P334" s="7" t="s">
        <v>359</v>
      </c>
      <c r="Q334" s="417" t="s">
        <v>1245</v>
      </c>
    </row>
    <row r="336" spans="1:17" x14ac:dyDescent="0.2">
      <c r="H336" s="386"/>
      <c r="I336" s="386"/>
      <c r="J336" s="386"/>
      <c r="K336" s="386"/>
      <c r="L336" s="386"/>
      <c r="M336" s="386"/>
    </row>
  </sheetData>
  <dataValidations count="1">
    <dataValidation type="list" allowBlank="1" showInputMessage="1" showErrorMessage="1" sqref="F322 F91 F338:F340 F53 F70:F75 F27 F49 F43:F47 F29:F31 F36:F41 F51 F313 F10:F15 F25 F55:F57 F17:F21 F23" xr:uid="{00000000-0002-0000-1200-000000000000}">
      <formula1>Base_Light_lst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1:E29"/>
  <sheetViews>
    <sheetView showGridLines="0" zoomScale="160" zoomScaleNormal="160" workbookViewId="0">
      <selection activeCell="D17" sqref="D17"/>
    </sheetView>
  </sheetViews>
  <sheetFormatPr defaultColWidth="0" defaultRowHeight="12" zeroHeight="1" x14ac:dyDescent="0.2"/>
  <cols>
    <col min="1" max="1" width="2.83203125" customWidth="1"/>
    <col min="2" max="2" width="20.5" customWidth="1"/>
    <col min="3" max="3" width="49.1640625" bestFit="1" customWidth="1"/>
    <col min="4" max="4" width="12.83203125" customWidth="1"/>
    <col min="5" max="5" width="2.83203125" customWidth="1"/>
    <col min="6" max="16384" width="10.5" hidden="1"/>
  </cols>
  <sheetData>
    <row r="1" spans="2:4" ht="19.5" thickBot="1" x14ac:dyDescent="0.35">
      <c r="B1" s="23" t="str">
        <f>A_Name_Model</f>
        <v>Public Lighting Model</v>
      </c>
      <c r="C1" s="23"/>
      <c r="D1" s="23"/>
    </row>
    <row r="2" spans="2:4" ht="17.25" thickTop="1" thickBot="1" x14ac:dyDescent="0.3">
      <c r="B2" s="4" t="str">
        <f ca="1">RIGHT(CELL("filename",B2),LEN(CELL("filename",B2))-FIND("]",CELL("filename",B2)))</f>
        <v>Administration</v>
      </c>
    </row>
    <row r="3" spans="2:4" ht="12.75" thickTop="1" x14ac:dyDescent="0.2"/>
    <row r="4" spans="2:4" ht="12.75" x14ac:dyDescent="0.2">
      <c r="B4" s="22" t="s">
        <v>8</v>
      </c>
      <c r="C4" s="21" t="s">
        <v>19</v>
      </c>
    </row>
    <row r="5" spans="2:4" x14ac:dyDescent="0.2"/>
    <row r="6" spans="2:4" ht="12.75" x14ac:dyDescent="0.2">
      <c r="B6" s="5" t="s">
        <v>7</v>
      </c>
      <c r="C6" s="7" t="str">
        <f ca="1">MID(CELL("filename",$C$6),FIND("[",CELL("filename",$C$6))+1,FIND("]",CELL("filename",$C$6))-FIND("[",CELL("filename",$C$6))-1)</f>
        <v>SAPN - 14.6 - Public Lighting Pricing Model - January 2019 - Public.xlsx</v>
      </c>
    </row>
    <row r="7" spans="2:4" x14ac:dyDescent="0.2"/>
    <row r="8" spans="2:4" x14ac:dyDescent="0.2"/>
    <row r="9" spans="2:4" x14ac:dyDescent="0.2"/>
    <row r="10" spans="2:4" ht="16.5" thickBot="1" x14ac:dyDescent="0.3">
      <c r="B10" s="4" t="s">
        <v>1259</v>
      </c>
      <c r="C10" s="4"/>
      <c r="D10" s="4"/>
    </row>
    <row r="11" spans="2:4" ht="12.75" thickTop="1" x14ac:dyDescent="0.2">
      <c r="C11" s="558"/>
    </row>
    <row r="12" spans="2:4" ht="12.75" x14ac:dyDescent="0.2">
      <c r="C12" s="24" t="s">
        <v>16</v>
      </c>
    </row>
    <row r="13" spans="2:4" x14ac:dyDescent="0.2">
      <c r="C13" s="558"/>
    </row>
    <row r="14" spans="2:4" x14ac:dyDescent="0.2">
      <c r="C14" s="9" t="s">
        <v>15</v>
      </c>
    </row>
    <row r="15" spans="2:4" x14ac:dyDescent="0.2">
      <c r="C15" s="558"/>
    </row>
    <row r="16" spans="2:4" x14ac:dyDescent="0.2">
      <c r="C16" s="29" t="s">
        <v>14</v>
      </c>
    </row>
    <row r="17" spans="3:3" x14ac:dyDescent="0.2">
      <c r="C17" s="558"/>
    </row>
    <row r="18" spans="3:3" x14ac:dyDescent="0.2">
      <c r="C18" s="28" t="s">
        <v>13</v>
      </c>
    </row>
    <row r="19" spans="3:3" x14ac:dyDescent="0.2">
      <c r="C19" s="558"/>
    </row>
    <row r="20" spans="3:3" x14ac:dyDescent="0.2">
      <c r="C20" s="558" t="s">
        <v>12</v>
      </c>
    </row>
    <row r="21" spans="3:3" x14ac:dyDescent="0.2">
      <c r="C21" s="558"/>
    </row>
    <row r="22" spans="3:3" x14ac:dyDescent="0.2">
      <c r="C22" s="7" t="s">
        <v>11</v>
      </c>
    </row>
    <row r="23" spans="3:3" x14ac:dyDescent="0.2">
      <c r="C23" s="558"/>
    </row>
    <row r="24" spans="3:3" x14ac:dyDescent="0.2">
      <c r="C24" s="27" t="s">
        <v>10</v>
      </c>
    </row>
    <row r="25" spans="3:3" x14ac:dyDescent="0.2">
      <c r="C25" s="558"/>
    </row>
    <row r="26" spans="3:3" x14ac:dyDescent="0.2">
      <c r="C26" s="26" t="s">
        <v>772</v>
      </c>
    </row>
    <row r="27" spans="3:3" x14ac:dyDescent="0.2">
      <c r="C27" s="558"/>
    </row>
    <row r="28" spans="3:3" x14ac:dyDescent="0.2">
      <c r="C28" s="25" t="s">
        <v>9</v>
      </c>
    </row>
    <row r="29" spans="3:3" x14ac:dyDescent="0.2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>
    <oddFooter>&amp;L&amp;F&amp;R&amp;A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9">
    <tabColor theme="5" tint="0.39997558519241921"/>
  </sheetPr>
  <dimension ref="A1:Q58"/>
  <sheetViews>
    <sheetView showGridLines="0" workbookViewId="0">
      <selection activeCell="F19" sqref="F19"/>
    </sheetView>
  </sheetViews>
  <sheetFormatPr defaultRowHeight="12" outlineLevelRow="1" x14ac:dyDescent="0.2"/>
  <cols>
    <col min="1" max="1" width="10.33203125" customWidth="1"/>
    <col min="2" max="2" width="7.5" customWidth="1"/>
    <col min="3" max="3" width="2.5" customWidth="1"/>
    <col min="4" max="4" width="9.6640625" bestFit="1" customWidth="1"/>
    <col min="5" max="5" width="2.5" customWidth="1"/>
    <col min="6" max="6" width="31.33203125" bestFit="1" customWidth="1"/>
    <col min="7" max="7" width="18.33203125" bestFit="1" customWidth="1"/>
    <col min="8" max="14" width="16.1640625" customWidth="1"/>
    <col min="15" max="15" width="4.6640625" customWidth="1"/>
    <col min="16" max="16" width="30" customWidth="1"/>
    <col min="17" max="17" width="39.33203125" bestFit="1" customWidth="1"/>
  </cols>
  <sheetData>
    <row r="1" spans="1:17" ht="18.75" x14ac:dyDescent="0.3">
      <c r="A1" s="31" t="s">
        <v>19</v>
      </c>
      <c r="B1" s="31"/>
      <c r="C1" s="31"/>
      <c r="D1" s="33"/>
      <c r="E1" s="31"/>
      <c r="F1" s="32"/>
      <c r="G1" s="572"/>
      <c r="H1" s="621"/>
      <c r="I1" s="31"/>
      <c r="J1" s="31"/>
      <c r="K1" s="31"/>
      <c r="L1" s="31"/>
      <c r="M1" s="31"/>
      <c r="N1" s="31"/>
      <c r="O1" s="558"/>
      <c r="P1" s="558"/>
      <c r="Q1" s="558"/>
    </row>
    <row r="2" spans="1:17" ht="16.5" thickBot="1" x14ac:dyDescent="0.3">
      <c r="A2" s="394" t="s">
        <v>1285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thickTop="1" x14ac:dyDescent="0.25">
      <c r="A3" s="6"/>
      <c r="B3" s="558"/>
      <c r="C3" s="558"/>
      <c r="D3" s="34"/>
      <c r="E3" s="558"/>
      <c r="F3" s="337"/>
      <c r="G3" s="337"/>
      <c r="H3" s="558"/>
      <c r="I3" s="558"/>
      <c r="J3" s="558"/>
      <c r="K3" s="558"/>
      <c r="L3" s="558"/>
      <c r="M3" s="558"/>
      <c r="N3" s="558"/>
      <c r="O3" s="558"/>
      <c r="P3" s="558"/>
      <c r="Q3" s="558"/>
    </row>
    <row r="4" spans="1:17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O4" s="558"/>
      <c r="P4" s="5" t="s">
        <v>1</v>
      </c>
      <c r="Q4" s="5" t="s">
        <v>0</v>
      </c>
    </row>
    <row r="5" spans="1:17" ht="15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558"/>
      <c r="P5" s="558"/>
      <c r="Q5" s="558"/>
    </row>
    <row r="6" spans="1:17" x14ac:dyDescent="0.2">
      <c r="A6" s="558"/>
      <c r="B6" s="558"/>
      <c r="C6" s="558"/>
      <c r="D6" s="558"/>
      <c r="E6" s="558"/>
      <c r="F6" s="558"/>
      <c r="G6" s="558"/>
      <c r="H6" s="559"/>
      <c r="I6" s="559"/>
      <c r="J6" s="559"/>
      <c r="K6" s="559"/>
      <c r="L6" s="559"/>
      <c r="M6" s="559"/>
      <c r="N6" s="559"/>
      <c r="O6" s="558"/>
      <c r="P6" s="558"/>
      <c r="Q6" s="558"/>
    </row>
    <row r="7" spans="1:17" s="558" customFormat="1" ht="15" x14ac:dyDescent="0.25">
      <c r="A7" s="36" t="s">
        <v>38</v>
      </c>
      <c r="B7" s="152"/>
      <c r="C7" s="36"/>
      <c r="D7" s="36"/>
      <c r="E7" s="36"/>
      <c r="F7" s="36"/>
      <c r="G7" s="36"/>
      <c r="J7" s="36"/>
      <c r="K7" s="36"/>
      <c r="L7" s="36"/>
      <c r="M7" s="36"/>
      <c r="N7" s="36"/>
      <c r="O7" s="36"/>
      <c r="P7" s="36"/>
      <c r="Q7" s="36"/>
    </row>
    <row r="8" spans="1:17" s="558" customFormat="1" ht="12.75" x14ac:dyDescent="0.2">
      <c r="H8" s="693" t="s">
        <v>1261</v>
      </c>
      <c r="I8" s="693" t="s">
        <v>1261</v>
      </c>
      <c r="P8" s="5"/>
    </row>
    <row r="9" spans="1:17" s="558" customFormat="1" x14ac:dyDescent="0.2">
      <c r="F9" s="558" t="s">
        <v>1172</v>
      </c>
      <c r="H9" s="53">
        <v>16596610.25586338</v>
      </c>
      <c r="I9" s="53">
        <v>22809804.700563606</v>
      </c>
      <c r="J9" s="53">
        <v>14375946.469280817</v>
      </c>
      <c r="K9" s="53">
        <v>7537364.1902510859</v>
      </c>
      <c r="L9" s="53">
        <v>8254888.4456735291</v>
      </c>
      <c r="M9" s="53">
        <v>138798.70621415728</v>
      </c>
      <c r="N9" s="53">
        <v>0</v>
      </c>
    </row>
    <row r="10" spans="1:17" s="558" customFormat="1" x14ac:dyDescent="0.2">
      <c r="F10" s="148" t="s">
        <v>1180</v>
      </c>
      <c r="G10" s="48"/>
      <c r="H10" s="53">
        <v>2073504.1321314732</v>
      </c>
      <c r="I10" s="53">
        <v>1382314.0118702305</v>
      </c>
      <c r="J10" s="53">
        <v>637846.37626629148</v>
      </c>
      <c r="K10" s="53">
        <v>297013.32733759057</v>
      </c>
      <c r="L10" s="53">
        <v>11513.189945662825</v>
      </c>
      <c r="M10" s="53">
        <v>204.36664992818163</v>
      </c>
      <c r="N10" s="53">
        <v>178.86273746491949</v>
      </c>
    </row>
    <row r="11" spans="1:17" s="558" customFormat="1" x14ac:dyDescent="0.2">
      <c r="F11" s="588" t="s">
        <v>1042</v>
      </c>
      <c r="G11" s="727" t="s">
        <v>1034</v>
      </c>
      <c r="H11" s="495">
        <v>18670114.387994852</v>
      </c>
      <c r="I11" s="495">
        <v>24192118.712433837</v>
      </c>
      <c r="J11" s="495">
        <v>15013792.845547108</v>
      </c>
      <c r="K11" s="495">
        <v>7834377.5175886769</v>
      </c>
      <c r="L11" s="495">
        <v>8266401.6356191915</v>
      </c>
      <c r="M11" s="495">
        <v>139003.07286408546</v>
      </c>
      <c r="N11" s="495">
        <v>178.86273746491949</v>
      </c>
    </row>
    <row r="12" spans="1:17" s="558" customFormat="1" x14ac:dyDescent="0.2">
      <c r="F12" s="6"/>
      <c r="G12" s="48"/>
      <c r="H12" s="53"/>
      <c r="I12" s="53"/>
      <c r="J12" s="53"/>
      <c r="K12" s="53"/>
      <c r="L12" s="53"/>
      <c r="M12" s="53"/>
      <c r="N12" s="53"/>
    </row>
    <row r="13" spans="1:17" s="558" customFormat="1" x14ac:dyDescent="0.2">
      <c r="H13" s="53"/>
      <c r="I13" s="53"/>
      <c r="J13" s="53"/>
      <c r="K13" s="53"/>
      <c r="L13" s="53"/>
      <c r="M13" s="53"/>
      <c r="N13" s="53"/>
    </row>
    <row r="14" spans="1:17" s="558" customFormat="1" x14ac:dyDescent="0.2">
      <c r="F14" s="558" t="s">
        <v>1172</v>
      </c>
      <c r="H14" s="53">
        <v>15714404.03897967</v>
      </c>
      <c r="I14" s="53">
        <v>21597331.116951477</v>
      </c>
      <c r="J14" s="53">
        <v>13611781.428753559</v>
      </c>
      <c r="K14" s="53">
        <v>7136709.5116725508</v>
      </c>
      <c r="L14" s="53">
        <v>7816093.1860281527</v>
      </c>
      <c r="M14" s="53">
        <v>131420.74893072434</v>
      </c>
      <c r="N14" s="53">
        <v>0</v>
      </c>
    </row>
    <row r="15" spans="1:17" s="558" customFormat="1" x14ac:dyDescent="0.2">
      <c r="F15" s="148" t="s">
        <v>1180</v>
      </c>
      <c r="H15" s="53">
        <v>1963285.3460119285</v>
      </c>
      <c r="I15" s="53">
        <v>1308835.9946030269</v>
      </c>
      <c r="J15" s="53">
        <v>603941.13719133823</v>
      </c>
      <c r="K15" s="53">
        <v>281225.34413891495</v>
      </c>
      <c r="L15" s="53">
        <v>10901.197039301816</v>
      </c>
      <c r="M15" s="53">
        <v>193.50337566248373</v>
      </c>
      <c r="N15" s="53">
        <v>169.3551442559602</v>
      </c>
    </row>
    <row r="16" spans="1:17" s="558" customFormat="1" x14ac:dyDescent="0.2">
      <c r="F16" s="85" t="s">
        <v>870</v>
      </c>
      <c r="G16" s="726" t="s">
        <v>869</v>
      </c>
      <c r="H16" s="88">
        <v>17677689.384991597</v>
      </c>
      <c r="I16" s="88">
        <v>22906167.111554503</v>
      </c>
      <c r="J16" s="88">
        <v>14215722.565944897</v>
      </c>
      <c r="K16" s="88">
        <v>7417934.8558114655</v>
      </c>
      <c r="L16" s="88">
        <v>7826994.3830674542</v>
      </c>
      <c r="M16" s="88">
        <v>131614.25230638683</v>
      </c>
      <c r="N16" s="88">
        <v>169.3551442559602</v>
      </c>
    </row>
    <row r="17" spans="1:17" s="558" customFormat="1" x14ac:dyDescent="0.2">
      <c r="H17" s="53"/>
      <c r="I17" s="53"/>
      <c r="J17" s="53"/>
      <c r="K17" s="53"/>
      <c r="L17" s="53"/>
      <c r="M17" s="53"/>
      <c r="N17" s="53"/>
    </row>
    <row r="18" spans="1:17" s="558" customFormat="1" ht="12.75" x14ac:dyDescent="0.2">
      <c r="H18" s="53"/>
      <c r="I18" s="53"/>
      <c r="J18" s="53"/>
      <c r="K18" s="53"/>
      <c r="L18" s="53"/>
      <c r="M18" s="53"/>
      <c r="N18" s="53"/>
      <c r="P18" s="5"/>
    </row>
    <row r="19" spans="1:17" x14ac:dyDescent="0.2">
      <c r="F19" s="558" t="s">
        <v>1172</v>
      </c>
      <c r="H19" s="53">
        <v>15656453.24294623</v>
      </c>
      <c r="I19" s="53">
        <v>21436084.601363104</v>
      </c>
      <c r="J19" s="53">
        <v>13447207.776382303</v>
      </c>
      <c r="K19" s="53">
        <v>7005798.4610495325</v>
      </c>
      <c r="L19" s="53">
        <v>7616921.3562520603</v>
      </c>
      <c r="M19" s="53">
        <v>127228.02568121531</v>
      </c>
      <c r="N19" s="53">
        <v>0</v>
      </c>
      <c r="Q19" s="558"/>
    </row>
    <row r="20" spans="1:17" x14ac:dyDescent="0.2">
      <c r="F20" s="148" t="s">
        <v>1180</v>
      </c>
      <c r="H20" s="53">
        <v>1956045.2401600003</v>
      </c>
      <c r="I20" s="53">
        <v>1299064.1740728165</v>
      </c>
      <c r="J20" s="53">
        <v>596639.16872489848</v>
      </c>
      <c r="K20" s="53">
        <v>276066.73354914231</v>
      </c>
      <c r="L20" s="53">
        <v>10623.409747186535</v>
      </c>
      <c r="M20" s="53">
        <v>187.33002702005408</v>
      </c>
      <c r="N20" s="53">
        <v>162.99134286346754</v>
      </c>
      <c r="Q20" s="558"/>
    </row>
    <row r="21" spans="1:17" x14ac:dyDescent="0.2">
      <c r="F21" s="85" t="s">
        <v>1186</v>
      </c>
      <c r="G21" s="726" t="s">
        <v>869</v>
      </c>
      <c r="H21" s="88">
        <v>17612498.483106229</v>
      </c>
      <c r="I21" s="88">
        <v>22735148.775435921</v>
      </c>
      <c r="J21" s="88">
        <v>14043846.945107201</v>
      </c>
      <c r="K21" s="88">
        <v>7281865.1945986748</v>
      </c>
      <c r="L21" s="88">
        <v>7627544.7659992464</v>
      </c>
      <c r="M21" s="88">
        <v>127415.35570823537</v>
      </c>
      <c r="N21" s="88">
        <v>162.99134286346754</v>
      </c>
      <c r="Q21" s="558"/>
    </row>
    <row r="22" spans="1:17" x14ac:dyDescent="0.2">
      <c r="Q22" s="558"/>
    </row>
    <row r="23" spans="1:17" s="558" customFormat="1" ht="15.75" thickBot="1" x14ac:dyDescent="0.3">
      <c r="A23" s="10" t="s">
        <v>37</v>
      </c>
      <c r="B23" s="10"/>
      <c r="C23" s="10"/>
      <c r="D23" s="10"/>
      <c r="E23" s="10"/>
      <c r="F23" s="10"/>
      <c r="G23" s="49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s="558" customFormat="1" ht="12.75" x14ac:dyDescent="0.2">
      <c r="H24" s="43" t="s">
        <v>251</v>
      </c>
      <c r="I24" s="43" t="s">
        <v>252</v>
      </c>
      <c r="J24" s="43" t="s">
        <v>253</v>
      </c>
      <c r="K24" s="43" t="s">
        <v>254</v>
      </c>
      <c r="L24" s="43" t="s">
        <v>255</v>
      </c>
      <c r="M24" s="43" t="s">
        <v>256</v>
      </c>
      <c r="N24" s="43" t="s">
        <v>257</v>
      </c>
    </row>
    <row r="25" spans="1:17" outlineLevel="1" x14ac:dyDescent="0.2"/>
    <row r="26" spans="1:17" s="558" customFormat="1" outlineLevel="1" x14ac:dyDescent="0.2">
      <c r="B26" s="38" t="s">
        <v>1177</v>
      </c>
    </row>
    <row r="27" spans="1:17" s="558" customFormat="1" outlineLevel="1" x14ac:dyDescent="0.2">
      <c r="C27" s="558" t="s">
        <v>1172</v>
      </c>
      <c r="D27" s="55"/>
      <c r="E27" s="55"/>
      <c r="F27" s="55"/>
    </row>
    <row r="28" spans="1:17" outlineLevel="1" x14ac:dyDescent="0.2">
      <c r="E28" s="558"/>
      <c r="F28" s="558" t="s">
        <v>196</v>
      </c>
      <c r="G28" s="48" t="s">
        <v>69</v>
      </c>
      <c r="H28" s="53">
        <v>11480567.24294623</v>
      </c>
      <c r="I28" s="53">
        <v>15782303.942065503</v>
      </c>
      <c r="J28" s="53">
        <v>10189681.752774879</v>
      </c>
      <c r="K28" s="53">
        <v>5739650.6322526624</v>
      </c>
      <c r="L28" s="53">
        <v>6240385.7652237099</v>
      </c>
      <c r="M28" s="53">
        <v>104235.2839506328</v>
      </c>
      <c r="N28" s="53">
        <v>0</v>
      </c>
    </row>
    <row r="29" spans="1:17" outlineLevel="1" x14ac:dyDescent="0.2">
      <c r="F29" t="s">
        <v>310</v>
      </c>
      <c r="G29" s="48" t="s">
        <v>69</v>
      </c>
      <c r="H29" s="53">
        <v>4175886.0000000005</v>
      </c>
      <c r="I29" s="53">
        <v>5653780.6592976004</v>
      </c>
      <c r="J29" s="53">
        <v>3257526.0236074231</v>
      </c>
      <c r="K29" s="53">
        <v>1266147.8287968696</v>
      </c>
      <c r="L29" s="53">
        <v>1376535.5910283504</v>
      </c>
      <c r="M29" s="53">
        <v>22992.741730582507</v>
      </c>
      <c r="N29" s="53">
        <v>0</v>
      </c>
    </row>
    <row r="30" spans="1:17" s="558" customFormat="1" ht="4.1500000000000004" customHeight="1" outlineLevel="1" x14ac:dyDescent="0.2">
      <c r="H30" s="53"/>
      <c r="I30" s="53"/>
      <c r="J30" s="53"/>
      <c r="K30" s="53"/>
      <c r="L30" s="53"/>
      <c r="M30" s="53"/>
      <c r="N30" s="53"/>
    </row>
    <row r="31" spans="1:17" s="558" customFormat="1" outlineLevel="1" x14ac:dyDescent="0.2">
      <c r="F31" s="85" t="s">
        <v>1184</v>
      </c>
      <c r="G31" s="87" t="s">
        <v>42</v>
      </c>
      <c r="H31" s="88">
        <v>15656453.24294623</v>
      </c>
      <c r="I31" s="88">
        <v>21436084.601363104</v>
      </c>
      <c r="J31" s="88">
        <v>13447207.776382303</v>
      </c>
      <c r="K31" s="88">
        <v>7005798.4610495325</v>
      </c>
      <c r="L31" s="88">
        <v>7616921.3562520603</v>
      </c>
      <c r="M31" s="88">
        <v>127228.02568121531</v>
      </c>
      <c r="N31" s="88">
        <v>0</v>
      </c>
    </row>
    <row r="32" spans="1:17" s="558" customFormat="1" outlineLevel="1" x14ac:dyDescent="0.2"/>
    <row r="33" spans="2:14" s="558" customFormat="1" outlineLevel="1" x14ac:dyDescent="0.2">
      <c r="C33" s="558" t="s">
        <v>1180</v>
      </c>
      <c r="D33" s="55"/>
      <c r="E33" s="55"/>
      <c r="F33" s="55"/>
    </row>
    <row r="34" spans="2:14" outlineLevel="1" x14ac:dyDescent="0.2">
      <c r="F34" t="s">
        <v>1243</v>
      </c>
      <c r="G34" s="48" t="s">
        <v>69</v>
      </c>
      <c r="H34" s="53">
        <v>1956045.2401600003</v>
      </c>
      <c r="I34" s="53">
        <v>1299064.1740728165</v>
      </c>
      <c r="J34" s="53">
        <v>596639.16872489848</v>
      </c>
      <c r="K34" s="53">
        <v>276066.73354914231</v>
      </c>
      <c r="L34" s="53">
        <v>10623.409747186535</v>
      </c>
      <c r="M34" s="53">
        <v>187.33002702005408</v>
      </c>
      <c r="N34" s="53">
        <v>162.99134286346754</v>
      </c>
    </row>
    <row r="35" spans="2:14" s="558" customFormat="1" ht="4.1500000000000004" customHeight="1" outlineLevel="1" x14ac:dyDescent="0.2">
      <c r="G35" s="86"/>
      <c r="H35" s="53"/>
      <c r="I35" s="53"/>
      <c r="J35" s="53"/>
      <c r="K35" s="53"/>
      <c r="L35" s="53"/>
      <c r="M35" s="53"/>
      <c r="N35" s="53"/>
    </row>
    <row r="36" spans="2:14" s="558" customFormat="1" outlineLevel="1" x14ac:dyDescent="0.2">
      <c r="F36" s="85" t="s">
        <v>1185</v>
      </c>
      <c r="G36" s="87" t="s">
        <v>42</v>
      </c>
      <c r="H36" s="88">
        <v>1956045.2401600003</v>
      </c>
      <c r="I36" s="88">
        <v>1299064.1740728165</v>
      </c>
      <c r="J36" s="88">
        <v>596639.16872489848</v>
      </c>
      <c r="K36" s="88">
        <v>276066.73354914231</v>
      </c>
      <c r="L36" s="88">
        <v>10623.409747186535</v>
      </c>
      <c r="M36" s="88">
        <v>187.33002702005408</v>
      </c>
      <c r="N36" s="88">
        <v>162.99134286346754</v>
      </c>
    </row>
    <row r="37" spans="2:14" outlineLevel="1" x14ac:dyDescent="0.2"/>
    <row r="38" spans="2:14" outlineLevel="1" x14ac:dyDescent="0.2"/>
    <row r="39" spans="2:14" outlineLevel="1" x14ac:dyDescent="0.2">
      <c r="B39" s="38" t="s">
        <v>1178</v>
      </c>
      <c r="C39" s="558"/>
      <c r="D39" s="558"/>
      <c r="E39" s="558"/>
      <c r="F39" s="558"/>
      <c r="G39" s="558"/>
      <c r="H39" s="573"/>
      <c r="I39" s="573"/>
      <c r="J39" s="573"/>
      <c r="K39" s="573"/>
      <c r="L39" s="573"/>
      <c r="M39" s="573"/>
      <c r="N39" s="573"/>
    </row>
    <row r="40" spans="2:14" outlineLevel="1" x14ac:dyDescent="0.2">
      <c r="B40" s="558"/>
      <c r="C40" s="558" t="s">
        <v>1172</v>
      </c>
      <c r="D40" s="558"/>
      <c r="E40" s="558"/>
      <c r="F40" s="558"/>
      <c r="G40" s="558"/>
      <c r="H40" s="558"/>
      <c r="I40" s="558"/>
      <c r="J40" s="558"/>
      <c r="K40" s="558"/>
      <c r="L40" s="558"/>
      <c r="M40" s="558"/>
      <c r="N40" s="558"/>
    </row>
    <row r="41" spans="2:14" s="558" customFormat="1" outlineLevel="1" x14ac:dyDescent="0.2">
      <c r="D41" s="55" t="s">
        <v>1182</v>
      </c>
      <c r="E41" s="55"/>
      <c r="F41" s="55" t="s">
        <v>1183</v>
      </c>
    </row>
    <row r="42" spans="2:14" outlineLevel="1" x14ac:dyDescent="0.2">
      <c r="B42" s="558"/>
      <c r="C42" s="558"/>
      <c r="D42" s="558" t="s">
        <v>199</v>
      </c>
      <c r="E42" s="558"/>
      <c r="F42" s="558" t="s">
        <v>202</v>
      </c>
      <c r="G42" s="48" t="s">
        <v>247</v>
      </c>
      <c r="H42" s="37">
        <v>30000</v>
      </c>
      <c r="I42" s="37">
        <v>39679.084093009442</v>
      </c>
      <c r="J42" s="37">
        <v>18742.646896741189</v>
      </c>
      <c r="K42" s="37">
        <v>5.7516776791062938</v>
      </c>
      <c r="L42" s="37">
        <v>0</v>
      </c>
      <c r="M42" s="37">
        <v>0</v>
      </c>
      <c r="N42" s="37">
        <v>0</v>
      </c>
    </row>
    <row r="43" spans="2:14" outlineLevel="1" x14ac:dyDescent="0.2">
      <c r="B43" s="558"/>
      <c r="C43" s="558"/>
      <c r="D43" s="558" t="s">
        <v>200</v>
      </c>
      <c r="E43" s="558"/>
      <c r="F43" s="558" t="s">
        <v>188</v>
      </c>
      <c r="G43" s="48" t="s">
        <v>247</v>
      </c>
      <c r="H43" s="37">
        <v>3000</v>
      </c>
      <c r="I43" s="37">
        <v>5000</v>
      </c>
      <c r="J43" s="37">
        <v>7000</v>
      </c>
      <c r="K43" s="37">
        <v>10000</v>
      </c>
      <c r="L43" s="37">
        <v>10878.092578182346</v>
      </c>
      <c r="M43" s="37">
        <v>181.7004767633079</v>
      </c>
      <c r="N43" s="37">
        <v>0</v>
      </c>
    </row>
    <row r="44" spans="2:14" ht="4.1500000000000004" customHeight="1" outlineLevel="1" x14ac:dyDescent="0.2">
      <c r="B44" s="558"/>
      <c r="C44" s="558"/>
      <c r="D44" s="558"/>
      <c r="E44" s="558"/>
      <c r="F44" s="558"/>
      <c r="G44" s="86"/>
      <c r="H44" s="37"/>
      <c r="I44" s="37"/>
      <c r="J44" s="37"/>
      <c r="K44" s="37"/>
      <c r="L44" s="37"/>
      <c r="M44" s="37"/>
      <c r="N44" s="37"/>
    </row>
    <row r="45" spans="2:14" outlineLevel="1" x14ac:dyDescent="0.2">
      <c r="B45" s="558"/>
      <c r="C45" s="558"/>
      <c r="D45" s="558"/>
      <c r="E45" s="558"/>
      <c r="F45" s="85" t="s">
        <v>1175</v>
      </c>
      <c r="G45" s="87" t="s">
        <v>57</v>
      </c>
      <c r="H45" s="138">
        <v>33000</v>
      </c>
      <c r="I45" s="138">
        <v>44679.084093009442</v>
      </c>
      <c r="J45" s="138">
        <v>25742.646896741189</v>
      </c>
      <c r="K45" s="138">
        <v>10005.751677679107</v>
      </c>
      <c r="L45" s="138">
        <v>10878.092578182346</v>
      </c>
      <c r="M45" s="138">
        <v>181.7004767633079</v>
      </c>
      <c r="N45" s="138">
        <v>0</v>
      </c>
    </row>
    <row r="46" spans="2:14" outlineLevel="1" x14ac:dyDescent="0.2"/>
    <row r="47" spans="2:14" s="558" customFormat="1" outlineLevel="1" x14ac:dyDescent="0.2">
      <c r="C47" s="558" t="s">
        <v>1180</v>
      </c>
    </row>
    <row r="48" spans="2:14" s="558" customFormat="1" outlineLevel="1" x14ac:dyDescent="0.2">
      <c r="D48" s="55" t="s">
        <v>1182</v>
      </c>
      <c r="E48" s="55"/>
      <c r="F48" s="55" t="s">
        <v>1183</v>
      </c>
    </row>
    <row r="49" spans="1:17" s="558" customFormat="1" outlineLevel="1" x14ac:dyDescent="0.2">
      <c r="D49" s="558" t="s">
        <v>199</v>
      </c>
      <c r="F49" s="558" t="s">
        <v>202</v>
      </c>
      <c r="G49" s="48" t="s">
        <v>294</v>
      </c>
      <c r="H49" s="37">
        <v>3358</v>
      </c>
      <c r="I49" s="37">
        <v>1867.6140727680461</v>
      </c>
      <c r="J49" s="37">
        <v>290.65493748133173</v>
      </c>
      <c r="K49" s="37">
        <v>0.24832232089370548</v>
      </c>
      <c r="L49" s="37">
        <v>0.24832232089370548</v>
      </c>
      <c r="M49" s="37">
        <v>0.24832232089370548</v>
      </c>
      <c r="N49" s="37">
        <v>0.24832232089370548</v>
      </c>
    </row>
    <row r="50" spans="1:17" s="558" customFormat="1" outlineLevel="1" x14ac:dyDescent="0.2">
      <c r="D50" s="558" t="s">
        <v>200</v>
      </c>
      <c r="F50" s="558" t="s">
        <v>188</v>
      </c>
      <c r="G50" s="48" t="s">
        <v>294</v>
      </c>
      <c r="H50" s="37">
        <v>1595</v>
      </c>
      <c r="I50" s="37">
        <v>1253.6561039581979</v>
      </c>
      <c r="J50" s="37">
        <v>880.90150596915566</v>
      </c>
      <c r="K50" s="37">
        <v>481.09009495465551</v>
      </c>
      <c r="L50" s="37">
        <v>18.37558351057103</v>
      </c>
      <c r="M50" s="37">
        <v>0.18365666176787102</v>
      </c>
      <c r="N50" s="37">
        <v>0.14123004433631278</v>
      </c>
    </row>
    <row r="51" spans="1:17" s="558" customFormat="1" ht="4.1500000000000004" customHeight="1" outlineLevel="1" x14ac:dyDescent="0.2">
      <c r="G51" s="86"/>
      <c r="H51" s="37"/>
      <c r="I51" s="37"/>
      <c r="J51" s="37"/>
      <c r="K51" s="37"/>
      <c r="L51" s="37"/>
      <c r="M51" s="37"/>
      <c r="N51" s="37"/>
    </row>
    <row r="52" spans="1:17" s="558" customFormat="1" outlineLevel="1" x14ac:dyDescent="0.2">
      <c r="F52" s="85" t="s">
        <v>1176</v>
      </c>
      <c r="G52" s="87" t="s">
        <v>57</v>
      </c>
      <c r="H52" s="138">
        <v>4953</v>
      </c>
      <c r="I52" s="138">
        <v>3121.2701767262442</v>
      </c>
      <c r="J52" s="138">
        <v>1171.5564434504874</v>
      </c>
      <c r="K52" s="138">
        <v>481.3384172755492</v>
      </c>
      <c r="L52" s="138">
        <v>18.623905831464736</v>
      </c>
      <c r="M52" s="138">
        <v>0.43197898266157653</v>
      </c>
      <c r="N52" s="138">
        <v>0.38955236523001824</v>
      </c>
    </row>
    <row r="53" spans="1:17" outlineLevel="1" x14ac:dyDescent="0.2"/>
    <row r="54" spans="1:17" s="558" customFormat="1" ht="12.75" x14ac:dyDescent="0.2">
      <c r="A54" s="227" t="s">
        <v>523</v>
      </c>
      <c r="B54" s="80" t="s">
        <v>522</v>
      </c>
    </row>
    <row r="55" spans="1:17" s="558" customFormat="1" ht="15.75" thickBot="1" x14ac:dyDescent="0.3">
      <c r="A55" s="10" t="s">
        <v>31</v>
      </c>
      <c r="B55" s="10"/>
      <c r="C55" s="10"/>
      <c r="D55" s="10"/>
      <c r="E55" s="10"/>
      <c r="F55" s="10"/>
      <c r="G55" s="49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7" spans="1:17" s="431" customFormat="1" ht="12.75" x14ac:dyDescent="0.2">
      <c r="H57" s="604" t="s">
        <v>251</v>
      </c>
      <c r="I57" s="604" t="s">
        <v>252</v>
      </c>
      <c r="J57" s="604" t="s">
        <v>253</v>
      </c>
      <c r="K57" s="604" t="s">
        <v>254</v>
      </c>
      <c r="L57" s="604" t="s">
        <v>255</v>
      </c>
      <c r="M57" s="604" t="s">
        <v>256</v>
      </c>
      <c r="N57" s="604" t="s">
        <v>257</v>
      </c>
    </row>
    <row r="58" spans="1:17" s="431" customFormat="1" x14ac:dyDescent="0.2">
      <c r="F58" s="431" t="s">
        <v>1024</v>
      </c>
      <c r="H58" s="496">
        <v>1.0037014</v>
      </c>
      <c r="I58" s="496">
        <v>1.0075221999999999</v>
      </c>
      <c r="J58" s="496">
        <v>1.0122385</v>
      </c>
      <c r="K58" s="496">
        <v>1.0186861</v>
      </c>
      <c r="L58" s="496">
        <v>1.0261486</v>
      </c>
      <c r="M58" s="496">
        <v>1.0329543999999999</v>
      </c>
      <c r="N58" s="496">
        <v>1.0390438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5">
    <tabColor theme="5"/>
  </sheetPr>
  <dimension ref="A1:R41"/>
  <sheetViews>
    <sheetView showGridLines="0" zoomScale="115" zoomScaleNormal="115" workbookViewId="0">
      <selection activeCell="J25" sqref="J25"/>
    </sheetView>
  </sheetViews>
  <sheetFormatPr defaultColWidth="9.1640625" defaultRowHeight="12" outlineLevelRow="1" x14ac:dyDescent="0.2"/>
  <cols>
    <col min="1" max="1" width="10.33203125" style="58" customWidth="1"/>
    <col min="2" max="2" width="6.83203125" style="58" bestFit="1" customWidth="1"/>
    <col min="3" max="5" width="2.5" style="58" customWidth="1"/>
    <col min="6" max="6" width="34.1640625" style="58" customWidth="1"/>
    <col min="7" max="7" width="15.5" style="58" bestFit="1" customWidth="1"/>
    <col min="8" max="13" width="16.33203125" style="58" customWidth="1"/>
    <col min="14" max="14" width="16.5" style="58" customWidth="1"/>
    <col min="15" max="15" width="7.83203125" style="58" customWidth="1"/>
    <col min="16" max="16" width="30" style="58" customWidth="1"/>
    <col min="17" max="17" width="61.1640625" style="58" customWidth="1"/>
    <col min="18" max="16384" width="9.1640625" style="58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22</v>
      </c>
      <c r="B2" s="4"/>
      <c r="C2" s="4"/>
      <c r="D2" s="4"/>
      <c r="E2" s="4"/>
      <c r="F2" s="4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152"/>
      <c r="C7" s="36"/>
      <c r="D7" s="36"/>
      <c r="E7" s="36"/>
      <c r="F7" s="36"/>
      <c r="G7" s="36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</row>
    <row r="8" spans="1:18" ht="12.75" x14ac:dyDescent="0.2">
      <c r="A8" s="558"/>
      <c r="B8" s="558"/>
      <c r="C8" s="558"/>
      <c r="D8" s="558"/>
      <c r="E8" s="558"/>
      <c r="F8" s="588" t="s">
        <v>1042</v>
      </c>
      <c r="G8" s="610" t="s">
        <v>1034</v>
      </c>
      <c r="H8" s="607">
        <v>1583483.8609070601</v>
      </c>
      <c r="I8" s="607">
        <v>1620079.2576721038</v>
      </c>
      <c r="J8" s="607">
        <v>1658373.6135892307</v>
      </c>
      <c r="K8" s="607">
        <v>1715296.2223081279</v>
      </c>
      <c r="L8" s="607">
        <v>1758994.4637585583</v>
      </c>
      <c r="M8" s="607">
        <v>1801999.8993713856</v>
      </c>
      <c r="N8" s="607">
        <v>1844146.799122713</v>
      </c>
      <c r="Q8" s="5"/>
    </row>
    <row r="9" spans="1:18" ht="12.75" x14ac:dyDescent="0.2">
      <c r="A9" s="558"/>
      <c r="B9" s="558"/>
      <c r="C9" s="558"/>
      <c r="D9" s="558"/>
      <c r="E9" s="558"/>
      <c r="F9" s="6"/>
      <c r="G9" s="48"/>
      <c r="H9" s="558"/>
      <c r="I9" s="558"/>
      <c r="J9" s="558"/>
      <c r="K9" s="558"/>
      <c r="L9" s="558"/>
      <c r="M9" s="558"/>
      <c r="N9" s="558"/>
      <c r="Q9" s="5"/>
    </row>
    <row r="10" spans="1:18" s="558" customFormat="1" ht="12.75" x14ac:dyDescent="0.2">
      <c r="F10" s="431" t="s">
        <v>870</v>
      </c>
      <c r="G10" s="48" t="s">
        <v>869</v>
      </c>
      <c r="H10" s="53">
        <v>1499312.4979063715</v>
      </c>
      <c r="I10" s="53">
        <v>1533962.6368122664</v>
      </c>
      <c r="J10" s="53">
        <v>1570221.4253249161</v>
      </c>
      <c r="K10" s="53">
        <v>1624118.2668227444</v>
      </c>
      <c r="L10" s="53">
        <v>1665493.6929705236</v>
      </c>
      <c r="M10" s="53">
        <v>1706213.1399343119</v>
      </c>
      <c r="N10" s="53">
        <v>1746119.6872034294</v>
      </c>
      <c r="Q10" s="5"/>
    </row>
    <row r="11" spans="1:18" s="558" customFormat="1" ht="12.75" x14ac:dyDescent="0.2">
      <c r="Q11" s="5"/>
    </row>
    <row r="12" spans="1:18" s="558" customFormat="1" ht="12.75" x14ac:dyDescent="0.2">
      <c r="F12" s="83" t="s">
        <v>1059</v>
      </c>
      <c r="G12" s="48" t="s">
        <v>869</v>
      </c>
      <c r="H12" s="53">
        <v>1493783.4080000003</v>
      </c>
      <c r="I12" s="53">
        <v>1522510.0120000001</v>
      </c>
      <c r="J12" s="53">
        <v>1551236.6160000002</v>
      </c>
      <c r="K12" s="53">
        <v>1594326.5220000001</v>
      </c>
      <c r="L12" s="53">
        <v>1623053.1260000002</v>
      </c>
      <c r="M12" s="53">
        <v>1651779.73</v>
      </c>
      <c r="N12" s="53">
        <v>1680506.3340000003</v>
      </c>
      <c r="Q12" s="5"/>
    </row>
    <row r="13" spans="1:18" s="558" customFormat="1" ht="12.75" x14ac:dyDescent="0.2">
      <c r="Q13" s="5"/>
    </row>
    <row r="14" spans="1:18" ht="15.75" thickBot="1" x14ac:dyDescent="0.3">
      <c r="A14" s="10" t="s">
        <v>37</v>
      </c>
      <c r="B14" s="10"/>
      <c r="C14" s="10"/>
      <c r="D14" s="10"/>
      <c r="E14" s="10"/>
      <c r="F14" s="10"/>
      <c r="G14" s="51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8" ht="12.75" x14ac:dyDescent="0.2">
      <c r="G15" s="50"/>
      <c r="H15" s="43" t="s">
        <v>251</v>
      </c>
      <c r="I15" s="43" t="s">
        <v>252</v>
      </c>
      <c r="J15" s="43" t="s">
        <v>253</v>
      </c>
      <c r="K15" s="43" t="s">
        <v>254</v>
      </c>
      <c r="L15" s="43" t="s">
        <v>255</v>
      </c>
      <c r="M15" s="43" t="s">
        <v>256</v>
      </c>
      <c r="N15" s="43" t="s">
        <v>257</v>
      </c>
      <c r="P15" s="5"/>
      <c r="Q15" s="5"/>
    </row>
    <row r="16" spans="1:18" outlineLevel="1" x14ac:dyDescent="0.2">
      <c r="A16" s="6"/>
      <c r="B16" s="6"/>
      <c r="F16" s="55" t="s">
        <v>67</v>
      </c>
      <c r="G16" s="48"/>
    </row>
    <row r="17" spans="1:17" outlineLevel="1" x14ac:dyDescent="0.2">
      <c r="A17" s="119" t="s">
        <v>67</v>
      </c>
      <c r="B17" s="6"/>
      <c r="F17" s="58" t="s">
        <v>995</v>
      </c>
      <c r="G17" s="48" t="s">
        <v>940</v>
      </c>
      <c r="H17" s="53">
        <v>1275510.7040000001</v>
      </c>
      <c r="I17" s="53">
        <v>1300039.7560000001</v>
      </c>
      <c r="J17" s="53">
        <v>1324568.8080000002</v>
      </c>
      <c r="K17" s="53">
        <v>1361362.3860000002</v>
      </c>
      <c r="L17" s="53">
        <v>1385891.4380000001</v>
      </c>
      <c r="M17" s="53">
        <v>1410420.49</v>
      </c>
      <c r="N17" s="53">
        <v>1434949.5420000001</v>
      </c>
      <c r="P17" s="7"/>
      <c r="Q17" s="8" t="s">
        <v>939</v>
      </c>
    </row>
    <row r="18" spans="1:17" outlineLevel="1" x14ac:dyDescent="0.2">
      <c r="A18" s="119" t="s">
        <v>67</v>
      </c>
      <c r="B18" s="6"/>
      <c r="F18" s="58" t="s">
        <v>29</v>
      </c>
      <c r="G18" s="487" t="s">
        <v>747</v>
      </c>
      <c r="H18" s="53">
        <v>218272.70400000003</v>
      </c>
      <c r="I18" s="53">
        <v>222470.25600000002</v>
      </c>
      <c r="J18" s="53">
        <v>226667.80800000002</v>
      </c>
      <c r="K18" s="53">
        <v>232964.13600000003</v>
      </c>
      <c r="L18" s="53">
        <v>237161.68800000002</v>
      </c>
      <c r="M18" s="53">
        <v>241359.24000000002</v>
      </c>
      <c r="N18" s="53">
        <v>245556.79200000004</v>
      </c>
      <c r="P18" s="7"/>
      <c r="Q18" s="8" t="s">
        <v>687</v>
      </c>
    </row>
    <row r="19" spans="1:17" s="558" customFormat="1" ht="4.1500000000000004" customHeight="1" outlineLevel="1" x14ac:dyDescent="0.2">
      <c r="A19" s="119"/>
      <c r="B19" s="6"/>
      <c r="G19" s="487"/>
      <c r="H19" s="53"/>
      <c r="I19" s="53"/>
      <c r="J19" s="53"/>
      <c r="K19" s="53"/>
      <c r="L19" s="53"/>
      <c r="M19" s="53"/>
      <c r="N19" s="53"/>
      <c r="P19" s="7"/>
      <c r="Q19" s="179"/>
    </row>
    <row r="20" spans="1:17" outlineLevel="1" x14ac:dyDescent="0.2">
      <c r="G20" s="386"/>
    </row>
    <row r="21" spans="1:17" outlineLevel="1" x14ac:dyDescent="0.2">
      <c r="F21" s="58" t="s">
        <v>451</v>
      </c>
      <c r="G21" s="48" t="s">
        <v>57</v>
      </c>
      <c r="H21" s="501">
        <v>1040</v>
      </c>
      <c r="I21" s="501">
        <v>1060</v>
      </c>
      <c r="J21" s="501">
        <v>1080</v>
      </c>
      <c r="K21" s="501">
        <v>1110</v>
      </c>
      <c r="L21" s="501">
        <v>1130</v>
      </c>
      <c r="M21" s="501">
        <v>1150</v>
      </c>
      <c r="N21" s="501">
        <v>1170</v>
      </c>
      <c r="P21" s="7" t="s">
        <v>289</v>
      </c>
      <c r="Q21" s="417" t="s">
        <v>748</v>
      </c>
    </row>
    <row r="22" spans="1:17" outlineLevel="1" x14ac:dyDescent="0.2">
      <c r="E22" s="56"/>
    </row>
    <row r="23" spans="1:17" s="386" customFormat="1" outlineLevel="1" x14ac:dyDescent="0.2">
      <c r="E23" s="56"/>
    </row>
    <row r="24" spans="1:17" ht="12.75" x14ac:dyDescent="0.2">
      <c r="A24" s="227" t="s">
        <v>523</v>
      </c>
      <c r="B24" s="80" t="s">
        <v>522</v>
      </c>
      <c r="G24" s="50"/>
    </row>
    <row r="25" spans="1:17" ht="15.75" thickBot="1" x14ac:dyDescent="0.3">
      <c r="A25" s="10" t="s">
        <v>31</v>
      </c>
      <c r="B25" s="10"/>
      <c r="C25" s="10"/>
      <c r="D25" s="10"/>
      <c r="E25" s="10"/>
      <c r="F25" s="10"/>
      <c r="G25" s="51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x14ac:dyDescent="0.2">
      <c r="G26" s="50"/>
    </row>
    <row r="27" spans="1:17" x14ac:dyDescent="0.2">
      <c r="F27" s="38" t="s">
        <v>22</v>
      </c>
      <c r="H27" s="48" t="s">
        <v>940</v>
      </c>
    </row>
    <row r="28" spans="1:17" x14ac:dyDescent="0.2">
      <c r="F28" s="58" t="s">
        <v>520</v>
      </c>
      <c r="G28" s="48" t="s">
        <v>869</v>
      </c>
      <c r="H28" s="139">
        <v>133.73259999999999</v>
      </c>
      <c r="P28" s="7" t="s">
        <v>289</v>
      </c>
      <c r="Q28" s="8" t="s">
        <v>937</v>
      </c>
    </row>
    <row r="29" spans="1:17" x14ac:dyDescent="0.2">
      <c r="F29" s="58" t="s">
        <v>329</v>
      </c>
      <c r="G29" s="48" t="s">
        <v>869</v>
      </c>
      <c r="H29" s="139">
        <v>1092.72</v>
      </c>
      <c r="P29" s="7" t="s">
        <v>289</v>
      </c>
      <c r="Q29" s="8" t="s">
        <v>938</v>
      </c>
    </row>
    <row r="30" spans="1:17" ht="12.75" thickBot="1" x14ac:dyDescent="0.25">
      <c r="F30" s="58" t="s">
        <v>1058</v>
      </c>
      <c r="H30" s="142">
        <v>1226.4526000000001</v>
      </c>
    </row>
    <row r="31" spans="1:17" ht="12.75" thickTop="1" x14ac:dyDescent="0.2"/>
    <row r="32" spans="1:17" s="386" customFormat="1" x14ac:dyDescent="0.2">
      <c r="I32" s="48" t="s">
        <v>746</v>
      </c>
    </row>
    <row r="33" spans="6:17" s="386" customFormat="1" x14ac:dyDescent="0.2">
      <c r="F33" s="58" t="s">
        <v>29</v>
      </c>
      <c r="G33" s="48" t="s">
        <v>869</v>
      </c>
      <c r="H33" s="497">
        <v>150</v>
      </c>
      <c r="I33" s="139">
        <v>209.87760000000003</v>
      </c>
      <c r="P33" s="7" t="s">
        <v>289</v>
      </c>
      <c r="Q33" s="417"/>
    </row>
    <row r="36" spans="6:17" x14ac:dyDescent="0.2">
      <c r="F36" s="38" t="s">
        <v>22</v>
      </c>
      <c r="G36" s="48" t="s">
        <v>57</v>
      </c>
      <c r="H36" s="57">
        <v>1336.75</v>
      </c>
      <c r="I36" s="6" t="s">
        <v>745</v>
      </c>
      <c r="P36" s="7"/>
      <c r="Q36" s="417" t="s">
        <v>217</v>
      </c>
    </row>
    <row r="38" spans="6:17" s="431" customFormat="1" ht="12.75" x14ac:dyDescent="0.2">
      <c r="H38" s="604" t="s">
        <v>251</v>
      </c>
      <c r="I38" s="604" t="s">
        <v>252</v>
      </c>
      <c r="J38" s="604" t="s">
        <v>253</v>
      </c>
      <c r="K38" s="604" t="s">
        <v>254</v>
      </c>
      <c r="L38" s="604" t="s">
        <v>255</v>
      </c>
      <c r="M38" s="604" t="s">
        <v>256</v>
      </c>
      <c r="N38" s="604" t="s">
        <v>257</v>
      </c>
    </row>
    <row r="39" spans="6:17" s="431" customFormat="1" x14ac:dyDescent="0.2">
      <c r="F39" s="431" t="s">
        <v>1024</v>
      </c>
      <c r="H39" s="496">
        <v>1.0037014</v>
      </c>
      <c r="I39" s="496">
        <v>1.0075221999999999</v>
      </c>
      <c r="J39" s="496">
        <v>1.0122385</v>
      </c>
      <c r="K39" s="496">
        <v>1.0186861</v>
      </c>
      <c r="L39" s="496">
        <v>1.0261486</v>
      </c>
      <c r="M39" s="496">
        <v>1.0329543999999999</v>
      </c>
      <c r="N39" s="496">
        <v>1.0390438</v>
      </c>
    </row>
    <row r="40" spans="6:17" s="558" customFormat="1" x14ac:dyDescent="0.2"/>
    <row r="41" spans="6:17" s="558" customFormat="1" x14ac:dyDescent="0.2"/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6">
    <tabColor theme="5"/>
  </sheetPr>
  <dimension ref="A1:U414"/>
  <sheetViews>
    <sheetView showGridLines="0" zoomScale="108" zoomScaleNormal="100" workbookViewId="0">
      <selection activeCell="B6" sqref="B6"/>
    </sheetView>
  </sheetViews>
  <sheetFormatPr defaultRowHeight="12" outlineLevelRow="2" x14ac:dyDescent="0.2"/>
  <cols>
    <col min="1" max="1" width="10.33203125" customWidth="1"/>
    <col min="2" max="2" width="6.83203125" bestFit="1" customWidth="1"/>
    <col min="3" max="5" width="2.5" customWidth="1"/>
    <col min="6" max="6" width="34.1640625" customWidth="1"/>
    <col min="7" max="7" width="12.6640625" customWidth="1"/>
    <col min="8" max="14" width="16.33203125" customWidth="1"/>
    <col min="15" max="15" width="7.83203125" customWidth="1"/>
    <col min="16" max="16" width="30" customWidth="1"/>
    <col min="17" max="17" width="61.1640625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</row>
    <row r="2" spans="1:18" ht="16.5" thickBot="1" x14ac:dyDescent="0.3">
      <c r="A2" s="394" t="s">
        <v>48</v>
      </c>
      <c r="B2" s="4"/>
      <c r="C2" s="4"/>
      <c r="D2" s="4"/>
      <c r="E2" s="4"/>
      <c r="F2" s="4" t="s">
        <v>321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D3" s="34"/>
      <c r="F3" s="30"/>
      <c r="G3" s="30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P4" s="5" t="s">
        <v>1</v>
      </c>
      <c r="Q4" s="5" t="s">
        <v>0</v>
      </c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</row>
    <row r="6" spans="1:18" x14ac:dyDescent="0.2">
      <c r="H6" s="45"/>
      <c r="I6" s="45"/>
      <c r="J6" s="45"/>
      <c r="K6" s="45"/>
      <c r="L6" s="45"/>
      <c r="M6" s="45"/>
      <c r="N6" s="45"/>
    </row>
    <row r="7" spans="1:18" ht="15" x14ac:dyDescent="0.25">
      <c r="A7" s="36" t="s">
        <v>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8" ht="12.75" x14ac:dyDescent="0.2">
      <c r="D8" s="608" t="s">
        <v>1042</v>
      </c>
      <c r="F8" s="83"/>
      <c r="G8" s="609" t="s">
        <v>1034</v>
      </c>
      <c r="H8" s="693" t="s">
        <v>1261</v>
      </c>
      <c r="I8" s="693" t="s">
        <v>1261</v>
      </c>
      <c r="Q8" s="5"/>
    </row>
    <row r="9" spans="1:18" ht="12.75" x14ac:dyDescent="0.2">
      <c r="F9" s="65" t="s">
        <v>164</v>
      </c>
      <c r="H9" s="53">
        <v>284450.60705050273</v>
      </c>
      <c r="I9" s="53">
        <v>196515.53486364108</v>
      </c>
      <c r="J9" s="53">
        <v>69243.972667750582</v>
      </c>
      <c r="K9" s="53">
        <v>34.861195900344626</v>
      </c>
      <c r="L9" s="53">
        <v>35.109305311557378</v>
      </c>
      <c r="M9" s="53">
        <v>36.328018739434441</v>
      </c>
      <c r="N9" s="53">
        <v>36.530476018984047</v>
      </c>
      <c r="Q9" s="5"/>
    </row>
    <row r="10" spans="1:18" ht="12.75" x14ac:dyDescent="0.2">
      <c r="F10" s="65" t="s">
        <v>172</v>
      </c>
      <c r="H10" s="53">
        <v>372536.19830429857</v>
      </c>
      <c r="I10" s="53">
        <v>251619.56012507412</v>
      </c>
      <c r="J10" s="53">
        <v>81205.02879184761</v>
      </c>
      <c r="K10" s="53">
        <v>28.698263562258099</v>
      </c>
      <c r="L10" s="53">
        <v>28.902510980952933</v>
      </c>
      <c r="M10" s="53">
        <v>29.905774301581967</v>
      </c>
      <c r="N10" s="53">
        <v>30.07244019523695</v>
      </c>
      <c r="Q10" s="5"/>
    </row>
    <row r="11" spans="1:18" ht="12.75" x14ac:dyDescent="0.2">
      <c r="F11" s="65" t="s">
        <v>161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Q11" s="5"/>
    </row>
    <row r="12" spans="1:18" ht="12.75" x14ac:dyDescent="0.2">
      <c r="F12" s="65" t="s">
        <v>188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Q12" s="5"/>
    </row>
    <row r="13" spans="1:18" ht="12.75" x14ac:dyDescent="0.2">
      <c r="F13" s="65" t="s">
        <v>173</v>
      </c>
      <c r="H13" s="53">
        <v>869526.74814846262</v>
      </c>
      <c r="I13" s="53">
        <v>599457.97951843985</v>
      </c>
      <c r="J13" s="53">
        <v>209569.44776662724</v>
      </c>
      <c r="K13" s="53">
        <v>15.315595215156934</v>
      </c>
      <c r="L13" s="53">
        <v>15.424597307972917</v>
      </c>
      <c r="M13" s="53">
        <v>15.960015587885023</v>
      </c>
      <c r="N13" s="53">
        <v>16.048961295622863</v>
      </c>
      <c r="Q13" s="5"/>
    </row>
    <row r="14" spans="1:18" ht="12.75" x14ac:dyDescent="0.2">
      <c r="F14" s="65" t="s">
        <v>193</v>
      </c>
      <c r="H14" s="53">
        <v>117655.7624184922</v>
      </c>
      <c r="I14" s="53">
        <v>112520.3519100967</v>
      </c>
      <c r="J14" s="53">
        <v>97846.192273556342</v>
      </c>
      <c r="K14" s="53">
        <v>77073.707934227583</v>
      </c>
      <c r="L14" s="53">
        <v>46879.471384829572</v>
      </c>
      <c r="M14" s="53">
        <v>808.06483955427973</v>
      </c>
      <c r="N14" s="53">
        <v>28.975660511911535</v>
      </c>
      <c r="Q14" s="5"/>
    </row>
    <row r="15" spans="1:18" ht="12.75" x14ac:dyDescent="0.2">
      <c r="F15" s="65" t="s">
        <v>167</v>
      </c>
      <c r="H15" s="53">
        <v>371940.41928855469</v>
      </c>
      <c r="I15" s="53">
        <v>355706.88164997939</v>
      </c>
      <c r="J15" s="53">
        <v>309318.82605858514</v>
      </c>
      <c r="K15" s="53">
        <v>243652.28901687922</v>
      </c>
      <c r="L15" s="53">
        <v>148201.01073136713</v>
      </c>
      <c r="M15" s="53">
        <v>2557.7582778380788</v>
      </c>
      <c r="N15" s="53">
        <v>30.240654116198023</v>
      </c>
      <c r="Q15" s="5"/>
    </row>
    <row r="16" spans="1:18" ht="12.75" x14ac:dyDescent="0.2">
      <c r="F16" s="65" t="s">
        <v>168</v>
      </c>
      <c r="H16" s="53">
        <v>249642.14817599588</v>
      </c>
      <c r="I16" s="53">
        <v>238742.92042195363</v>
      </c>
      <c r="J16" s="53">
        <v>207604.55486012684</v>
      </c>
      <c r="K16" s="53">
        <v>163527.08374058947</v>
      </c>
      <c r="L16" s="53">
        <v>99459.002965790642</v>
      </c>
      <c r="M16" s="53">
        <v>1703.1316942568283</v>
      </c>
      <c r="N16" s="53">
        <v>32.279853454728922</v>
      </c>
      <c r="Q16" s="5"/>
    </row>
    <row r="17" spans="4:17" ht="12.75" x14ac:dyDescent="0.2">
      <c r="F17" s="65" t="s">
        <v>169</v>
      </c>
      <c r="H17" s="53">
        <v>103671.8580808554</v>
      </c>
      <c r="I17" s="53">
        <v>99129.436689678667</v>
      </c>
      <c r="J17" s="53">
        <v>86183.140937379576</v>
      </c>
      <c r="K17" s="53">
        <v>67865.294128019654</v>
      </c>
      <c r="L17" s="53">
        <v>41248.361076876216</v>
      </c>
      <c r="M17" s="53">
        <v>643.7780871293578</v>
      </c>
      <c r="N17" s="53">
        <v>43.936795998274462</v>
      </c>
      <c r="Q17" s="5"/>
    </row>
    <row r="18" spans="4:17" ht="12.75" x14ac:dyDescent="0.2">
      <c r="F18" s="65" t="s">
        <v>170</v>
      </c>
      <c r="H18" s="53">
        <v>17022.268434259335</v>
      </c>
      <c r="I18" s="53">
        <v>17593.30818372692</v>
      </c>
      <c r="J18" s="53">
        <v>17673.294247925387</v>
      </c>
      <c r="K18" s="53">
        <v>17782.642285057485</v>
      </c>
      <c r="L18" s="53">
        <v>17909.202513219621</v>
      </c>
      <c r="M18" s="53">
        <v>18530.866353952057</v>
      </c>
      <c r="N18" s="53">
        <v>18634.139500132362</v>
      </c>
      <c r="Q18" s="5"/>
    </row>
    <row r="19" spans="4:17" ht="12.75" x14ac:dyDescent="0.2">
      <c r="F19" s="65" t="s">
        <v>171</v>
      </c>
      <c r="H19" s="53">
        <v>411400.91512367356</v>
      </c>
      <c r="I19" s="53">
        <v>425202.02961145475</v>
      </c>
      <c r="J19" s="53">
        <v>427135.16444219003</v>
      </c>
      <c r="K19" s="53">
        <v>429777.93104623334</v>
      </c>
      <c r="L19" s="53">
        <v>432836.68868980178</v>
      </c>
      <c r="M19" s="53">
        <v>447861.30623501027</v>
      </c>
      <c r="N19" s="53">
        <v>450357.25247216207</v>
      </c>
      <c r="Q19" s="5"/>
    </row>
    <row r="20" spans="4:17" ht="12.75" x14ac:dyDescent="0.2">
      <c r="F20" s="65" t="s">
        <v>165</v>
      </c>
      <c r="H20" s="53">
        <v>394707.823197263</v>
      </c>
      <c r="I20" s="53">
        <v>199794.23582373056</v>
      </c>
      <c r="J20" s="53">
        <v>37.735141458079347</v>
      </c>
      <c r="K20" s="53">
        <v>37.968615964385791</v>
      </c>
      <c r="L20" s="53">
        <v>38.238841087425641</v>
      </c>
      <c r="M20" s="53">
        <v>39.5661868917974</v>
      </c>
      <c r="N20" s="53">
        <v>39.786690592197914</v>
      </c>
      <c r="Q20" s="5"/>
    </row>
    <row r="21" spans="4:17" ht="12.75" x14ac:dyDescent="0.2">
      <c r="F21" s="65" t="s">
        <v>166</v>
      </c>
      <c r="H21" s="53">
        <v>517104.9845956678</v>
      </c>
      <c r="I21" s="53">
        <v>419746.54234103468</v>
      </c>
      <c r="J21" s="53">
        <v>295925.7003177678</v>
      </c>
      <c r="K21" s="53">
        <v>162163.55105308216</v>
      </c>
      <c r="L21" s="53">
        <v>5387.4450728319662</v>
      </c>
      <c r="M21" s="53">
        <v>49.685206973706165</v>
      </c>
      <c r="N21" s="53">
        <v>49.962104315945105</v>
      </c>
      <c r="Q21" s="5"/>
    </row>
    <row r="22" spans="4:17" s="58" customFormat="1" ht="12.75" x14ac:dyDescent="0.2">
      <c r="F22" s="65" t="s">
        <v>489</v>
      </c>
      <c r="H22" s="53">
        <v>16983.526990265469</v>
      </c>
      <c r="I22" s="53">
        <v>17553.267094826275</v>
      </c>
      <c r="J22" s="53">
        <v>17633.071116564402</v>
      </c>
      <c r="K22" s="53">
        <v>17742.170285522861</v>
      </c>
      <c r="L22" s="53">
        <v>17868.442471817365</v>
      </c>
      <c r="M22" s="53">
        <v>18488.691450895974</v>
      </c>
      <c r="N22" s="53">
        <v>18591.72955491229</v>
      </c>
      <c r="Q22" s="5"/>
    </row>
    <row r="23" spans="4:17" s="58" customFormat="1" ht="12.75" x14ac:dyDescent="0.2">
      <c r="F23" s="65" t="s">
        <v>486</v>
      </c>
      <c r="H23" s="53">
        <v>45828.100857957645</v>
      </c>
      <c r="I23" s="53">
        <v>47365.479224041555</v>
      </c>
      <c r="J23" s="53">
        <v>47580.821229219968</v>
      </c>
      <c r="K23" s="53">
        <v>47875.212831236044</v>
      </c>
      <c r="L23" s="53">
        <v>48215.94385208797</v>
      </c>
      <c r="M23" s="53">
        <v>49889.61462651263</v>
      </c>
      <c r="N23" s="53">
        <v>50167.651139527799</v>
      </c>
      <c r="Q23" s="5"/>
    </row>
    <row r="24" spans="4:17" s="58" customFormat="1" ht="12.75" x14ac:dyDescent="0.2">
      <c r="F24" s="65" t="s">
        <v>488</v>
      </c>
      <c r="H24" s="53">
        <v>9158.1914240143778</v>
      </c>
      <c r="I24" s="53">
        <v>6442.5138496126128</v>
      </c>
      <c r="J24" s="53">
        <v>2422.9409149388375</v>
      </c>
      <c r="K24" s="53">
        <v>27.57141781344102</v>
      </c>
      <c r="L24" s="53">
        <v>27.767645397243619</v>
      </c>
      <c r="M24" s="53">
        <v>28.731515288881994</v>
      </c>
      <c r="N24" s="53">
        <v>28.891636997264914</v>
      </c>
      <c r="Q24" s="5"/>
    </row>
    <row r="25" spans="4:17" s="58" customFormat="1" ht="12.75" x14ac:dyDescent="0.2">
      <c r="F25" s="65" t="s">
        <v>487</v>
      </c>
      <c r="H25" s="53">
        <v>27335.565426051817</v>
      </c>
      <c r="I25" s="53">
        <v>19102.775087296915</v>
      </c>
      <c r="J25" s="53">
        <v>7018.2451228611753</v>
      </c>
      <c r="K25" s="53">
        <v>21.390732330712314</v>
      </c>
      <c r="L25" s="53">
        <v>21.542971571705486</v>
      </c>
      <c r="M25" s="53">
        <v>22.290770723463947</v>
      </c>
      <c r="N25" s="53">
        <v>22.414997944114369</v>
      </c>
      <c r="Q25" s="5"/>
    </row>
    <row r="26" spans="4:17" ht="4.1500000000000004" customHeight="1" x14ac:dyDescent="0.2">
      <c r="H26" s="53"/>
      <c r="I26" s="53"/>
      <c r="J26" s="53"/>
      <c r="K26" s="53"/>
      <c r="L26" s="53"/>
      <c r="M26" s="53"/>
      <c r="N26" s="53"/>
      <c r="Q26" s="5"/>
    </row>
    <row r="27" spans="4:17" ht="13.5" thickBot="1" x14ac:dyDescent="0.25">
      <c r="F27" s="104" t="s">
        <v>216</v>
      </c>
      <c r="G27" s="89"/>
      <c r="H27" s="89">
        <v>3808965.1175163146</v>
      </c>
      <c r="I27" s="89">
        <v>3006492.8163945875</v>
      </c>
      <c r="J27" s="89">
        <v>1876398.1358887989</v>
      </c>
      <c r="K27" s="89">
        <v>1227625.6881416342</v>
      </c>
      <c r="L27" s="89">
        <v>858172.55463027908</v>
      </c>
      <c r="M27" s="89">
        <v>540705.67905365629</v>
      </c>
      <c r="N27" s="89">
        <v>538109.91293817502</v>
      </c>
      <c r="Q27" s="5"/>
    </row>
    <row r="28" spans="4:17" s="558" customFormat="1" ht="13.5" thickTop="1" x14ac:dyDescent="0.2">
      <c r="Q28" s="5"/>
    </row>
    <row r="29" spans="4:17" s="558" customFormat="1" ht="12.75" x14ac:dyDescent="0.2">
      <c r="D29" s="38" t="s">
        <v>870</v>
      </c>
      <c r="G29" s="48" t="s">
        <v>869</v>
      </c>
      <c r="Q29" s="5"/>
    </row>
    <row r="30" spans="4:17" s="558" customFormat="1" ht="12.75" x14ac:dyDescent="0.2">
      <c r="F30" s="65" t="s">
        <v>164</v>
      </c>
      <c r="H30" s="53">
        <v>269330.40539079072</v>
      </c>
      <c r="I30" s="53">
        <v>186069.59295754111</v>
      </c>
      <c r="J30" s="53">
        <v>65563.253398727931</v>
      </c>
      <c r="K30" s="53">
        <v>33.008120888209561</v>
      </c>
      <c r="L30" s="53">
        <v>33.243041843366242</v>
      </c>
      <c r="M30" s="53">
        <v>34.396973575095863</v>
      </c>
      <c r="N30" s="53">
        <v>34.588669074503713</v>
      </c>
      <c r="Q30" s="5"/>
    </row>
    <row r="31" spans="4:17" s="558" customFormat="1" ht="12.75" x14ac:dyDescent="0.2">
      <c r="F31" s="65" t="s">
        <v>172</v>
      </c>
      <c r="H31" s="53">
        <v>352733.73592845496</v>
      </c>
      <c r="I31" s="53">
        <v>238244.51926976079</v>
      </c>
      <c r="J31" s="53">
        <v>76888.50992817909</v>
      </c>
      <c r="K31" s="53">
        <v>27.172784193996929</v>
      </c>
      <c r="L31" s="53">
        <v>27.366174676258531</v>
      </c>
      <c r="M31" s="53">
        <v>28.316108725127531</v>
      </c>
      <c r="N31" s="53">
        <v>28.473915358652995</v>
      </c>
      <c r="Q31" s="5"/>
    </row>
    <row r="32" spans="4:17" s="558" customFormat="1" ht="12.75" x14ac:dyDescent="0.2">
      <c r="F32" s="65" t="s">
        <v>161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Q32" s="5"/>
    </row>
    <row r="33" spans="6:17" s="558" customFormat="1" ht="12.75" x14ac:dyDescent="0.2">
      <c r="F33" s="65" t="s">
        <v>188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Q33" s="5"/>
    </row>
    <row r="34" spans="6:17" s="558" customFormat="1" ht="12.75" x14ac:dyDescent="0.2">
      <c r="F34" s="65" t="s">
        <v>173</v>
      </c>
      <c r="H34" s="53">
        <v>823306.35186650243</v>
      </c>
      <c r="I34" s="53">
        <v>567593.30666424183</v>
      </c>
      <c r="J34" s="53">
        <v>198429.61458151721</v>
      </c>
      <c r="K34" s="53">
        <v>14.501482386947789</v>
      </c>
      <c r="L34" s="53">
        <v>14.604690385520845</v>
      </c>
      <c r="M34" s="53">
        <v>15.111648074511695</v>
      </c>
      <c r="N34" s="53">
        <v>15.195865801347306</v>
      </c>
      <c r="Q34" s="5"/>
    </row>
    <row r="35" spans="6:17" s="558" customFormat="1" ht="12.75" x14ac:dyDescent="0.2">
      <c r="F35" s="65" t="s">
        <v>193</v>
      </c>
      <c r="H35" s="53">
        <v>111401.67538158559</v>
      </c>
      <c r="I35" s="53">
        <v>106539.24176467043</v>
      </c>
      <c r="J35" s="53">
        <v>92645.098930315711</v>
      </c>
      <c r="K35" s="53">
        <v>72976.792766033337</v>
      </c>
      <c r="L35" s="53">
        <v>44387.555236753033</v>
      </c>
      <c r="M35" s="53">
        <v>765.11150064291553</v>
      </c>
      <c r="N35" s="53">
        <v>27.435435884844136</v>
      </c>
      <c r="Q35" s="5"/>
    </row>
    <row r="36" spans="6:17" s="558" customFormat="1" ht="12.75" x14ac:dyDescent="0.2">
      <c r="F36" s="65" t="s">
        <v>167</v>
      </c>
      <c r="H36" s="53">
        <v>352169.62602727575</v>
      </c>
      <c r="I36" s="53">
        <v>336798.99518749735</v>
      </c>
      <c r="J36" s="53">
        <v>292876.73414095101</v>
      </c>
      <c r="K36" s="53">
        <v>230700.75488943909</v>
      </c>
      <c r="L36" s="53">
        <v>140323.26636067725</v>
      </c>
      <c r="M36" s="53">
        <v>2421.7985716566709</v>
      </c>
      <c r="N36" s="53">
        <v>28.633187732843346</v>
      </c>
      <c r="Q36" s="5"/>
    </row>
    <row r="37" spans="6:17" s="558" customFormat="1" ht="12.75" x14ac:dyDescent="0.2">
      <c r="F37" s="65" t="s">
        <v>168</v>
      </c>
      <c r="H37" s="53">
        <v>236372.21824923501</v>
      </c>
      <c r="I37" s="53">
        <v>226052.34774559579</v>
      </c>
      <c r="J37" s="53">
        <v>196569.1671437542</v>
      </c>
      <c r="K37" s="53">
        <v>154834.66958608801</v>
      </c>
      <c r="L37" s="53">
        <v>94172.179368154058</v>
      </c>
      <c r="M37" s="53">
        <v>1612.6003540806473</v>
      </c>
      <c r="N37" s="53">
        <v>30.5639917842534</v>
      </c>
      <c r="Q37" s="5"/>
    </row>
    <row r="38" spans="6:17" s="558" customFormat="1" ht="12.75" x14ac:dyDescent="0.2">
      <c r="F38" s="65" t="s">
        <v>169</v>
      </c>
      <c r="H38" s="53">
        <v>98161.096768466043</v>
      </c>
      <c r="I38" s="53">
        <v>93860.13145351343</v>
      </c>
      <c r="J38" s="53">
        <v>81602.006503698445</v>
      </c>
      <c r="K38" s="53">
        <v>64257.859629807666</v>
      </c>
      <c r="L38" s="53">
        <v>39055.771143312631</v>
      </c>
      <c r="M38" s="53">
        <v>609.55754317470451</v>
      </c>
      <c r="N38" s="53">
        <v>41.601300136043491</v>
      </c>
      <c r="Q38" s="5"/>
    </row>
    <row r="39" spans="6:17" s="558" customFormat="1" ht="12.75" x14ac:dyDescent="0.2">
      <c r="F39" s="65" t="s">
        <v>170</v>
      </c>
      <c r="H39" s="53">
        <v>16117.436013261708</v>
      </c>
      <c r="I39" s="53">
        <v>16658.12168383598</v>
      </c>
      <c r="J39" s="53">
        <v>16733.856024217832</v>
      </c>
      <c r="K39" s="53">
        <v>16837.391578157592</v>
      </c>
      <c r="L39" s="53">
        <v>16957.22439521749</v>
      </c>
      <c r="M39" s="53">
        <v>17545.843192615717</v>
      </c>
      <c r="N39" s="53">
        <v>17643.626771336592</v>
      </c>
      <c r="Q39" s="5"/>
    </row>
    <row r="40" spans="6:17" s="558" customFormat="1" ht="12.75" x14ac:dyDescent="0.2">
      <c r="F40" s="65" t="s">
        <v>171</v>
      </c>
      <c r="H40" s="53">
        <v>389532.56734913151</v>
      </c>
      <c r="I40" s="53">
        <v>402600.07245443395</v>
      </c>
      <c r="J40" s="53">
        <v>404430.44994258793</v>
      </c>
      <c r="K40" s="53">
        <v>406932.7381542417</v>
      </c>
      <c r="L40" s="53">
        <v>409828.90506587783</v>
      </c>
      <c r="M40" s="53">
        <v>424054.87693583465</v>
      </c>
      <c r="N40" s="53">
        <v>426418.14913572965</v>
      </c>
      <c r="Q40" s="5"/>
    </row>
    <row r="41" spans="6:17" s="558" customFormat="1" ht="12.75" x14ac:dyDescent="0.2">
      <c r="F41" s="65" t="s">
        <v>165</v>
      </c>
      <c r="H41" s="53">
        <v>373726.8102006939</v>
      </c>
      <c r="I41" s="53">
        <v>189174.0119211445</v>
      </c>
      <c r="J41" s="53">
        <v>35.729299549636458</v>
      </c>
      <c r="K41" s="53">
        <v>35.950363530072138</v>
      </c>
      <c r="L41" s="53">
        <v>36.206224618539345</v>
      </c>
      <c r="M41" s="53">
        <v>37.463014285090274</v>
      </c>
      <c r="N41" s="53">
        <v>37.671796933279509</v>
      </c>
      <c r="Q41" s="5"/>
    </row>
    <row r="42" spans="6:17" s="558" customFormat="1" ht="12.75" x14ac:dyDescent="0.2">
      <c r="F42" s="65" t="s">
        <v>166</v>
      </c>
      <c r="H42" s="53">
        <v>489617.85167160066</v>
      </c>
      <c r="I42" s="53">
        <v>397434.57601418317</v>
      </c>
      <c r="J42" s="53">
        <v>280195.53081139113</v>
      </c>
      <c r="K42" s="53">
        <v>153543.61657938891</v>
      </c>
      <c r="L42" s="53">
        <v>5101.0710806070929</v>
      </c>
      <c r="M42" s="53">
        <v>47.044149685283557</v>
      </c>
      <c r="N42" s="53">
        <v>47.306328325751721</v>
      </c>
      <c r="Q42" s="5"/>
    </row>
    <row r="43" spans="6:17" s="558" customFormat="1" ht="12.75" x14ac:dyDescent="0.2">
      <c r="F43" s="65" t="s">
        <v>489</v>
      </c>
      <c r="H43" s="53">
        <v>16080.753901999979</v>
      </c>
      <c r="I43" s="53">
        <v>16620.209011341722</v>
      </c>
      <c r="J43" s="53">
        <v>16695.770985877178</v>
      </c>
      <c r="K43" s="53">
        <v>16799.070900431983</v>
      </c>
      <c r="L43" s="53">
        <v>16918.630986722263</v>
      </c>
      <c r="M43" s="53">
        <v>17505.910130580116</v>
      </c>
      <c r="N43" s="53">
        <v>17603.471160992984</v>
      </c>
      <c r="Q43" s="5"/>
    </row>
    <row r="44" spans="6:17" s="558" customFormat="1" ht="12.75" x14ac:dyDescent="0.2">
      <c r="F44" s="65" t="s">
        <v>486</v>
      </c>
      <c r="H44" s="53">
        <v>43392.071159026775</v>
      </c>
      <c r="I44" s="53">
        <v>44847.728936909087</v>
      </c>
      <c r="J44" s="53">
        <v>45051.624263952879</v>
      </c>
      <c r="K44" s="53">
        <v>45330.367242696309</v>
      </c>
      <c r="L44" s="53">
        <v>45652.98643105675</v>
      </c>
      <c r="M44" s="53">
        <v>47237.691884283224</v>
      </c>
      <c r="N44" s="53">
        <v>47500.949141985337</v>
      </c>
      <c r="Q44" s="5"/>
    </row>
    <row r="45" spans="6:17" s="558" customFormat="1" ht="12.75" x14ac:dyDescent="0.2">
      <c r="F45" s="65" t="s">
        <v>488</v>
      </c>
      <c r="H45" s="53">
        <v>8671.3803653030245</v>
      </c>
      <c r="I45" s="53">
        <v>6100.0568247825158</v>
      </c>
      <c r="J45" s="53">
        <v>2294.1475345227504</v>
      </c>
      <c r="K45" s="53">
        <v>26.105836840680471</v>
      </c>
      <c r="L45" s="53">
        <v>26.291633788848088</v>
      </c>
      <c r="M45" s="53">
        <v>27.204268398247432</v>
      </c>
      <c r="N45" s="53">
        <v>27.355878707952204</v>
      </c>
      <c r="Q45" s="5"/>
    </row>
    <row r="46" spans="6:17" s="558" customFormat="1" ht="12.75" x14ac:dyDescent="0.2">
      <c r="F46" s="65" t="s">
        <v>487</v>
      </c>
      <c r="H46" s="53">
        <v>25882.521377350695</v>
      </c>
      <c r="I46" s="53">
        <v>18087.35165552772</v>
      </c>
      <c r="J46" s="53">
        <v>6645.1846374036395</v>
      </c>
      <c r="K46" s="53">
        <v>20.253690684561537</v>
      </c>
      <c r="L46" s="53">
        <v>20.397837525794319</v>
      </c>
      <c r="M46" s="53">
        <v>21.105886809929743</v>
      </c>
      <c r="N46" s="53">
        <v>21.223510632375689</v>
      </c>
      <c r="Q46" s="5"/>
    </row>
    <row r="47" spans="6:17" s="558" customFormat="1" ht="4.1500000000000004" customHeight="1" x14ac:dyDescent="0.2">
      <c r="Q47" s="5"/>
    </row>
    <row r="48" spans="6:17" s="558" customFormat="1" ht="13.5" thickBot="1" x14ac:dyDescent="0.25">
      <c r="F48" s="611" t="s">
        <v>216</v>
      </c>
      <c r="G48" s="612" t="s">
        <v>68</v>
      </c>
      <c r="H48" s="612">
        <v>3606496.5016506789</v>
      </c>
      <c r="I48" s="612">
        <v>2846680.2635449795</v>
      </c>
      <c r="J48" s="612">
        <v>1776656.6781266464</v>
      </c>
      <c r="K48" s="612">
        <v>1162370.2536048088</v>
      </c>
      <c r="L48" s="612">
        <v>812555.69967121689</v>
      </c>
      <c r="M48" s="612">
        <v>511964.03216242191</v>
      </c>
      <c r="N48" s="612">
        <v>509506.24609041639</v>
      </c>
      <c r="Q48" s="5"/>
    </row>
    <row r="49" spans="4:17" s="558" customFormat="1" ht="13.5" thickTop="1" x14ac:dyDescent="0.2">
      <c r="Q49" s="5"/>
    </row>
    <row r="50" spans="4:17" s="558" customFormat="1" ht="12.75" x14ac:dyDescent="0.2">
      <c r="D50" s="38" t="s">
        <v>1060</v>
      </c>
      <c r="G50" s="48" t="s">
        <v>869</v>
      </c>
      <c r="Q50" s="5"/>
    </row>
    <row r="51" spans="4:17" s="558" customFormat="1" ht="12.75" x14ac:dyDescent="0.2">
      <c r="F51" s="65" t="s">
        <v>164</v>
      </c>
      <c r="G51" s="558" t="s">
        <v>68</v>
      </c>
      <c r="H51" s="53">
        <v>268337.18214479997</v>
      </c>
      <c r="I51" s="53">
        <v>179366.28045126051</v>
      </c>
      <c r="J51" s="53">
        <v>62915.245105121052</v>
      </c>
      <c r="K51" s="53">
        <v>31.480194995870484</v>
      </c>
      <c r="L51" s="53">
        <v>31.480194995870484</v>
      </c>
      <c r="M51" s="53">
        <v>31.480194995870484</v>
      </c>
      <c r="N51" s="53">
        <v>31.480194995870484</v>
      </c>
      <c r="Q51" s="5"/>
    </row>
    <row r="52" spans="4:17" s="558" customFormat="1" ht="12.75" x14ac:dyDescent="0.2">
      <c r="F52" s="65" t="s">
        <v>172</v>
      </c>
      <c r="G52" s="558" t="s">
        <v>68</v>
      </c>
      <c r="H52" s="53">
        <v>351432.94203679997</v>
      </c>
      <c r="I52" s="53">
        <v>229661.56146247295</v>
      </c>
      <c r="J52" s="53">
        <v>73783.090330791572</v>
      </c>
      <c r="K52" s="53">
        <v>25.914972497367447</v>
      </c>
      <c r="L52" s="53">
        <v>25.914972497367447</v>
      </c>
      <c r="M52" s="53">
        <v>25.914972497367447</v>
      </c>
      <c r="N52" s="53">
        <v>25.914972497367447</v>
      </c>
      <c r="Q52" s="5"/>
    </row>
    <row r="53" spans="4:17" s="558" customFormat="1" ht="12.75" x14ac:dyDescent="0.2">
      <c r="F53" s="65" t="s">
        <v>161</v>
      </c>
      <c r="G53" s="558" t="s">
        <v>68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Q53" s="5"/>
    </row>
    <row r="54" spans="4:17" s="558" customFormat="1" ht="12.75" x14ac:dyDescent="0.2">
      <c r="F54" s="65" t="s">
        <v>188</v>
      </c>
      <c r="G54" s="558" t="s">
        <v>68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Q54" s="5"/>
    </row>
    <row r="55" spans="4:17" s="558" customFormat="1" ht="12.75" x14ac:dyDescent="0.2">
      <c r="F55" s="65" t="s">
        <v>173</v>
      </c>
      <c r="G55" s="558" t="s">
        <v>68</v>
      </c>
      <c r="H55" s="53">
        <v>820270.20373439998</v>
      </c>
      <c r="I55" s="53">
        <v>547145.28369300987</v>
      </c>
      <c r="J55" s="53">
        <v>190415.31941050803</v>
      </c>
      <c r="K55" s="53">
        <v>13.830217564228629</v>
      </c>
      <c r="L55" s="53">
        <v>13.830217564228629</v>
      </c>
      <c r="M55" s="53">
        <v>13.830217564228629</v>
      </c>
      <c r="N55" s="53">
        <v>13.830217564228629</v>
      </c>
      <c r="Q55" s="5"/>
    </row>
    <row r="56" spans="4:17" s="558" customFormat="1" ht="12.75" x14ac:dyDescent="0.2">
      <c r="F56" s="65" t="s">
        <v>193</v>
      </c>
      <c r="G56" s="558" t="s">
        <v>68</v>
      </c>
      <c r="H56" s="53">
        <v>110990.85383519999</v>
      </c>
      <c r="I56" s="53">
        <v>102701.07659012881</v>
      </c>
      <c r="J56" s="53">
        <v>88903.292695693031</v>
      </c>
      <c r="K56" s="53">
        <v>69598.741298495414</v>
      </c>
      <c r="L56" s="53">
        <v>42033.725458303663</v>
      </c>
      <c r="M56" s="53">
        <v>700.23193119701477</v>
      </c>
      <c r="N56" s="53">
        <v>24.969820885309332</v>
      </c>
      <c r="Q56" s="5"/>
    </row>
    <row r="57" spans="4:17" s="558" customFormat="1" ht="12.75" x14ac:dyDescent="0.2">
      <c r="F57" s="65" t="s">
        <v>167</v>
      </c>
      <c r="G57" s="558" t="s">
        <v>68</v>
      </c>
      <c r="H57" s="53">
        <v>350870.91243199998</v>
      </c>
      <c r="I57" s="53">
        <v>324665.53006480925</v>
      </c>
      <c r="J57" s="53">
        <v>281047.85163731396</v>
      </c>
      <c r="K57" s="53">
        <v>220021.75689462581</v>
      </c>
      <c r="L57" s="53">
        <v>132882.05719276262</v>
      </c>
      <c r="M57" s="53">
        <v>2216.4360219083646</v>
      </c>
      <c r="N57" s="53">
        <v>26.059931107546046</v>
      </c>
      <c r="Q57" s="5"/>
    </row>
    <row r="58" spans="4:17" s="558" customFormat="1" ht="12.75" x14ac:dyDescent="0.2">
      <c r="F58" s="65" t="s">
        <v>168</v>
      </c>
      <c r="G58" s="558" t="s">
        <v>68</v>
      </c>
      <c r="H58" s="53">
        <v>235500.5365632</v>
      </c>
      <c r="I58" s="53">
        <v>217908.62310132832</v>
      </c>
      <c r="J58" s="53">
        <v>188630.01284800112</v>
      </c>
      <c r="K58" s="53">
        <v>147667.46665764583</v>
      </c>
      <c r="L58" s="53">
        <v>89178.318388067986</v>
      </c>
      <c r="M58" s="53">
        <v>1475.8558187114309</v>
      </c>
      <c r="N58" s="53">
        <v>27.817214335364991</v>
      </c>
      <c r="Q58" s="5"/>
    </row>
    <row r="59" spans="4:17" s="558" customFormat="1" ht="12.75" x14ac:dyDescent="0.2">
      <c r="F59" s="65" t="s">
        <v>169</v>
      </c>
      <c r="G59" s="558" t="s">
        <v>68</v>
      </c>
      <c r="H59" s="53">
        <v>97799.103168000016</v>
      </c>
      <c r="I59" s="53">
        <v>90478.741818523209</v>
      </c>
      <c r="J59" s="53">
        <v>78306.215358578906</v>
      </c>
      <c r="K59" s="53">
        <v>61283.402288016267</v>
      </c>
      <c r="L59" s="53">
        <v>36984.68079722135</v>
      </c>
      <c r="M59" s="53">
        <v>557.86856592048184</v>
      </c>
      <c r="N59" s="53">
        <v>37.862602852497098</v>
      </c>
      <c r="Q59" s="5"/>
    </row>
    <row r="60" spans="4:17" s="558" customFormat="1" ht="12.75" x14ac:dyDescent="0.2">
      <c r="F60" s="65" t="s">
        <v>170</v>
      </c>
      <c r="G60" s="558" t="s">
        <v>68</v>
      </c>
      <c r="H60" s="53">
        <v>16057.998935999998</v>
      </c>
      <c r="I60" s="53">
        <v>16057.998935999998</v>
      </c>
      <c r="J60" s="53">
        <v>16057.998935999998</v>
      </c>
      <c r="K60" s="53">
        <v>16057.998935999998</v>
      </c>
      <c r="L60" s="53">
        <v>16057.998935999998</v>
      </c>
      <c r="M60" s="53">
        <v>16057.998935999998</v>
      </c>
      <c r="N60" s="53">
        <v>16057.998935999998</v>
      </c>
      <c r="Q60" s="5"/>
    </row>
    <row r="61" spans="4:17" s="558" customFormat="1" ht="12.75" x14ac:dyDescent="0.2">
      <c r="F61" s="65" t="s">
        <v>171</v>
      </c>
      <c r="G61" s="558" t="s">
        <v>68</v>
      </c>
      <c r="H61" s="53">
        <v>388096.06856096</v>
      </c>
      <c r="I61" s="53">
        <v>388096.06856096</v>
      </c>
      <c r="J61" s="53">
        <v>388096.06856096</v>
      </c>
      <c r="K61" s="53">
        <v>388096.06856096</v>
      </c>
      <c r="L61" s="53">
        <v>388096.06856096</v>
      </c>
      <c r="M61" s="53">
        <v>388096.06856096</v>
      </c>
      <c r="N61" s="53">
        <v>388096.06856096</v>
      </c>
      <c r="Q61" s="5"/>
    </row>
    <row r="62" spans="4:17" s="558" customFormat="1" ht="12.75" x14ac:dyDescent="0.2">
      <c r="F62" s="65" t="s">
        <v>165</v>
      </c>
      <c r="G62" s="558" t="s">
        <v>68</v>
      </c>
      <c r="H62" s="53">
        <v>372348.59909599996</v>
      </c>
      <c r="I62" s="53">
        <v>182358.86012864474</v>
      </c>
      <c r="J62" s="53">
        <v>34.286243010681396</v>
      </c>
      <c r="K62" s="53">
        <v>34.286243010681396</v>
      </c>
      <c r="L62" s="53">
        <v>34.286243010681396</v>
      </c>
      <c r="M62" s="53">
        <v>34.286243010681396</v>
      </c>
      <c r="N62" s="53">
        <v>34.286243010681396</v>
      </c>
      <c r="Q62" s="5"/>
    </row>
    <row r="63" spans="4:17" s="558" customFormat="1" ht="12.75" x14ac:dyDescent="0.2">
      <c r="F63" s="65" t="s">
        <v>166</v>
      </c>
      <c r="G63" s="558" t="s">
        <v>68</v>
      </c>
      <c r="H63" s="53">
        <v>487812.26335999998</v>
      </c>
      <c r="I63" s="53">
        <v>383116.6634445989</v>
      </c>
      <c r="J63" s="53">
        <v>268878.82441020233</v>
      </c>
      <c r="K63" s="53">
        <v>146436.17571144082</v>
      </c>
      <c r="L63" s="53">
        <v>4830.5661395830375</v>
      </c>
      <c r="M63" s="53">
        <v>43.05492174404236</v>
      </c>
      <c r="N63" s="53">
        <v>43.05492174404236</v>
      </c>
      <c r="Q63" s="5"/>
    </row>
    <row r="64" spans="4:17" s="558" customFormat="1" ht="12.75" x14ac:dyDescent="0.2">
      <c r="F64" s="65" t="s">
        <v>489</v>
      </c>
      <c r="G64" s="558" t="s">
        <v>68</v>
      </c>
      <c r="H64" s="53">
        <v>16021.4520992</v>
      </c>
      <c r="I64" s="53">
        <v>16021.4520992</v>
      </c>
      <c r="J64" s="53">
        <v>16021.4520992</v>
      </c>
      <c r="K64" s="53">
        <v>16021.4520992</v>
      </c>
      <c r="L64" s="53">
        <v>16021.4520992</v>
      </c>
      <c r="M64" s="53">
        <v>16021.4520992</v>
      </c>
      <c r="N64" s="53">
        <v>16021.4520992</v>
      </c>
      <c r="Q64" s="5"/>
    </row>
    <row r="65" spans="1:21" s="558" customFormat="1" ht="12.75" x14ac:dyDescent="0.2">
      <c r="F65" s="65" t="s">
        <v>486</v>
      </c>
      <c r="G65" s="558" t="s">
        <v>68</v>
      </c>
      <c r="H65" s="53">
        <v>43232.0520416</v>
      </c>
      <c r="I65" s="53">
        <v>43232.0520416</v>
      </c>
      <c r="J65" s="53">
        <v>43232.0520416</v>
      </c>
      <c r="K65" s="53">
        <v>43232.0520416</v>
      </c>
      <c r="L65" s="53">
        <v>43232.0520416</v>
      </c>
      <c r="M65" s="53">
        <v>43232.0520416</v>
      </c>
      <c r="N65" s="53">
        <v>43232.0520416</v>
      </c>
      <c r="Q65" s="5"/>
    </row>
    <row r="66" spans="1:21" s="558" customFormat="1" ht="12.75" x14ac:dyDescent="0.2">
      <c r="F66" s="65" t="s">
        <v>488</v>
      </c>
      <c r="G66" s="558" t="s">
        <v>68</v>
      </c>
      <c r="H66" s="53">
        <v>8639.4024809599996</v>
      </c>
      <c r="I66" s="53">
        <v>5880.2971824216183</v>
      </c>
      <c r="J66" s="53">
        <v>2201.490117703775</v>
      </c>
      <c r="K66" s="53">
        <v>24.897413489798268</v>
      </c>
      <c r="L66" s="53">
        <v>24.897413489798268</v>
      </c>
      <c r="M66" s="53">
        <v>24.897413489798268</v>
      </c>
      <c r="N66" s="53">
        <v>24.897413489798268</v>
      </c>
      <c r="Q66" s="5"/>
    </row>
    <row r="67" spans="1:21" s="558" customFormat="1" ht="12.75" x14ac:dyDescent="0.2">
      <c r="F67" s="65" t="s">
        <v>487</v>
      </c>
      <c r="G67" s="558" t="s">
        <v>68</v>
      </c>
      <c r="H67" s="53">
        <v>25787.073104959996</v>
      </c>
      <c r="I67" s="53">
        <v>17435.739704156058</v>
      </c>
      <c r="J67" s="53">
        <v>6376.7949050427478</v>
      </c>
      <c r="K67" s="53">
        <v>19.31615962918352</v>
      </c>
      <c r="L67" s="53">
        <v>19.31615962918352</v>
      </c>
      <c r="M67" s="53">
        <v>19.31615962918352</v>
      </c>
      <c r="N67" s="53">
        <v>19.31615962918352</v>
      </c>
      <c r="Q67" s="5"/>
    </row>
    <row r="68" spans="1:21" s="558" customFormat="1" ht="4.1500000000000004" customHeight="1" x14ac:dyDescent="0.2">
      <c r="Q68" s="5"/>
    </row>
    <row r="69" spans="1:21" s="558" customFormat="1" ht="13.5" thickBot="1" x14ac:dyDescent="0.25">
      <c r="F69" s="611" t="s">
        <v>216</v>
      </c>
      <c r="G69" s="612" t="s">
        <v>68</v>
      </c>
      <c r="H69" s="612">
        <v>3593196.6435940797</v>
      </c>
      <c r="I69" s="612">
        <v>2744126.2292791139</v>
      </c>
      <c r="J69" s="612">
        <v>1704899.9946997273</v>
      </c>
      <c r="K69" s="612">
        <v>1108564.8396891714</v>
      </c>
      <c r="L69" s="612">
        <v>769466.64481488569</v>
      </c>
      <c r="M69" s="612">
        <v>468550.74409842846</v>
      </c>
      <c r="N69" s="612">
        <v>463717.06132987188</v>
      </c>
      <c r="Q69" s="5"/>
    </row>
    <row r="70" spans="1:21" s="558" customFormat="1" ht="13.5" thickTop="1" x14ac:dyDescent="0.2">
      <c r="Q70" s="5"/>
    </row>
    <row r="71" spans="1:21" s="558" customFormat="1" ht="12.75" x14ac:dyDescent="0.2">
      <c r="Q71" s="5"/>
    </row>
    <row r="72" spans="1:21" ht="15.75" thickBot="1" x14ac:dyDescent="0.3">
      <c r="A72" s="10" t="s">
        <v>37</v>
      </c>
      <c r="B72" s="10"/>
      <c r="C72" s="10"/>
      <c r="D72" s="10"/>
      <c r="E72" s="10"/>
      <c r="F72" s="10"/>
      <c r="G72" s="51"/>
      <c r="H72" s="10"/>
      <c r="I72" s="10"/>
      <c r="J72" s="10"/>
      <c r="K72" s="10"/>
      <c r="L72" s="10"/>
      <c r="M72" s="10"/>
      <c r="N72" s="10"/>
      <c r="O72" s="10"/>
      <c r="P72" s="10"/>
      <c r="Q72" s="10"/>
    </row>
    <row r="73" spans="1:21" ht="12.75" x14ac:dyDescent="0.2">
      <c r="G73" s="50"/>
      <c r="H73" s="43" t="s">
        <v>251</v>
      </c>
      <c r="I73" s="43" t="s">
        <v>252</v>
      </c>
      <c r="J73" s="43" t="s">
        <v>253</v>
      </c>
      <c r="K73" s="43" t="s">
        <v>254</v>
      </c>
      <c r="L73" s="43" t="s">
        <v>255</v>
      </c>
      <c r="M73" s="43" t="s">
        <v>256</v>
      </c>
      <c r="N73" s="43" t="s">
        <v>257</v>
      </c>
      <c r="P73" s="5"/>
      <c r="Q73" s="5"/>
    </row>
    <row r="74" spans="1:21" s="558" customFormat="1" ht="12.75" outlineLevel="1" x14ac:dyDescent="0.2">
      <c r="E74" s="79" t="s">
        <v>47</v>
      </c>
      <c r="P74" s="5"/>
      <c r="Q74" s="5"/>
    </row>
    <row r="75" spans="1:21" ht="4.1500000000000004" customHeight="1" outlineLevel="2" x14ac:dyDescent="0.2">
      <c r="P75" s="58"/>
      <c r="Q75" s="5"/>
      <c r="R75" s="58"/>
      <c r="S75" s="58"/>
      <c r="T75" s="58"/>
      <c r="U75" s="58"/>
    </row>
    <row r="76" spans="1:21" ht="12.75" outlineLevel="2" x14ac:dyDescent="0.2">
      <c r="F76" s="65" t="s">
        <v>164</v>
      </c>
      <c r="G76" t="s">
        <v>47</v>
      </c>
      <c r="H76" s="37">
        <v>8524</v>
      </c>
      <c r="I76" s="37">
        <v>5697.7499813704926</v>
      </c>
      <c r="J76" s="37">
        <v>1998.5659273512813</v>
      </c>
      <c r="K76" s="37">
        <v>1</v>
      </c>
      <c r="L76" s="37">
        <v>1</v>
      </c>
      <c r="M76" s="37">
        <v>1</v>
      </c>
      <c r="N76" s="37">
        <v>1</v>
      </c>
      <c r="P76" s="58"/>
      <c r="Q76" s="5"/>
      <c r="R76" s="58"/>
      <c r="S76" s="58"/>
      <c r="T76" s="58"/>
      <c r="U76" s="58"/>
    </row>
    <row r="77" spans="1:21" ht="12.75" outlineLevel="2" x14ac:dyDescent="0.2">
      <c r="F77" s="65" t="s">
        <v>172</v>
      </c>
      <c r="G77" t="s">
        <v>47</v>
      </c>
      <c r="H77" s="37">
        <v>13561</v>
      </c>
      <c r="I77" s="37">
        <v>8862.118664636937</v>
      </c>
      <c r="J77" s="37">
        <v>2847.1220773352843</v>
      </c>
      <c r="K77" s="37">
        <v>1</v>
      </c>
      <c r="L77" s="37">
        <v>1</v>
      </c>
      <c r="M77" s="37">
        <v>1</v>
      </c>
      <c r="N77" s="37">
        <v>1</v>
      </c>
      <c r="P77" s="58"/>
      <c r="Q77" s="5"/>
      <c r="R77" s="58"/>
      <c r="S77" s="58"/>
      <c r="T77" s="58"/>
      <c r="U77" s="58"/>
    </row>
    <row r="78" spans="1:21" ht="12.75" outlineLevel="2" x14ac:dyDescent="0.2">
      <c r="F78" s="65" t="s">
        <v>161</v>
      </c>
      <c r="G78" t="s">
        <v>47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P78" s="58"/>
      <c r="Q78" s="5"/>
      <c r="R78" s="58"/>
      <c r="S78" s="58"/>
      <c r="T78" s="58"/>
      <c r="U78" s="58"/>
    </row>
    <row r="79" spans="1:21" ht="12.75" outlineLevel="2" x14ac:dyDescent="0.2">
      <c r="F79" s="65" t="s">
        <v>188</v>
      </c>
      <c r="G79" t="s">
        <v>47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P79" s="58"/>
      <c r="Q79" s="5"/>
      <c r="R79" s="58"/>
      <c r="S79" s="58"/>
      <c r="T79" s="58"/>
      <c r="U79" s="58"/>
    </row>
    <row r="80" spans="1:21" ht="12.75" outlineLevel="2" x14ac:dyDescent="0.2">
      <c r="F80" s="65" t="s">
        <v>173</v>
      </c>
      <c r="G80" t="s">
        <v>47</v>
      </c>
      <c r="H80" s="37">
        <v>59310</v>
      </c>
      <c r="I80" s="37">
        <v>39561.581815472076</v>
      </c>
      <c r="J80" s="37">
        <v>13768.0639170139</v>
      </c>
      <c r="K80" s="37">
        <v>1</v>
      </c>
      <c r="L80" s="37">
        <v>1</v>
      </c>
      <c r="M80" s="37">
        <v>1</v>
      </c>
      <c r="N80" s="37">
        <v>1</v>
      </c>
      <c r="P80" s="58"/>
      <c r="Q80" s="5"/>
      <c r="R80" s="58"/>
      <c r="S80" s="58"/>
      <c r="T80" s="58"/>
      <c r="U80" s="58"/>
    </row>
    <row r="81" spans="1:21" ht="12.75" outlineLevel="2" x14ac:dyDescent="0.2">
      <c r="F81" s="65" t="s">
        <v>193</v>
      </c>
      <c r="G81" t="s">
        <v>47</v>
      </c>
      <c r="H81" s="37">
        <v>4445</v>
      </c>
      <c r="I81" s="37">
        <v>4113.008141382049</v>
      </c>
      <c r="J81" s="37">
        <v>3560.4297325175494</v>
      </c>
      <c r="K81" s="37">
        <v>2787.3143991770853</v>
      </c>
      <c r="L81" s="37">
        <v>1683.3811364275207</v>
      </c>
      <c r="M81" s="37">
        <v>28.043129921247733</v>
      </c>
      <c r="N81" s="37">
        <v>1</v>
      </c>
      <c r="P81" s="58"/>
      <c r="Q81" s="5"/>
      <c r="R81" s="58"/>
      <c r="S81" s="58"/>
      <c r="T81" s="58"/>
      <c r="U81" s="58"/>
    </row>
    <row r="82" spans="1:21" ht="12.75" outlineLevel="2" x14ac:dyDescent="0.2">
      <c r="F82" s="65" t="s">
        <v>167</v>
      </c>
      <c r="G82" t="s">
        <v>47</v>
      </c>
      <c r="H82" s="37">
        <v>13464</v>
      </c>
      <c r="I82" s="37">
        <v>12458.418586179509</v>
      </c>
      <c r="J82" s="37">
        <v>10784.673623175171</v>
      </c>
      <c r="K82" s="37">
        <v>8442.9139887831552</v>
      </c>
      <c r="L82" s="37">
        <v>5099.0947230203774</v>
      </c>
      <c r="M82" s="37">
        <v>85.051491992108993</v>
      </c>
      <c r="N82" s="37">
        <v>1</v>
      </c>
      <c r="P82" s="58"/>
      <c r="Q82" s="5"/>
      <c r="R82" s="58"/>
      <c r="S82" s="58"/>
      <c r="T82" s="58"/>
      <c r="U82" s="58"/>
    </row>
    <row r="83" spans="1:21" ht="12.75" outlineLevel="2" x14ac:dyDescent="0.2">
      <c r="F83" s="65" t="s">
        <v>168</v>
      </c>
      <c r="G83" t="s">
        <v>47</v>
      </c>
      <c r="H83" s="37">
        <v>8466</v>
      </c>
      <c r="I83" s="37">
        <v>7833.5889594916598</v>
      </c>
      <c r="J83" s="37">
        <v>6781.0532921763206</v>
      </c>
      <c r="K83" s="37">
        <v>5308.49224790676</v>
      </c>
      <c r="L83" s="37">
        <v>3205.8680395862821</v>
      </c>
      <c r="M83" s="37">
        <v>53.055485747727232</v>
      </c>
      <c r="N83" s="37">
        <v>1</v>
      </c>
      <c r="P83" s="58"/>
      <c r="Q83" s="5"/>
      <c r="R83" s="58"/>
      <c r="S83" s="58"/>
      <c r="T83" s="58"/>
      <c r="U83" s="58"/>
    </row>
    <row r="84" spans="1:21" ht="12.75" outlineLevel="2" x14ac:dyDescent="0.2">
      <c r="F84" s="65" t="s">
        <v>169</v>
      </c>
      <c r="G84" t="s">
        <v>47</v>
      </c>
      <c r="H84" s="37">
        <v>2583</v>
      </c>
      <c r="I84" s="37">
        <v>2389.6598490865767</v>
      </c>
      <c r="J84" s="37">
        <v>2068.167781904473</v>
      </c>
      <c r="K84" s="37">
        <v>1618.5734120488373</v>
      </c>
      <c r="L84" s="37">
        <v>976.81295026926944</v>
      </c>
      <c r="M84" s="37">
        <v>14.734025763991806</v>
      </c>
      <c r="N84" s="37">
        <v>1</v>
      </c>
      <c r="P84" s="58"/>
      <c r="Q84" s="5"/>
      <c r="R84" s="58"/>
      <c r="S84" s="58"/>
      <c r="T84" s="58"/>
      <c r="U84" s="58"/>
    </row>
    <row r="85" spans="1:21" ht="12.75" outlineLevel="2" x14ac:dyDescent="0.2">
      <c r="F85" s="65" t="s">
        <v>170</v>
      </c>
      <c r="G85" t="s">
        <v>47</v>
      </c>
      <c r="H85" s="37">
        <v>1068</v>
      </c>
      <c r="I85" s="37">
        <v>1068</v>
      </c>
      <c r="J85" s="37">
        <v>1068</v>
      </c>
      <c r="K85" s="37">
        <v>1068</v>
      </c>
      <c r="L85" s="37">
        <v>1068</v>
      </c>
      <c r="M85" s="37">
        <v>1068</v>
      </c>
      <c r="N85" s="37">
        <v>1068</v>
      </c>
      <c r="P85" s="58"/>
      <c r="Q85" s="5"/>
      <c r="R85" s="58"/>
      <c r="S85" s="58"/>
      <c r="T85" s="58"/>
      <c r="U85" s="58"/>
    </row>
    <row r="86" spans="1:21" ht="12.75" outlineLevel="2" x14ac:dyDescent="0.2">
      <c r="F86" s="65" t="s">
        <v>171</v>
      </c>
      <c r="G86" t="s">
        <v>47</v>
      </c>
      <c r="H86" s="37">
        <v>20032</v>
      </c>
      <c r="I86" s="37">
        <v>20032</v>
      </c>
      <c r="J86" s="37">
        <v>20032</v>
      </c>
      <c r="K86" s="37">
        <v>20032</v>
      </c>
      <c r="L86" s="37">
        <v>20032</v>
      </c>
      <c r="M86" s="37">
        <v>20032</v>
      </c>
      <c r="N86" s="37">
        <v>20032</v>
      </c>
      <c r="P86" s="58"/>
      <c r="Q86" s="5"/>
      <c r="R86" s="58"/>
      <c r="S86" s="58"/>
      <c r="T86" s="58"/>
      <c r="U86" s="58"/>
    </row>
    <row r="87" spans="1:21" ht="12.75" outlineLevel="2" x14ac:dyDescent="0.2">
      <c r="F87" s="65" t="s">
        <v>165</v>
      </c>
      <c r="G87" t="s">
        <v>47</v>
      </c>
      <c r="H87" s="37">
        <v>10860</v>
      </c>
      <c r="I87" s="37">
        <v>5318.7180663636263</v>
      </c>
      <c r="J87" s="37">
        <v>1</v>
      </c>
      <c r="K87" s="37">
        <v>1</v>
      </c>
      <c r="L87" s="37">
        <v>1</v>
      </c>
      <c r="M87" s="37">
        <v>1</v>
      </c>
      <c r="N87" s="37">
        <v>1</v>
      </c>
      <c r="P87" s="58"/>
      <c r="Q87" s="5"/>
      <c r="R87" s="58"/>
      <c r="S87" s="58"/>
      <c r="T87" s="58"/>
      <c r="U87" s="58"/>
    </row>
    <row r="88" spans="1:21" ht="12.75" outlineLevel="2" x14ac:dyDescent="0.2">
      <c r="F88" s="65" t="s">
        <v>166</v>
      </c>
      <c r="G88" t="s">
        <v>47</v>
      </c>
      <c r="H88" s="37">
        <v>11330</v>
      </c>
      <c r="I88" s="37">
        <v>8898.3244638602064</v>
      </c>
      <c r="J88" s="37">
        <v>6245.019466268287</v>
      </c>
      <c r="K88" s="37">
        <v>3401.1483421568087</v>
      </c>
      <c r="L88" s="37">
        <v>112.1954458145417</v>
      </c>
      <c r="M88" s="37">
        <v>1</v>
      </c>
      <c r="N88" s="37">
        <v>1</v>
      </c>
      <c r="P88" s="58"/>
      <c r="Q88" s="5"/>
      <c r="R88" s="58"/>
      <c r="S88" s="58"/>
      <c r="T88" s="58"/>
      <c r="U88" s="58"/>
    </row>
    <row r="89" spans="1:21" s="58" customFormat="1" ht="12.75" outlineLevel="2" x14ac:dyDescent="0.2">
      <c r="F89" s="65" t="s">
        <v>489</v>
      </c>
      <c r="G89" s="58" t="s">
        <v>47</v>
      </c>
      <c r="H89" s="37">
        <v>265</v>
      </c>
      <c r="I89" s="37">
        <v>265</v>
      </c>
      <c r="J89" s="37">
        <v>265</v>
      </c>
      <c r="K89" s="37">
        <v>265</v>
      </c>
      <c r="L89" s="37">
        <v>265</v>
      </c>
      <c r="M89" s="37">
        <v>265</v>
      </c>
      <c r="N89" s="37">
        <v>265</v>
      </c>
      <c r="Q89" s="5"/>
    </row>
    <row r="90" spans="1:21" s="58" customFormat="1" ht="12.75" outlineLevel="2" x14ac:dyDescent="0.2">
      <c r="F90" s="65" t="s">
        <v>486</v>
      </c>
      <c r="G90" s="58" t="s">
        <v>47</v>
      </c>
      <c r="H90" s="37">
        <v>4299</v>
      </c>
      <c r="I90" s="37">
        <v>4299</v>
      </c>
      <c r="J90" s="37">
        <v>4299</v>
      </c>
      <c r="K90" s="37">
        <v>4299</v>
      </c>
      <c r="L90" s="37">
        <v>4299</v>
      </c>
      <c r="M90" s="37">
        <v>4299</v>
      </c>
      <c r="N90" s="37">
        <v>4299</v>
      </c>
      <c r="Q90" s="5"/>
    </row>
    <row r="91" spans="1:21" s="58" customFormat="1" ht="12.75" outlineLevel="2" x14ac:dyDescent="0.2">
      <c r="F91" s="65" t="s">
        <v>488</v>
      </c>
      <c r="G91" s="58" t="s">
        <v>47</v>
      </c>
      <c r="H91" s="37">
        <v>347</v>
      </c>
      <c r="I91" s="37">
        <v>236.18104687183964</v>
      </c>
      <c r="J91" s="37">
        <v>88.422442700959152</v>
      </c>
      <c r="K91" s="37">
        <v>1</v>
      </c>
      <c r="L91" s="37">
        <v>1</v>
      </c>
      <c r="M91" s="37">
        <v>1</v>
      </c>
      <c r="N91" s="37">
        <v>1</v>
      </c>
      <c r="Q91" s="5"/>
    </row>
    <row r="92" spans="1:21" s="58" customFormat="1" ht="12.75" outlineLevel="2" x14ac:dyDescent="0.2">
      <c r="F92" s="65" t="s">
        <v>487</v>
      </c>
      <c r="G92" s="58" t="s">
        <v>47</v>
      </c>
      <c r="H92" s="37">
        <v>1335</v>
      </c>
      <c r="I92" s="37">
        <v>902.65042528503136</v>
      </c>
      <c r="J92" s="37">
        <v>330.12746982109564</v>
      </c>
      <c r="K92" s="37">
        <v>1</v>
      </c>
      <c r="L92" s="37">
        <v>1</v>
      </c>
      <c r="M92" s="37">
        <v>1</v>
      </c>
      <c r="N92" s="37">
        <v>1</v>
      </c>
      <c r="Q92" s="5"/>
    </row>
    <row r="93" spans="1:21" ht="4.1500000000000004" customHeight="1" outlineLevel="2" x14ac:dyDescent="0.2">
      <c r="H93" s="37"/>
      <c r="I93" s="37"/>
      <c r="J93" s="37"/>
      <c r="K93" s="37"/>
      <c r="L93" s="37"/>
      <c r="M93" s="37"/>
      <c r="N93" s="37"/>
      <c r="P93" s="58"/>
      <c r="Q93" s="5"/>
      <c r="R93" s="58"/>
      <c r="S93" s="58"/>
      <c r="T93" s="58"/>
      <c r="U93" s="58"/>
    </row>
    <row r="94" spans="1:21" ht="13.5" outlineLevel="1" thickBot="1" x14ac:dyDescent="0.25">
      <c r="F94" s="104" t="s">
        <v>216</v>
      </c>
      <c r="G94" s="89" t="s">
        <v>443</v>
      </c>
      <c r="H94" s="105">
        <v>159889</v>
      </c>
      <c r="I94" s="105">
        <v>121936.00000000001</v>
      </c>
      <c r="J94" s="105">
        <v>74136.645730264325</v>
      </c>
      <c r="K94" s="105">
        <v>47228.442390072654</v>
      </c>
      <c r="L94" s="105">
        <v>36747.352295117991</v>
      </c>
      <c r="M94" s="105">
        <v>25851.884133425076</v>
      </c>
      <c r="N94" s="105">
        <v>25675</v>
      </c>
      <c r="P94" s="58"/>
      <c r="Q94" s="5"/>
      <c r="R94" s="58"/>
      <c r="S94" s="58"/>
      <c r="T94" s="58"/>
      <c r="U94" s="58"/>
    </row>
    <row r="95" spans="1:21" ht="13.5" outlineLevel="1" thickTop="1" x14ac:dyDescent="0.2">
      <c r="G95" s="50"/>
      <c r="P95" s="5"/>
      <c r="Q95" s="5"/>
    </row>
    <row r="96" spans="1:21" outlineLevel="1" x14ac:dyDescent="0.2">
      <c r="A96" s="120" t="s">
        <v>263</v>
      </c>
    </row>
    <row r="97" spans="1:14" s="386" customFormat="1" outlineLevel="1" x14ac:dyDescent="0.2">
      <c r="A97" s="120"/>
    </row>
    <row r="98" spans="1:14" s="386" customFormat="1" outlineLevel="1" x14ac:dyDescent="0.2">
      <c r="A98" s="120"/>
      <c r="E98" s="38" t="s">
        <v>749</v>
      </c>
    </row>
    <row r="99" spans="1:14" s="386" customFormat="1" outlineLevel="2" x14ac:dyDescent="0.2">
      <c r="A99" s="6" t="s">
        <v>164</v>
      </c>
      <c r="B99" s="6" t="s">
        <v>68</v>
      </c>
      <c r="F99" s="65" t="s">
        <v>164</v>
      </c>
      <c r="H99" s="53">
        <v>13908.190399999999</v>
      </c>
      <c r="I99" s="53">
        <v>9296.7376340329956</v>
      </c>
      <c r="J99" s="53">
        <v>3260.9614552503735</v>
      </c>
      <c r="K99" s="53">
        <v>1.6316506804317221</v>
      </c>
      <c r="L99" s="53">
        <v>1.6316506804317221</v>
      </c>
      <c r="M99" s="53">
        <v>1.6316506804317221</v>
      </c>
      <c r="N99" s="53">
        <v>1.6316506804317221</v>
      </c>
    </row>
    <row r="100" spans="1:14" s="386" customFormat="1" outlineLevel="2" x14ac:dyDescent="0.2">
      <c r="A100" s="6" t="s">
        <v>172</v>
      </c>
      <c r="B100" s="6" t="s">
        <v>68</v>
      </c>
      <c r="F100" s="65" t="s">
        <v>172</v>
      </c>
      <c r="H100" s="53">
        <v>49213.596799999999</v>
      </c>
      <c r="I100" s="53">
        <v>32161.104251544624</v>
      </c>
      <c r="J100" s="53">
        <v>10332.358819729894</v>
      </c>
      <c r="K100" s="53">
        <v>3.6290536686085093</v>
      </c>
      <c r="L100" s="53">
        <v>3.6290536686085093</v>
      </c>
      <c r="M100" s="53">
        <v>3.6290536686085093</v>
      </c>
      <c r="N100" s="53">
        <v>3.6290536686085093</v>
      </c>
    </row>
    <row r="101" spans="1:14" s="386" customFormat="1" outlineLevel="2" x14ac:dyDescent="0.2">
      <c r="A101" s="6" t="s">
        <v>161</v>
      </c>
      <c r="B101" s="6" t="s">
        <v>68</v>
      </c>
      <c r="F101" s="65" t="s">
        <v>161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</row>
    <row r="102" spans="1:14" s="386" customFormat="1" outlineLevel="2" x14ac:dyDescent="0.2">
      <c r="A102" s="6" t="s">
        <v>188</v>
      </c>
      <c r="B102" s="6" t="s">
        <v>68</v>
      </c>
      <c r="F102" s="65" t="s">
        <v>188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</row>
    <row r="103" spans="1:14" s="386" customFormat="1" outlineLevel="2" x14ac:dyDescent="0.2">
      <c r="A103" s="6" t="s">
        <v>173</v>
      </c>
      <c r="B103" s="6" t="s">
        <v>68</v>
      </c>
      <c r="F103" s="65" t="s">
        <v>173</v>
      </c>
      <c r="H103" s="53">
        <v>107922.20819999999</v>
      </c>
      <c r="I103" s="53">
        <v>71987.409701748635</v>
      </c>
      <c r="J103" s="53">
        <v>25052.771211648651</v>
      </c>
      <c r="K103" s="53">
        <v>1.8196292058674759</v>
      </c>
      <c r="L103" s="53">
        <v>1.8196292058674759</v>
      </c>
      <c r="M103" s="53">
        <v>1.8196292058674759</v>
      </c>
      <c r="N103" s="53">
        <v>1.8196292058674759</v>
      </c>
    </row>
    <row r="104" spans="1:14" s="386" customFormat="1" outlineLevel="2" x14ac:dyDescent="0.2">
      <c r="A104" s="6" t="s">
        <v>193</v>
      </c>
      <c r="B104" s="6" t="s">
        <v>68</v>
      </c>
      <c r="F104" s="65" t="s">
        <v>193</v>
      </c>
      <c r="H104" s="53">
        <v>133.73259999999999</v>
      </c>
      <c r="I104" s="53">
        <v>123.74426829430573</v>
      </c>
      <c r="J104" s="53">
        <v>107.11935326138952</v>
      </c>
      <c r="K104" s="53">
        <v>83.859347945869388</v>
      </c>
      <c r="L104" s="53">
        <v>50.646329845985832</v>
      </c>
      <c r="M104" s="53">
        <v>0.84370768875281299</v>
      </c>
      <c r="N104" s="53">
        <v>3.0086074240719907E-2</v>
      </c>
    </row>
    <row r="105" spans="1:14" s="386" customFormat="1" outlineLevel="2" x14ac:dyDescent="0.2">
      <c r="A105" s="6" t="s">
        <v>167</v>
      </c>
      <c r="B105" s="6" t="s">
        <v>68</v>
      </c>
      <c r="F105" s="65" t="s">
        <v>167</v>
      </c>
      <c r="H105" s="53">
        <v>401.19779999999997</v>
      </c>
      <c r="I105" s="53">
        <v>371.23366965644152</v>
      </c>
      <c r="J105" s="53">
        <v>321.35972454960688</v>
      </c>
      <c r="K105" s="53">
        <v>251.58040091273219</v>
      </c>
      <c r="L105" s="53">
        <v>151.94188835913431</v>
      </c>
      <c r="M105" s="53">
        <v>2.5343487428662912</v>
      </c>
      <c r="N105" s="53">
        <v>2.9797816399286983E-2</v>
      </c>
    </row>
    <row r="106" spans="1:14" s="386" customFormat="1" outlineLevel="2" x14ac:dyDescent="0.2">
      <c r="A106" s="6" t="s">
        <v>168</v>
      </c>
      <c r="B106" s="6" t="s">
        <v>68</v>
      </c>
      <c r="F106" s="65" t="s">
        <v>168</v>
      </c>
      <c r="H106" s="53">
        <v>267.46519999999998</v>
      </c>
      <c r="I106" s="53">
        <v>247.48552300593298</v>
      </c>
      <c r="J106" s="53">
        <v>214.23290515031869</v>
      </c>
      <c r="K106" s="53">
        <v>167.71048202041473</v>
      </c>
      <c r="L106" s="53">
        <v>101.28255804176149</v>
      </c>
      <c r="M106" s="53">
        <v>1.6761748295077974</v>
      </c>
      <c r="N106" s="53">
        <v>3.1592865579966926E-2</v>
      </c>
    </row>
    <row r="107" spans="1:14" s="386" customFormat="1" outlineLevel="2" x14ac:dyDescent="0.2">
      <c r="A107" s="6" t="s">
        <v>169</v>
      </c>
      <c r="B107" s="6" t="s">
        <v>68</v>
      </c>
      <c r="F107" s="65" t="s">
        <v>169</v>
      </c>
      <c r="H107" s="53">
        <v>133.73259999999999</v>
      </c>
      <c r="I107" s="53">
        <v>123.72258022994792</v>
      </c>
      <c r="J107" s="53">
        <v>107.07760538533415</v>
      </c>
      <c r="K107" s="53">
        <v>83.800244167310225</v>
      </c>
      <c r="L107" s="53">
        <v>50.573649072079014</v>
      </c>
      <c r="M107" s="53">
        <v>0.76284149201920648</v>
      </c>
      <c r="N107" s="53">
        <v>5.1774138598528842E-2</v>
      </c>
    </row>
    <row r="108" spans="1:14" s="386" customFormat="1" outlineLevel="2" x14ac:dyDescent="0.2">
      <c r="A108" s="6" t="s">
        <v>170</v>
      </c>
      <c r="B108" s="6" t="s">
        <v>68</v>
      </c>
      <c r="F108" s="65" t="s">
        <v>170</v>
      </c>
      <c r="H108" s="53">
        <v>0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</row>
    <row r="109" spans="1:14" s="386" customFormat="1" outlineLevel="2" x14ac:dyDescent="0.2">
      <c r="A109" s="6" t="s">
        <v>171</v>
      </c>
      <c r="B109" s="6" t="s">
        <v>68</v>
      </c>
      <c r="F109" s="65" t="s">
        <v>171</v>
      </c>
      <c r="H109" s="53">
        <v>0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</row>
    <row r="110" spans="1:14" s="386" customFormat="1" outlineLevel="2" x14ac:dyDescent="0.2">
      <c r="A110" s="6" t="s">
        <v>165</v>
      </c>
      <c r="B110" s="6" t="s">
        <v>68</v>
      </c>
      <c r="F110" s="65" t="s">
        <v>165</v>
      </c>
      <c r="H110" s="53">
        <v>277227.67979999998</v>
      </c>
      <c r="I110" s="53">
        <v>135773.10028069341</v>
      </c>
      <c r="J110" s="53">
        <v>25.527410662983421</v>
      </c>
      <c r="K110" s="53">
        <v>25.527410662983421</v>
      </c>
      <c r="L110" s="53">
        <v>25.527410662983421</v>
      </c>
      <c r="M110" s="53">
        <v>25.527410662983421</v>
      </c>
      <c r="N110" s="53">
        <v>25.527410662983421</v>
      </c>
    </row>
    <row r="111" spans="1:14" s="386" customFormat="1" outlineLevel="2" x14ac:dyDescent="0.2">
      <c r="A111" s="6" t="s">
        <v>166</v>
      </c>
      <c r="B111" s="6" t="s">
        <v>68</v>
      </c>
      <c r="F111" s="65" t="s">
        <v>166</v>
      </c>
      <c r="H111" s="53">
        <v>212367.3688</v>
      </c>
      <c r="I111" s="53">
        <v>166788.50424701345</v>
      </c>
      <c r="J111" s="53">
        <v>117055.45914882405</v>
      </c>
      <c r="K111" s="53">
        <v>63750.478757486635</v>
      </c>
      <c r="L111" s="53">
        <v>2102.9701340668307</v>
      </c>
      <c r="M111" s="53">
        <v>18.743810132391879</v>
      </c>
      <c r="N111" s="53">
        <v>18.743810132391879</v>
      </c>
    </row>
    <row r="112" spans="1:14" s="386" customFormat="1" outlineLevel="2" x14ac:dyDescent="0.2">
      <c r="A112" s="6" t="s">
        <v>489</v>
      </c>
      <c r="B112" s="6" t="s">
        <v>68</v>
      </c>
      <c r="F112" s="65" t="s">
        <v>489</v>
      </c>
      <c r="H112" s="53">
        <v>0</v>
      </c>
      <c r="I112" s="53">
        <v>0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</row>
    <row r="113" spans="1:17" s="386" customFormat="1" outlineLevel="2" x14ac:dyDescent="0.2">
      <c r="A113" s="6" t="s">
        <v>486</v>
      </c>
      <c r="B113" s="6" t="s">
        <v>68</v>
      </c>
      <c r="F113" s="65" t="s">
        <v>486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</row>
    <row r="114" spans="1:17" s="386" customFormat="1" outlineLevel="2" x14ac:dyDescent="0.2">
      <c r="A114" s="6" t="s">
        <v>488</v>
      </c>
      <c r="B114" s="6" t="s">
        <v>68</v>
      </c>
      <c r="F114" s="65" t="s">
        <v>488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</row>
    <row r="115" spans="1:17" s="386" customFormat="1" outlineLevel="2" x14ac:dyDescent="0.2">
      <c r="A115" s="6" t="s">
        <v>487</v>
      </c>
      <c r="B115" s="6" t="s">
        <v>68</v>
      </c>
      <c r="F115" s="65" t="s">
        <v>487</v>
      </c>
      <c r="H115" s="53">
        <v>802.39560000000006</v>
      </c>
      <c r="I115" s="53">
        <v>542.53387984032804</v>
      </c>
      <c r="J115" s="53">
        <v>198.42159492402993</v>
      </c>
      <c r="K115" s="53">
        <v>0.60104539325842699</v>
      </c>
      <c r="L115" s="53">
        <v>0.60104539325842699</v>
      </c>
      <c r="M115" s="53">
        <v>0.60104539325842699</v>
      </c>
      <c r="N115" s="53">
        <v>0.60104539325842699</v>
      </c>
    </row>
    <row r="116" spans="1:17" s="386" customFormat="1" ht="4.1500000000000004" customHeight="1" outlineLevel="2" x14ac:dyDescent="0.2">
      <c r="A116" s="120"/>
    </row>
    <row r="117" spans="1:17" s="386" customFormat="1" ht="12.75" outlineLevel="1" thickBot="1" x14ac:dyDescent="0.25">
      <c r="A117" s="120"/>
      <c r="F117" s="104" t="s">
        <v>216</v>
      </c>
      <c r="G117" s="89" t="s">
        <v>68</v>
      </c>
      <c r="H117" s="89">
        <v>662377.56779999996</v>
      </c>
      <c r="I117" s="89">
        <v>417415.57603606005</v>
      </c>
      <c r="J117" s="89">
        <v>156675.28922938663</v>
      </c>
      <c r="K117" s="89">
        <v>64370.638022144114</v>
      </c>
      <c r="L117" s="89">
        <v>2490.6233489969409</v>
      </c>
      <c r="M117" s="89">
        <v>57.769672496687541</v>
      </c>
      <c r="N117" s="89">
        <v>52.095850638359934</v>
      </c>
      <c r="P117" s="7" t="s">
        <v>495</v>
      </c>
      <c r="Q117" s="417" t="s">
        <v>764</v>
      </c>
    </row>
    <row r="118" spans="1:17" s="386" customFormat="1" ht="12.75" outlineLevel="1" thickTop="1" x14ac:dyDescent="0.2">
      <c r="A118" s="120"/>
    </row>
    <row r="119" spans="1:17" s="386" customFormat="1" outlineLevel="1" x14ac:dyDescent="0.2">
      <c r="A119" s="120"/>
    </row>
    <row r="120" spans="1:17" s="386" customFormat="1" outlineLevel="1" x14ac:dyDescent="0.2">
      <c r="A120" s="120"/>
      <c r="E120" s="38" t="s">
        <v>633</v>
      </c>
    </row>
    <row r="121" spans="1:17" outlineLevel="1" x14ac:dyDescent="0.2">
      <c r="F121" s="65" t="s">
        <v>172</v>
      </c>
      <c r="H121" s="558"/>
      <c r="I121" s="558"/>
      <c r="J121" s="558"/>
      <c r="K121" s="558"/>
      <c r="L121" s="558"/>
    </row>
    <row r="122" spans="1:17" ht="4.1500000000000004" customHeight="1" outlineLevel="2" x14ac:dyDescent="0.2"/>
    <row r="123" spans="1:17" outlineLevel="2" x14ac:dyDescent="0.2">
      <c r="A123" s="6" t="s">
        <v>172</v>
      </c>
      <c r="B123" s="6" t="s">
        <v>443</v>
      </c>
      <c r="F123" t="s">
        <v>708</v>
      </c>
      <c r="G123" t="s">
        <v>57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P123" s="7"/>
      <c r="Q123" s="8" t="s">
        <v>763</v>
      </c>
    </row>
    <row r="124" spans="1:17" outlineLevel="2" x14ac:dyDescent="0.2">
      <c r="A124" s="6" t="s">
        <v>172</v>
      </c>
      <c r="B124" s="6" t="s">
        <v>443</v>
      </c>
      <c r="F124" t="s">
        <v>245</v>
      </c>
      <c r="G124" t="s">
        <v>57</v>
      </c>
      <c r="H124" s="37">
        <v>13561</v>
      </c>
      <c r="I124" s="37">
        <v>8862.118664636937</v>
      </c>
      <c r="J124" s="37">
        <v>2847.1220773352843</v>
      </c>
      <c r="K124" s="37">
        <v>1</v>
      </c>
      <c r="L124" s="37">
        <v>1</v>
      </c>
      <c r="M124" s="37">
        <v>1</v>
      </c>
      <c r="N124" s="37">
        <v>1</v>
      </c>
      <c r="P124" s="7"/>
      <c r="Q124" s="8" t="s">
        <v>246</v>
      </c>
    </row>
    <row r="125" spans="1:17" ht="4.1500000000000004" customHeight="1" outlineLevel="2" x14ac:dyDescent="0.2">
      <c r="A125" s="6"/>
      <c r="B125" s="6"/>
      <c r="H125" s="37"/>
      <c r="I125" s="37"/>
      <c r="J125" s="37"/>
      <c r="K125" s="37"/>
      <c r="L125" s="37"/>
      <c r="M125" s="37"/>
      <c r="N125" s="37"/>
    </row>
    <row r="126" spans="1:17" outlineLevel="2" x14ac:dyDescent="0.2">
      <c r="A126" s="6" t="s">
        <v>172</v>
      </c>
      <c r="B126" s="6" t="s">
        <v>47</v>
      </c>
      <c r="F126" s="85" t="s">
        <v>1286</v>
      </c>
      <c r="G126" s="85" t="s">
        <v>57</v>
      </c>
      <c r="H126" s="101">
        <v>13561</v>
      </c>
      <c r="I126" s="101">
        <v>8862.118664636937</v>
      </c>
      <c r="J126" s="101">
        <v>2847.1220773352843</v>
      </c>
      <c r="K126" s="101">
        <v>1</v>
      </c>
      <c r="L126" s="101">
        <v>1</v>
      </c>
      <c r="M126" s="101">
        <v>1</v>
      </c>
      <c r="N126" s="101">
        <v>1</v>
      </c>
    </row>
    <row r="127" spans="1:17" outlineLevel="2" x14ac:dyDescent="0.2">
      <c r="A127" s="6"/>
      <c r="B127" s="6"/>
    </row>
    <row r="128" spans="1:17" outlineLevel="2" x14ac:dyDescent="0.2">
      <c r="A128" s="6"/>
      <c r="B128" s="6"/>
      <c r="F128" s="55" t="s">
        <v>29</v>
      </c>
      <c r="G128" s="6" t="s">
        <v>690</v>
      </c>
    </row>
    <row r="129" spans="1:17" outlineLevel="2" x14ac:dyDescent="0.2">
      <c r="A129" s="6" t="s">
        <v>172</v>
      </c>
      <c r="B129" s="6" t="s">
        <v>68</v>
      </c>
      <c r="F129" t="s">
        <v>194</v>
      </c>
      <c r="G129" s="780"/>
      <c r="H129" s="775"/>
      <c r="I129" s="775"/>
      <c r="J129" s="775"/>
      <c r="K129" s="775"/>
      <c r="L129" s="775"/>
      <c r="M129" s="775"/>
      <c r="N129" s="775"/>
      <c r="P129" s="7"/>
      <c r="Q129" s="8" t="s">
        <v>760</v>
      </c>
    </row>
    <row r="130" spans="1:17" outlineLevel="2" x14ac:dyDescent="0.2">
      <c r="A130" s="6" t="s">
        <v>172</v>
      </c>
      <c r="B130" s="6" t="s">
        <v>68</v>
      </c>
      <c r="F130" t="s">
        <v>195</v>
      </c>
      <c r="G130" s="780"/>
      <c r="H130" s="775"/>
      <c r="I130" s="775"/>
      <c r="J130" s="775"/>
      <c r="K130" s="775"/>
      <c r="L130" s="775"/>
      <c r="M130" s="775"/>
      <c r="N130" s="775"/>
      <c r="P130" s="7"/>
      <c r="Q130" s="8" t="s">
        <v>761</v>
      </c>
    </row>
    <row r="131" spans="1:17" outlineLevel="2" x14ac:dyDescent="0.2">
      <c r="A131" s="6" t="s">
        <v>172</v>
      </c>
      <c r="B131" s="6" t="s">
        <v>68</v>
      </c>
      <c r="F131" t="s">
        <v>215</v>
      </c>
      <c r="G131" s="102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P131" s="7"/>
      <c r="Q131" s="8" t="s">
        <v>762</v>
      </c>
    </row>
    <row r="132" spans="1:17" outlineLevel="2" x14ac:dyDescent="0.2">
      <c r="A132" s="6"/>
      <c r="B132" s="6"/>
    </row>
    <row r="133" spans="1:17" outlineLevel="2" x14ac:dyDescent="0.2">
      <c r="A133" s="6"/>
      <c r="B133" s="6"/>
      <c r="F133" s="55" t="s">
        <v>28</v>
      </c>
      <c r="G133" s="6" t="s">
        <v>689</v>
      </c>
    </row>
    <row r="134" spans="1:17" outlineLevel="2" x14ac:dyDescent="0.2">
      <c r="A134" s="6" t="s">
        <v>172</v>
      </c>
      <c r="B134" s="6" t="s">
        <v>68</v>
      </c>
      <c r="F134" t="s">
        <v>28</v>
      </c>
      <c r="G134" s="102">
        <v>21.616537069537642</v>
      </c>
      <c r="H134" s="53">
        <v>293141.85919999995</v>
      </c>
      <c r="I134" s="53">
        <v>191568.31662876578</v>
      </c>
      <c r="J134" s="53">
        <v>61544.91992621719</v>
      </c>
      <c r="K134" s="53">
        <v>21.616537069537642</v>
      </c>
      <c r="L134" s="53">
        <v>21.616537069537642</v>
      </c>
      <c r="M134" s="53">
        <v>21.616537069537642</v>
      </c>
      <c r="N134" s="53">
        <v>21.616537069537642</v>
      </c>
      <c r="P134" s="7"/>
      <c r="Q134" s="8" t="s">
        <v>759</v>
      </c>
    </row>
    <row r="135" spans="1:17" ht="4.1500000000000004" customHeight="1" outlineLevel="2" x14ac:dyDescent="0.2">
      <c r="A135" s="6"/>
      <c r="B135" s="6"/>
    </row>
    <row r="136" spans="1:17" outlineLevel="1" x14ac:dyDescent="0.2">
      <c r="A136" s="6"/>
      <c r="B136" s="6"/>
      <c r="F136" s="100" t="s">
        <v>1287</v>
      </c>
      <c r="G136" s="100"/>
      <c r="H136" s="103">
        <v>302219.34523679997</v>
      </c>
      <c r="I136" s="103">
        <v>197500.45721092835</v>
      </c>
      <c r="J136" s="103">
        <v>63450.731511061676</v>
      </c>
      <c r="K136" s="103">
        <v>22.285918828758938</v>
      </c>
      <c r="L136" s="103">
        <v>22.285918828758938</v>
      </c>
      <c r="M136" s="103">
        <v>22.285918828758938</v>
      </c>
      <c r="N136" s="103">
        <v>22.285918828758938</v>
      </c>
    </row>
    <row r="137" spans="1:17" outlineLevel="1" x14ac:dyDescent="0.2">
      <c r="A137" s="6"/>
      <c r="B137" s="6"/>
      <c r="E137" s="56"/>
      <c r="F137" s="56"/>
    </row>
    <row r="138" spans="1:17" outlineLevel="1" x14ac:dyDescent="0.2">
      <c r="A138" s="6"/>
      <c r="B138" s="6"/>
      <c r="E138" s="56"/>
      <c r="F138" s="56"/>
    </row>
    <row r="139" spans="1:17" outlineLevel="1" x14ac:dyDescent="0.2">
      <c r="A139" s="6"/>
      <c r="B139" s="6"/>
      <c r="F139" s="65" t="s">
        <v>173</v>
      </c>
    </row>
    <row r="140" spans="1:17" ht="4.1500000000000004" customHeight="1" outlineLevel="2" x14ac:dyDescent="0.2">
      <c r="A140" s="6"/>
      <c r="B140" s="6"/>
    </row>
    <row r="141" spans="1:17" outlineLevel="2" x14ac:dyDescent="0.2">
      <c r="A141" s="6" t="s">
        <v>173</v>
      </c>
      <c r="B141" s="6" t="s">
        <v>443</v>
      </c>
      <c r="F141" t="s">
        <v>708</v>
      </c>
      <c r="G141" t="s">
        <v>57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P141" s="7"/>
      <c r="Q141" s="417" t="s">
        <v>763</v>
      </c>
    </row>
    <row r="142" spans="1:17" outlineLevel="2" x14ac:dyDescent="0.2">
      <c r="A142" s="6" t="s">
        <v>173</v>
      </c>
      <c r="B142" s="6" t="s">
        <v>443</v>
      </c>
      <c r="F142" t="s">
        <v>245</v>
      </c>
      <c r="G142" t="s">
        <v>57</v>
      </c>
      <c r="H142" s="37">
        <v>59310</v>
      </c>
      <c r="I142" s="37">
        <v>39561.581815472076</v>
      </c>
      <c r="J142" s="37">
        <v>13768.0639170139</v>
      </c>
      <c r="K142" s="37">
        <v>1</v>
      </c>
      <c r="L142" s="37">
        <v>1</v>
      </c>
      <c r="M142" s="37">
        <v>1</v>
      </c>
      <c r="N142" s="37">
        <v>1</v>
      </c>
      <c r="P142" s="7"/>
      <c r="Q142" s="417" t="s">
        <v>246</v>
      </c>
    </row>
    <row r="143" spans="1:17" ht="4.1500000000000004" customHeight="1" outlineLevel="2" x14ac:dyDescent="0.2">
      <c r="A143" s="6"/>
      <c r="B143" s="6"/>
      <c r="H143" s="37"/>
      <c r="I143" s="37"/>
      <c r="J143" s="37"/>
      <c r="K143" s="37"/>
      <c r="L143" s="37"/>
      <c r="M143" s="37"/>
      <c r="N143" s="37"/>
      <c r="Q143" s="386"/>
    </row>
    <row r="144" spans="1:17" outlineLevel="2" x14ac:dyDescent="0.2">
      <c r="A144" s="6" t="s">
        <v>173</v>
      </c>
      <c r="B144" s="6" t="s">
        <v>47</v>
      </c>
      <c r="C144" s="558"/>
      <c r="D144" s="558"/>
      <c r="E144" s="558"/>
      <c r="F144" s="85" t="s">
        <v>1288</v>
      </c>
      <c r="G144" s="85" t="s">
        <v>57</v>
      </c>
      <c r="H144" s="101">
        <v>59310</v>
      </c>
      <c r="I144" s="101">
        <v>39561.581815472076</v>
      </c>
      <c r="J144" s="101">
        <v>13768.0639170139</v>
      </c>
      <c r="K144" s="101">
        <v>1</v>
      </c>
      <c r="L144" s="101">
        <v>1</v>
      </c>
      <c r="M144" s="101">
        <v>1</v>
      </c>
      <c r="N144" s="101">
        <v>1</v>
      </c>
      <c r="Q144" s="386"/>
    </row>
    <row r="145" spans="1:17" outlineLevel="2" x14ac:dyDescent="0.2">
      <c r="A145" s="6"/>
      <c r="B145" s="6"/>
      <c r="Q145" s="386"/>
    </row>
    <row r="146" spans="1:17" outlineLevel="2" x14ac:dyDescent="0.2">
      <c r="A146" s="6"/>
      <c r="B146" s="6"/>
      <c r="F146" s="55" t="s">
        <v>29</v>
      </c>
      <c r="G146" s="6" t="s">
        <v>690</v>
      </c>
      <c r="Q146" s="386"/>
    </row>
    <row r="147" spans="1:17" outlineLevel="2" x14ac:dyDescent="0.2">
      <c r="A147" s="6" t="s">
        <v>173</v>
      </c>
      <c r="B147" s="6" t="s">
        <v>68</v>
      </c>
      <c r="F147" t="s">
        <v>194</v>
      </c>
      <c r="G147" s="780"/>
      <c r="H147" s="775"/>
      <c r="I147" s="775"/>
      <c r="J147" s="775"/>
      <c r="K147" s="775"/>
      <c r="L147" s="775"/>
      <c r="M147" s="775"/>
      <c r="N147" s="775"/>
      <c r="P147" s="7"/>
      <c r="Q147" s="417" t="s">
        <v>760</v>
      </c>
    </row>
    <row r="148" spans="1:17" outlineLevel="2" x14ac:dyDescent="0.2">
      <c r="A148" s="6" t="s">
        <v>173</v>
      </c>
      <c r="B148" s="6" t="s">
        <v>68</v>
      </c>
      <c r="F148" t="s">
        <v>195</v>
      </c>
      <c r="G148" s="780"/>
      <c r="H148" s="775"/>
      <c r="I148" s="775"/>
      <c r="J148" s="775"/>
      <c r="K148" s="775"/>
      <c r="L148" s="775"/>
      <c r="M148" s="775"/>
      <c r="N148" s="775"/>
      <c r="P148" s="7"/>
      <c r="Q148" s="417" t="s">
        <v>761</v>
      </c>
    </row>
    <row r="149" spans="1:17" outlineLevel="2" x14ac:dyDescent="0.2">
      <c r="A149" s="6" t="s">
        <v>173</v>
      </c>
      <c r="B149" s="6" t="s">
        <v>68</v>
      </c>
      <c r="F149" t="s">
        <v>215</v>
      </c>
      <c r="G149" s="102">
        <v>0</v>
      </c>
      <c r="H149" s="53">
        <v>0</v>
      </c>
      <c r="I149" s="53">
        <v>0</v>
      </c>
      <c r="J149" s="53">
        <v>0</v>
      </c>
      <c r="K149" s="53">
        <v>0</v>
      </c>
      <c r="L149" s="53">
        <v>0</v>
      </c>
      <c r="M149" s="53">
        <v>0</v>
      </c>
      <c r="N149" s="53">
        <v>0</v>
      </c>
      <c r="P149" s="7"/>
      <c r="Q149" s="417" t="s">
        <v>762</v>
      </c>
    </row>
    <row r="150" spans="1:17" outlineLevel="2" x14ac:dyDescent="0.2">
      <c r="A150" s="6"/>
      <c r="B150" s="6"/>
      <c r="G150" s="386"/>
      <c r="Q150" s="386"/>
    </row>
    <row r="151" spans="1:17" outlineLevel="2" x14ac:dyDescent="0.2">
      <c r="A151" s="6"/>
      <c r="B151" s="6"/>
      <c r="F151" s="55" t="s">
        <v>28</v>
      </c>
      <c r="G151" s="6" t="s">
        <v>689</v>
      </c>
      <c r="Q151" s="386"/>
    </row>
    <row r="152" spans="1:17" outlineLevel="2" x14ac:dyDescent="0.2">
      <c r="A152" s="6" t="s">
        <v>173</v>
      </c>
      <c r="B152" s="6" t="s">
        <v>68</v>
      </c>
      <c r="F152" t="s">
        <v>28</v>
      </c>
      <c r="G152" s="102">
        <v>11.664116334513572</v>
      </c>
      <c r="H152" s="53">
        <v>691798.73979999998</v>
      </c>
      <c r="I152" s="53">
        <v>461450.89267304295</v>
      </c>
      <c r="J152" s="53">
        <v>160592.29922906874</v>
      </c>
      <c r="K152" s="53">
        <v>11.664116334513572</v>
      </c>
      <c r="L152" s="53">
        <v>11.664116334513572</v>
      </c>
      <c r="M152" s="53">
        <v>11.664116334513572</v>
      </c>
      <c r="N152" s="53">
        <v>11.664116334513572</v>
      </c>
      <c r="P152" s="7"/>
      <c r="Q152" s="417" t="s">
        <v>759</v>
      </c>
    </row>
    <row r="153" spans="1:17" ht="4.1500000000000004" customHeight="1" outlineLevel="2" x14ac:dyDescent="0.2">
      <c r="A153" s="6"/>
      <c r="B153" s="6"/>
    </row>
    <row r="154" spans="1:17" outlineLevel="1" x14ac:dyDescent="0.2">
      <c r="A154" s="6"/>
      <c r="B154" s="6"/>
      <c r="F154" s="100" t="s">
        <v>1289</v>
      </c>
      <c r="G154" s="100"/>
      <c r="H154" s="103">
        <v>712347.99553439999</v>
      </c>
      <c r="I154" s="103">
        <v>475157.87399126118</v>
      </c>
      <c r="J154" s="103">
        <v>165362.54819885938</v>
      </c>
      <c r="K154" s="103">
        <v>12.010588358361153</v>
      </c>
      <c r="L154" s="103">
        <v>12.010588358361153</v>
      </c>
      <c r="M154" s="103">
        <v>12.010588358361153</v>
      </c>
      <c r="N154" s="103">
        <v>12.010588358361153</v>
      </c>
    </row>
    <row r="155" spans="1:17" outlineLevel="1" x14ac:dyDescent="0.2">
      <c r="A155" s="6"/>
      <c r="B155" s="6"/>
      <c r="E155" s="56"/>
      <c r="F155" s="56"/>
    </row>
    <row r="156" spans="1:17" outlineLevel="1" x14ac:dyDescent="0.2">
      <c r="A156" s="6"/>
      <c r="B156" s="6"/>
      <c r="E156" s="56"/>
      <c r="F156" s="56"/>
    </row>
    <row r="157" spans="1:17" outlineLevel="1" x14ac:dyDescent="0.2">
      <c r="A157" s="6"/>
      <c r="B157" s="6"/>
      <c r="F157" s="65" t="s">
        <v>171</v>
      </c>
    </row>
    <row r="158" spans="1:17" ht="4.1500000000000004" customHeight="1" outlineLevel="2" x14ac:dyDescent="0.2">
      <c r="A158" s="6"/>
      <c r="B158" s="6"/>
    </row>
    <row r="159" spans="1:17" outlineLevel="2" x14ac:dyDescent="0.2">
      <c r="A159" s="6" t="s">
        <v>171</v>
      </c>
      <c r="B159" s="6" t="s">
        <v>443</v>
      </c>
      <c r="F159" t="s">
        <v>708</v>
      </c>
      <c r="G159" t="s">
        <v>57</v>
      </c>
      <c r="H159" s="37">
        <v>0</v>
      </c>
      <c r="I159" s="37">
        <v>0</v>
      </c>
      <c r="J159" s="37">
        <v>0</v>
      </c>
      <c r="K159" s="37">
        <v>0</v>
      </c>
      <c r="L159" s="37">
        <v>0</v>
      </c>
      <c r="M159" s="37">
        <v>0</v>
      </c>
      <c r="N159" s="37">
        <v>0</v>
      </c>
      <c r="P159" s="7"/>
      <c r="Q159" s="417" t="s">
        <v>763</v>
      </c>
    </row>
    <row r="160" spans="1:17" outlineLevel="2" x14ac:dyDescent="0.2">
      <c r="A160" s="6" t="s">
        <v>171</v>
      </c>
      <c r="B160" s="6" t="s">
        <v>443</v>
      </c>
      <c r="F160" t="s">
        <v>245</v>
      </c>
      <c r="G160" t="s">
        <v>57</v>
      </c>
      <c r="H160" s="37">
        <v>20032</v>
      </c>
      <c r="I160" s="37">
        <v>20032</v>
      </c>
      <c r="J160" s="37">
        <v>20032</v>
      </c>
      <c r="K160" s="37">
        <v>20032</v>
      </c>
      <c r="L160" s="37">
        <v>20032</v>
      </c>
      <c r="M160" s="37">
        <v>20032</v>
      </c>
      <c r="N160" s="37">
        <v>20032</v>
      </c>
      <c r="P160" s="7"/>
      <c r="Q160" s="417" t="s">
        <v>246</v>
      </c>
    </row>
    <row r="161" spans="1:17" ht="4.1500000000000004" customHeight="1" outlineLevel="2" x14ac:dyDescent="0.2">
      <c r="A161" s="6"/>
      <c r="B161" s="6"/>
      <c r="H161" s="37"/>
      <c r="I161" s="37"/>
      <c r="J161" s="37"/>
      <c r="K161" s="37"/>
      <c r="L161" s="37"/>
      <c r="M161" s="37"/>
      <c r="N161" s="37"/>
      <c r="Q161" s="386"/>
    </row>
    <row r="162" spans="1:17" outlineLevel="2" x14ac:dyDescent="0.2">
      <c r="A162" s="6" t="s">
        <v>171</v>
      </c>
      <c r="B162" s="6" t="s">
        <v>47</v>
      </c>
      <c r="C162" s="558"/>
      <c r="D162" s="558"/>
      <c r="E162" s="558"/>
      <c r="F162" s="85" t="s">
        <v>1290</v>
      </c>
      <c r="G162" s="85" t="s">
        <v>57</v>
      </c>
      <c r="H162" s="101">
        <v>20032</v>
      </c>
      <c r="I162" s="101">
        <v>20032</v>
      </c>
      <c r="J162" s="101">
        <v>20032</v>
      </c>
      <c r="K162" s="101">
        <v>20032</v>
      </c>
      <c r="L162" s="101">
        <v>20032</v>
      </c>
      <c r="M162" s="101">
        <v>20032</v>
      </c>
      <c r="N162" s="101">
        <v>20032</v>
      </c>
      <c r="Q162" s="386"/>
    </row>
    <row r="163" spans="1:17" outlineLevel="2" x14ac:dyDescent="0.2">
      <c r="A163" s="6"/>
      <c r="B163" s="6"/>
      <c r="Q163" s="386"/>
    </row>
    <row r="164" spans="1:17" outlineLevel="2" x14ac:dyDescent="0.2">
      <c r="A164" s="6"/>
      <c r="B164" s="6"/>
      <c r="F164" s="55" t="s">
        <v>29</v>
      </c>
      <c r="G164" s="6" t="s">
        <v>690</v>
      </c>
      <c r="Q164" s="386"/>
    </row>
    <row r="165" spans="1:17" outlineLevel="2" x14ac:dyDescent="0.2">
      <c r="A165" s="6" t="s">
        <v>171</v>
      </c>
      <c r="B165" s="6" t="s">
        <v>68</v>
      </c>
      <c r="F165" t="s">
        <v>194</v>
      </c>
      <c r="G165" s="780"/>
      <c r="H165" s="775"/>
      <c r="I165" s="775"/>
      <c r="J165" s="775"/>
      <c r="K165" s="775"/>
      <c r="L165" s="775"/>
      <c r="M165" s="775"/>
      <c r="N165" s="775"/>
      <c r="P165" s="7"/>
      <c r="Q165" s="417" t="s">
        <v>760</v>
      </c>
    </row>
    <row r="166" spans="1:17" outlineLevel="2" x14ac:dyDescent="0.2">
      <c r="A166" s="6" t="s">
        <v>171</v>
      </c>
      <c r="B166" s="6" t="s">
        <v>68</v>
      </c>
      <c r="F166" t="s">
        <v>195</v>
      </c>
      <c r="G166" s="780"/>
      <c r="H166" s="775"/>
      <c r="I166" s="775"/>
      <c r="J166" s="775"/>
      <c r="K166" s="775"/>
      <c r="L166" s="775"/>
      <c r="M166" s="775"/>
      <c r="N166" s="775"/>
      <c r="P166" s="7"/>
      <c r="Q166" s="417" t="s">
        <v>761</v>
      </c>
    </row>
    <row r="167" spans="1:17" outlineLevel="2" x14ac:dyDescent="0.2">
      <c r="A167" s="6" t="s">
        <v>171</v>
      </c>
      <c r="B167" s="6" t="s">
        <v>68</v>
      </c>
      <c r="F167" t="s">
        <v>215</v>
      </c>
      <c r="G167" s="102">
        <v>0</v>
      </c>
      <c r="H167" s="53">
        <v>0</v>
      </c>
      <c r="I167" s="53">
        <v>0</v>
      </c>
      <c r="J167" s="53">
        <v>0</v>
      </c>
      <c r="K167" s="53">
        <v>0</v>
      </c>
      <c r="L167" s="53">
        <v>0</v>
      </c>
      <c r="M167" s="53">
        <v>0</v>
      </c>
      <c r="N167" s="53">
        <v>0</v>
      </c>
      <c r="P167" s="7"/>
      <c r="Q167" s="417" t="s">
        <v>762</v>
      </c>
    </row>
    <row r="168" spans="1:17" outlineLevel="2" x14ac:dyDescent="0.2">
      <c r="A168" s="6"/>
      <c r="B168" s="6"/>
      <c r="G168" s="386"/>
      <c r="Q168" s="386"/>
    </row>
    <row r="169" spans="1:17" outlineLevel="2" x14ac:dyDescent="0.2">
      <c r="A169" s="6"/>
      <c r="B169" s="6"/>
      <c r="F169" s="55" t="s">
        <v>28</v>
      </c>
      <c r="G169" s="6" t="s">
        <v>689</v>
      </c>
      <c r="Q169" s="386"/>
    </row>
    <row r="170" spans="1:17" outlineLevel="2" x14ac:dyDescent="0.2">
      <c r="A170" s="6" t="s">
        <v>171</v>
      </c>
      <c r="B170" s="6" t="s">
        <v>68</v>
      </c>
      <c r="F170" t="s">
        <v>28</v>
      </c>
      <c r="G170" s="102">
        <v>18.018384954073483</v>
      </c>
      <c r="H170" s="53">
        <v>360944.28740000003</v>
      </c>
      <c r="I170" s="53">
        <v>360944.28740000003</v>
      </c>
      <c r="J170" s="53">
        <v>360944.28740000003</v>
      </c>
      <c r="K170" s="53">
        <v>360944.28740000003</v>
      </c>
      <c r="L170" s="53">
        <v>360944.28740000003</v>
      </c>
      <c r="M170" s="53">
        <v>360944.28740000003</v>
      </c>
      <c r="N170" s="53">
        <v>360944.28740000003</v>
      </c>
      <c r="P170" s="7"/>
      <c r="Q170" s="417" t="s">
        <v>759</v>
      </c>
    </row>
    <row r="171" spans="1:17" ht="4.1500000000000004" customHeight="1" outlineLevel="2" x14ac:dyDescent="0.2">
      <c r="A171" s="6"/>
      <c r="B171" s="6"/>
    </row>
    <row r="172" spans="1:17" outlineLevel="1" x14ac:dyDescent="0.2">
      <c r="A172" s="6"/>
      <c r="B172" s="6"/>
      <c r="F172" s="100" t="s">
        <v>1291</v>
      </c>
      <c r="G172" s="100"/>
      <c r="H172" s="103">
        <v>388096.06856096</v>
      </c>
      <c r="I172" s="103">
        <v>388096.06856096</v>
      </c>
      <c r="J172" s="103">
        <v>388096.06856096</v>
      </c>
      <c r="K172" s="103">
        <v>388096.06856096</v>
      </c>
      <c r="L172" s="103">
        <v>388096.06856096</v>
      </c>
      <c r="M172" s="103">
        <v>388096.06856096</v>
      </c>
      <c r="N172" s="103">
        <v>388096.06856096</v>
      </c>
    </row>
    <row r="173" spans="1:17" s="58" customFormat="1" outlineLevel="1" x14ac:dyDescent="0.2">
      <c r="A173" s="6"/>
      <c r="B173" s="6"/>
      <c r="E173" s="56"/>
      <c r="F173" s="56"/>
    </row>
    <row r="174" spans="1:17" s="58" customFormat="1" outlineLevel="1" x14ac:dyDescent="0.2">
      <c r="A174" s="6"/>
      <c r="B174" s="6"/>
      <c r="E174" s="56"/>
      <c r="F174" s="56"/>
    </row>
    <row r="175" spans="1:17" s="58" customFormat="1" outlineLevel="1" x14ac:dyDescent="0.2">
      <c r="A175" s="6"/>
      <c r="B175" s="6"/>
      <c r="F175" s="65" t="s">
        <v>487</v>
      </c>
    </row>
    <row r="176" spans="1:17" s="58" customFormat="1" ht="4.1500000000000004" customHeight="1" outlineLevel="2" x14ac:dyDescent="0.2">
      <c r="A176" s="6"/>
      <c r="B176" s="6"/>
    </row>
    <row r="177" spans="1:17" s="58" customFormat="1" outlineLevel="2" x14ac:dyDescent="0.2">
      <c r="A177" s="6" t="s">
        <v>487</v>
      </c>
      <c r="B177" s="6" t="s">
        <v>443</v>
      </c>
      <c r="F177" s="58" t="s">
        <v>708</v>
      </c>
      <c r="G177" s="58" t="s">
        <v>57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0</v>
      </c>
      <c r="P177" s="7"/>
      <c r="Q177" s="417" t="s">
        <v>763</v>
      </c>
    </row>
    <row r="178" spans="1:17" s="58" customFormat="1" outlineLevel="2" x14ac:dyDescent="0.2">
      <c r="A178" s="6" t="s">
        <v>487</v>
      </c>
      <c r="B178" s="6" t="s">
        <v>443</v>
      </c>
      <c r="F178" s="58" t="s">
        <v>245</v>
      </c>
      <c r="G178" s="58" t="s">
        <v>57</v>
      </c>
      <c r="H178" s="37">
        <v>1335</v>
      </c>
      <c r="I178" s="37">
        <v>902.65042528503136</v>
      </c>
      <c r="J178" s="37">
        <v>330.12746982109564</v>
      </c>
      <c r="K178" s="37">
        <v>1</v>
      </c>
      <c r="L178" s="37">
        <v>1</v>
      </c>
      <c r="M178" s="37">
        <v>1</v>
      </c>
      <c r="N178" s="37">
        <v>1</v>
      </c>
      <c r="P178" s="7"/>
      <c r="Q178" s="417" t="s">
        <v>246</v>
      </c>
    </row>
    <row r="179" spans="1:17" s="58" customFormat="1" ht="4.1500000000000004" customHeight="1" outlineLevel="2" x14ac:dyDescent="0.2">
      <c r="A179" s="6"/>
      <c r="B179" s="6"/>
      <c r="H179" s="37"/>
      <c r="I179" s="37"/>
      <c r="J179" s="37"/>
      <c r="K179" s="37"/>
      <c r="L179" s="37"/>
      <c r="M179" s="37"/>
      <c r="N179" s="37"/>
      <c r="Q179" s="386"/>
    </row>
    <row r="180" spans="1:17" s="58" customFormat="1" outlineLevel="2" x14ac:dyDescent="0.2">
      <c r="A180" s="6" t="s">
        <v>487</v>
      </c>
      <c r="B180" s="6" t="s">
        <v>47</v>
      </c>
      <c r="C180" s="558"/>
      <c r="D180" s="558"/>
      <c r="E180" s="558"/>
      <c r="F180" s="85" t="s">
        <v>1292</v>
      </c>
      <c r="G180" s="85" t="s">
        <v>57</v>
      </c>
      <c r="H180" s="101">
        <v>1335</v>
      </c>
      <c r="I180" s="101">
        <v>902.65042528503136</v>
      </c>
      <c r="J180" s="101">
        <v>330.12746982109564</v>
      </c>
      <c r="K180" s="101">
        <v>1</v>
      </c>
      <c r="L180" s="101">
        <v>1</v>
      </c>
      <c r="M180" s="101">
        <v>1</v>
      </c>
      <c r="N180" s="101">
        <v>1</v>
      </c>
      <c r="Q180" s="386"/>
    </row>
    <row r="181" spans="1:17" s="58" customFormat="1" outlineLevel="2" x14ac:dyDescent="0.2">
      <c r="A181" s="6"/>
      <c r="B181" s="6"/>
      <c r="Q181" s="386"/>
    </row>
    <row r="182" spans="1:17" s="58" customFormat="1" outlineLevel="2" x14ac:dyDescent="0.2">
      <c r="A182" s="6"/>
      <c r="B182" s="6"/>
      <c r="F182" s="55" t="s">
        <v>29</v>
      </c>
      <c r="G182" s="6" t="s">
        <v>690</v>
      </c>
      <c r="Q182" s="386"/>
    </row>
    <row r="183" spans="1:17" s="58" customFormat="1" outlineLevel="2" x14ac:dyDescent="0.2">
      <c r="A183" s="6" t="s">
        <v>487</v>
      </c>
      <c r="B183" s="6" t="s">
        <v>68</v>
      </c>
      <c r="F183" s="58" t="s">
        <v>194</v>
      </c>
      <c r="G183" s="780"/>
      <c r="H183" s="775"/>
      <c r="I183" s="775"/>
      <c r="J183" s="775"/>
      <c r="K183" s="775"/>
      <c r="L183" s="775"/>
      <c r="M183" s="775"/>
      <c r="N183" s="775"/>
      <c r="P183" s="7"/>
      <c r="Q183" s="417" t="s">
        <v>760</v>
      </c>
    </row>
    <row r="184" spans="1:17" s="58" customFormat="1" outlineLevel="2" x14ac:dyDescent="0.2">
      <c r="A184" s="6" t="s">
        <v>487</v>
      </c>
      <c r="B184" s="6" t="s">
        <v>68</v>
      </c>
      <c r="F184" s="58" t="s">
        <v>195</v>
      </c>
      <c r="G184" s="780"/>
      <c r="H184" s="775"/>
      <c r="I184" s="775"/>
      <c r="J184" s="775"/>
      <c r="K184" s="775"/>
      <c r="L184" s="775"/>
      <c r="M184" s="775"/>
      <c r="N184" s="775"/>
      <c r="P184" s="7"/>
      <c r="Q184" s="417" t="s">
        <v>761</v>
      </c>
    </row>
    <row r="185" spans="1:17" s="58" customFormat="1" outlineLevel="2" x14ac:dyDescent="0.2">
      <c r="A185" s="6" t="s">
        <v>487</v>
      </c>
      <c r="B185" s="6" t="s">
        <v>68</v>
      </c>
      <c r="F185" s="58" t="s">
        <v>215</v>
      </c>
      <c r="G185" s="102">
        <v>0</v>
      </c>
      <c r="H185" s="53">
        <v>0</v>
      </c>
      <c r="I185" s="53">
        <v>0</v>
      </c>
      <c r="J185" s="53">
        <v>0</v>
      </c>
      <c r="K185" s="53">
        <v>0</v>
      </c>
      <c r="L185" s="53">
        <v>0</v>
      </c>
      <c r="M185" s="53">
        <v>0</v>
      </c>
      <c r="N185" s="53">
        <v>0</v>
      </c>
      <c r="P185" s="7"/>
      <c r="Q185" s="417" t="s">
        <v>762</v>
      </c>
    </row>
    <row r="186" spans="1:17" s="58" customFormat="1" outlineLevel="2" x14ac:dyDescent="0.2">
      <c r="A186" s="6"/>
      <c r="B186" s="6"/>
      <c r="G186" s="386"/>
      <c r="Q186" s="386"/>
    </row>
    <row r="187" spans="1:17" s="58" customFormat="1" outlineLevel="2" x14ac:dyDescent="0.2">
      <c r="A187" s="6"/>
      <c r="B187" s="6"/>
      <c r="F187" s="55" t="s">
        <v>28</v>
      </c>
      <c r="G187" s="6" t="s">
        <v>689</v>
      </c>
      <c r="Q187" s="386"/>
    </row>
    <row r="188" spans="1:17" s="58" customFormat="1" outlineLevel="2" x14ac:dyDescent="0.2">
      <c r="A188" s="6" t="s">
        <v>487</v>
      </c>
      <c r="B188" s="6" t="s">
        <v>68</v>
      </c>
      <c r="F188" s="58" t="s">
        <v>28</v>
      </c>
      <c r="G188" s="102">
        <v>17.330142172284642</v>
      </c>
      <c r="H188" s="53">
        <v>23135.739799999996</v>
      </c>
      <c r="I188" s="53">
        <v>15643.06020206279</v>
      </c>
      <c r="J188" s="53">
        <v>5721.155986976195</v>
      </c>
      <c r="K188" s="53">
        <v>17.330142172284642</v>
      </c>
      <c r="L188" s="53">
        <v>17.330142172284642</v>
      </c>
      <c r="M188" s="53">
        <v>17.330142172284642</v>
      </c>
      <c r="N188" s="53">
        <v>17.330142172284642</v>
      </c>
      <c r="P188" s="7"/>
      <c r="Q188" s="417" t="s">
        <v>759</v>
      </c>
    </row>
    <row r="189" spans="1:17" s="58" customFormat="1" ht="4.1500000000000004" customHeight="1" outlineLevel="2" x14ac:dyDescent="0.2">
      <c r="A189" s="6"/>
      <c r="B189" s="6"/>
    </row>
    <row r="190" spans="1:17" s="58" customFormat="1" outlineLevel="1" x14ac:dyDescent="0.2">
      <c r="A190" s="6"/>
      <c r="B190" s="6"/>
      <c r="F190" s="100" t="s">
        <v>1293</v>
      </c>
      <c r="G190" s="100"/>
      <c r="H190" s="103">
        <v>24984.677504959996</v>
      </c>
      <c r="I190" s="103">
        <v>16893.20582431573</v>
      </c>
      <c r="J190" s="103">
        <v>6178.3733101187181</v>
      </c>
      <c r="K190" s="103">
        <v>18.715114235925093</v>
      </c>
      <c r="L190" s="103">
        <v>18.715114235925093</v>
      </c>
      <c r="M190" s="103">
        <v>18.715114235925093</v>
      </c>
      <c r="N190" s="103">
        <v>18.715114235925093</v>
      </c>
    </row>
    <row r="191" spans="1:17" s="58" customFormat="1" outlineLevel="1" x14ac:dyDescent="0.2">
      <c r="A191" s="6"/>
      <c r="B191" s="6"/>
      <c r="E191" s="56"/>
      <c r="F191" s="56"/>
    </row>
    <row r="192" spans="1:17" s="58" customFormat="1" outlineLevel="1" x14ac:dyDescent="0.2">
      <c r="A192" s="6"/>
      <c r="B192" s="6"/>
      <c r="E192" s="56"/>
      <c r="F192" s="56"/>
    </row>
    <row r="193" spans="1:17" s="58" customFormat="1" outlineLevel="1" x14ac:dyDescent="0.2">
      <c r="A193" s="6"/>
      <c r="B193" s="6"/>
      <c r="F193" s="65" t="s">
        <v>488</v>
      </c>
    </row>
    <row r="194" spans="1:17" s="58" customFormat="1" ht="4.1500000000000004" customHeight="1" outlineLevel="2" x14ac:dyDescent="0.2">
      <c r="A194" s="6"/>
      <c r="B194" s="6"/>
    </row>
    <row r="195" spans="1:17" s="58" customFormat="1" outlineLevel="2" x14ac:dyDescent="0.2">
      <c r="A195" s="6" t="s">
        <v>488</v>
      </c>
      <c r="B195" s="6" t="s">
        <v>443</v>
      </c>
      <c r="F195" s="58" t="s">
        <v>708</v>
      </c>
      <c r="G195" s="58" t="s">
        <v>57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P195" s="7"/>
      <c r="Q195" s="417" t="s">
        <v>763</v>
      </c>
    </row>
    <row r="196" spans="1:17" s="58" customFormat="1" outlineLevel="2" x14ac:dyDescent="0.2">
      <c r="A196" s="6" t="s">
        <v>488</v>
      </c>
      <c r="B196" s="6" t="s">
        <v>443</v>
      </c>
      <c r="F196" s="58" t="s">
        <v>245</v>
      </c>
      <c r="G196" s="58" t="s">
        <v>57</v>
      </c>
      <c r="H196" s="37">
        <v>347</v>
      </c>
      <c r="I196" s="37">
        <v>236.18104687183964</v>
      </c>
      <c r="J196" s="37">
        <v>88.422442700959152</v>
      </c>
      <c r="K196" s="37">
        <v>1</v>
      </c>
      <c r="L196" s="37">
        <v>1</v>
      </c>
      <c r="M196" s="37">
        <v>1</v>
      </c>
      <c r="N196" s="37">
        <v>1</v>
      </c>
      <c r="P196" s="7"/>
      <c r="Q196" s="417" t="s">
        <v>246</v>
      </c>
    </row>
    <row r="197" spans="1:17" s="58" customFormat="1" ht="4.1500000000000004" customHeight="1" outlineLevel="2" x14ac:dyDescent="0.2">
      <c r="A197" s="6"/>
      <c r="B197" s="6"/>
      <c r="H197" s="37"/>
      <c r="I197" s="37"/>
      <c r="J197" s="37"/>
      <c r="K197" s="37"/>
      <c r="L197" s="37"/>
      <c r="M197" s="37"/>
      <c r="N197" s="37"/>
      <c r="Q197" s="386"/>
    </row>
    <row r="198" spans="1:17" s="58" customFormat="1" outlineLevel="2" x14ac:dyDescent="0.2">
      <c r="A198" s="6" t="s">
        <v>488</v>
      </c>
      <c r="B198" s="6" t="s">
        <v>47</v>
      </c>
      <c r="C198" s="558"/>
      <c r="D198" s="558"/>
      <c r="E198" s="558"/>
      <c r="F198" s="85" t="s">
        <v>1294</v>
      </c>
      <c r="G198" s="85" t="s">
        <v>57</v>
      </c>
      <c r="H198" s="101">
        <v>347</v>
      </c>
      <c r="I198" s="101">
        <v>236.18104687183964</v>
      </c>
      <c r="J198" s="101">
        <v>88.422442700959152</v>
      </c>
      <c r="K198" s="101">
        <v>1</v>
      </c>
      <c r="L198" s="101">
        <v>1</v>
      </c>
      <c r="M198" s="101">
        <v>1</v>
      </c>
      <c r="N198" s="101">
        <v>1</v>
      </c>
      <c r="Q198" s="386"/>
    </row>
    <row r="199" spans="1:17" s="58" customFormat="1" outlineLevel="2" x14ac:dyDescent="0.2">
      <c r="A199" s="6"/>
      <c r="B199" s="6"/>
      <c r="Q199" s="386"/>
    </row>
    <row r="200" spans="1:17" s="58" customFormat="1" outlineLevel="2" x14ac:dyDescent="0.2">
      <c r="A200" s="6"/>
      <c r="B200" s="6"/>
      <c r="F200" s="55" t="s">
        <v>29</v>
      </c>
      <c r="G200" s="6" t="s">
        <v>690</v>
      </c>
      <c r="Q200" s="386"/>
    </row>
    <row r="201" spans="1:17" s="58" customFormat="1" outlineLevel="2" x14ac:dyDescent="0.2">
      <c r="A201" s="6" t="s">
        <v>488</v>
      </c>
      <c r="B201" s="6" t="s">
        <v>68</v>
      </c>
      <c r="F201" s="58" t="s">
        <v>194</v>
      </c>
      <c r="G201" s="780"/>
      <c r="H201" s="775"/>
      <c r="I201" s="775"/>
      <c r="J201" s="775"/>
      <c r="K201" s="775"/>
      <c r="L201" s="775"/>
      <c r="M201" s="775"/>
      <c r="N201" s="775"/>
      <c r="P201" s="7"/>
      <c r="Q201" s="417" t="s">
        <v>760</v>
      </c>
    </row>
    <row r="202" spans="1:17" s="58" customFormat="1" outlineLevel="2" x14ac:dyDescent="0.2">
      <c r="A202" s="6" t="s">
        <v>488</v>
      </c>
      <c r="B202" s="6" t="s">
        <v>68</v>
      </c>
      <c r="F202" s="58" t="s">
        <v>195</v>
      </c>
      <c r="G202" s="780"/>
      <c r="H202" s="775"/>
      <c r="I202" s="775"/>
      <c r="J202" s="775"/>
      <c r="K202" s="775"/>
      <c r="L202" s="775"/>
      <c r="M202" s="775"/>
      <c r="N202" s="775"/>
      <c r="P202" s="7"/>
      <c r="Q202" s="417" t="s">
        <v>761</v>
      </c>
    </row>
    <row r="203" spans="1:17" s="58" customFormat="1" outlineLevel="2" x14ac:dyDescent="0.2">
      <c r="A203" s="6" t="s">
        <v>488</v>
      </c>
      <c r="B203" s="6" t="s">
        <v>68</v>
      </c>
      <c r="F203" s="58" t="s">
        <v>215</v>
      </c>
      <c r="G203" s="102">
        <v>0</v>
      </c>
      <c r="H203" s="53">
        <v>0</v>
      </c>
      <c r="I203" s="53">
        <v>0</v>
      </c>
      <c r="J203" s="53">
        <v>0</v>
      </c>
      <c r="K203" s="53">
        <v>0</v>
      </c>
      <c r="L203" s="53">
        <v>0</v>
      </c>
      <c r="M203" s="53">
        <v>0</v>
      </c>
      <c r="N203" s="53">
        <v>0</v>
      </c>
      <c r="P203" s="7"/>
      <c r="Q203" s="417" t="s">
        <v>762</v>
      </c>
    </row>
    <row r="204" spans="1:17" s="58" customFormat="1" outlineLevel="2" x14ac:dyDescent="0.2">
      <c r="A204" s="6"/>
      <c r="B204" s="6"/>
      <c r="G204" s="386"/>
      <c r="Q204" s="386"/>
    </row>
    <row r="205" spans="1:17" s="58" customFormat="1" outlineLevel="2" x14ac:dyDescent="0.2">
      <c r="A205" s="6"/>
      <c r="B205" s="6"/>
      <c r="F205" s="55" t="s">
        <v>28</v>
      </c>
      <c r="G205" s="6" t="s">
        <v>689</v>
      </c>
      <c r="Q205" s="386"/>
    </row>
    <row r="206" spans="1:17" s="58" customFormat="1" outlineLevel="2" x14ac:dyDescent="0.2">
      <c r="A206" s="6" t="s">
        <v>488</v>
      </c>
      <c r="B206" s="6" t="s">
        <v>68</v>
      </c>
      <c r="F206" s="58" t="s">
        <v>28</v>
      </c>
      <c r="G206" s="102">
        <v>22.738395965417865</v>
      </c>
      <c r="H206" s="53">
        <v>7890.2233999999989</v>
      </c>
      <c r="I206" s="53">
        <v>5370.3781632988066</v>
      </c>
      <c r="J206" s="53">
        <v>2010.5845143638819</v>
      </c>
      <c r="K206" s="53">
        <v>22.738395965417865</v>
      </c>
      <c r="L206" s="53">
        <v>22.738395965417865</v>
      </c>
      <c r="M206" s="53">
        <v>22.738395965417865</v>
      </c>
      <c r="N206" s="53">
        <v>22.738395965417865</v>
      </c>
      <c r="P206" s="7"/>
      <c r="Q206" s="417" t="s">
        <v>759</v>
      </c>
    </row>
    <row r="207" spans="1:17" s="58" customFormat="1" ht="4.1500000000000004" customHeight="1" outlineLevel="2" x14ac:dyDescent="0.2">
      <c r="A207" s="6"/>
      <c r="B207" s="6"/>
    </row>
    <row r="208" spans="1:17" s="58" customFormat="1" outlineLevel="1" x14ac:dyDescent="0.2">
      <c r="A208" s="6"/>
      <c r="B208" s="6"/>
      <c r="F208" s="100" t="s">
        <v>1295</v>
      </c>
      <c r="G208" s="100"/>
      <c r="H208" s="103">
        <v>8639.4024809599996</v>
      </c>
      <c r="I208" s="103">
        <v>5880.2971824216183</v>
      </c>
      <c r="J208" s="103">
        <v>2201.490117703775</v>
      </c>
      <c r="K208" s="103">
        <v>24.897413489798268</v>
      </c>
      <c r="L208" s="103">
        <v>24.897413489798268</v>
      </c>
      <c r="M208" s="103">
        <v>24.897413489798268</v>
      </c>
      <c r="N208" s="103">
        <v>24.897413489798268</v>
      </c>
    </row>
    <row r="209" spans="1:17" outlineLevel="1" x14ac:dyDescent="0.2">
      <c r="A209" s="6"/>
      <c r="B209" s="6"/>
      <c r="E209" s="56"/>
      <c r="F209" s="56"/>
    </row>
    <row r="210" spans="1:17" outlineLevel="1" x14ac:dyDescent="0.2">
      <c r="A210" s="6"/>
      <c r="B210" s="6"/>
      <c r="E210" s="56"/>
      <c r="F210" s="56"/>
    </row>
    <row r="211" spans="1:17" outlineLevel="1" x14ac:dyDescent="0.2">
      <c r="A211" s="6"/>
      <c r="B211" s="6"/>
      <c r="F211" s="65" t="s">
        <v>179</v>
      </c>
    </row>
    <row r="212" spans="1:17" ht="4.1500000000000004" customHeight="1" outlineLevel="2" x14ac:dyDescent="0.2">
      <c r="A212" s="6"/>
      <c r="B212" s="6"/>
    </row>
    <row r="213" spans="1:17" outlineLevel="2" x14ac:dyDescent="0.2">
      <c r="A213" s="6" t="s">
        <v>179</v>
      </c>
      <c r="B213" s="6" t="s">
        <v>443</v>
      </c>
      <c r="F213" t="s">
        <v>708</v>
      </c>
      <c r="G213" t="s">
        <v>57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0</v>
      </c>
      <c r="P213" s="7"/>
      <c r="Q213" s="417" t="s">
        <v>763</v>
      </c>
    </row>
    <row r="214" spans="1:17" outlineLevel="2" x14ac:dyDescent="0.2">
      <c r="A214" s="6" t="s">
        <v>179</v>
      </c>
      <c r="B214" s="6" t="s">
        <v>443</v>
      </c>
      <c r="F214" t="s">
        <v>245</v>
      </c>
      <c r="G214" t="s">
        <v>57</v>
      </c>
      <c r="H214" s="37">
        <v>8524</v>
      </c>
      <c r="I214" s="37">
        <v>5697.7499813704926</v>
      </c>
      <c r="J214" s="37">
        <v>1998.5659273512813</v>
      </c>
      <c r="K214" s="37">
        <v>1</v>
      </c>
      <c r="L214" s="37">
        <v>1</v>
      </c>
      <c r="M214" s="37">
        <v>1</v>
      </c>
      <c r="N214" s="37">
        <v>1</v>
      </c>
      <c r="P214" s="7"/>
      <c r="Q214" s="417" t="s">
        <v>246</v>
      </c>
    </row>
    <row r="215" spans="1:17" ht="4.1500000000000004" customHeight="1" outlineLevel="2" x14ac:dyDescent="0.2">
      <c r="A215" s="6"/>
      <c r="B215" s="6"/>
      <c r="H215" s="37"/>
      <c r="I215" s="37"/>
      <c r="J215" s="37"/>
      <c r="K215" s="37"/>
      <c r="L215" s="37"/>
      <c r="M215" s="37"/>
      <c r="N215" s="37"/>
      <c r="Q215" s="386"/>
    </row>
    <row r="216" spans="1:17" outlineLevel="2" x14ac:dyDescent="0.2">
      <c r="A216" s="6" t="s">
        <v>179</v>
      </c>
      <c r="B216" s="6" t="s">
        <v>47</v>
      </c>
      <c r="C216" s="558"/>
      <c r="D216" s="558"/>
      <c r="E216" s="558"/>
      <c r="F216" s="85" t="s">
        <v>1296</v>
      </c>
      <c r="G216" s="85" t="s">
        <v>57</v>
      </c>
      <c r="H216" s="101">
        <v>8524</v>
      </c>
      <c r="I216" s="101">
        <v>5697.7499813704926</v>
      </c>
      <c r="J216" s="101">
        <v>1998.5659273512813</v>
      </c>
      <c r="K216" s="101">
        <v>1</v>
      </c>
      <c r="L216" s="101">
        <v>1</v>
      </c>
      <c r="M216" s="101">
        <v>1</v>
      </c>
      <c r="N216" s="101">
        <v>1</v>
      </c>
      <c r="Q216" s="386"/>
    </row>
    <row r="217" spans="1:17" outlineLevel="2" x14ac:dyDescent="0.2">
      <c r="A217" s="6"/>
      <c r="B217" s="6"/>
      <c r="Q217" s="386"/>
    </row>
    <row r="218" spans="1:17" outlineLevel="2" x14ac:dyDescent="0.2">
      <c r="A218" s="6"/>
      <c r="B218" s="6"/>
      <c r="F218" s="55" t="s">
        <v>29</v>
      </c>
      <c r="G218" s="6" t="s">
        <v>690</v>
      </c>
      <c r="Q218" s="386"/>
    </row>
    <row r="219" spans="1:17" outlineLevel="2" x14ac:dyDescent="0.2">
      <c r="A219" s="6" t="s">
        <v>179</v>
      </c>
      <c r="B219" s="6" t="s">
        <v>68</v>
      </c>
      <c r="F219" t="s">
        <v>194</v>
      </c>
      <c r="G219" s="780"/>
      <c r="H219" s="775"/>
      <c r="I219" s="775"/>
      <c r="J219" s="775"/>
      <c r="K219" s="775"/>
      <c r="L219" s="775"/>
      <c r="M219" s="775"/>
      <c r="N219" s="775"/>
      <c r="P219" s="7"/>
      <c r="Q219" s="417" t="s">
        <v>760</v>
      </c>
    </row>
    <row r="220" spans="1:17" outlineLevel="2" x14ac:dyDescent="0.2">
      <c r="A220" s="6" t="s">
        <v>179</v>
      </c>
      <c r="B220" s="6" t="s">
        <v>68</v>
      </c>
      <c r="F220" t="s">
        <v>195</v>
      </c>
      <c r="G220" s="780"/>
      <c r="H220" s="775"/>
      <c r="I220" s="775"/>
      <c r="J220" s="775"/>
      <c r="K220" s="775"/>
      <c r="L220" s="775"/>
      <c r="M220" s="775"/>
      <c r="N220" s="775"/>
      <c r="P220" s="7"/>
      <c r="Q220" s="417" t="s">
        <v>761</v>
      </c>
    </row>
    <row r="221" spans="1:17" outlineLevel="2" x14ac:dyDescent="0.2">
      <c r="A221" s="6" t="s">
        <v>179</v>
      </c>
      <c r="B221" s="6" t="s">
        <v>68</v>
      </c>
      <c r="F221" t="s">
        <v>215</v>
      </c>
      <c r="G221" s="102">
        <v>0</v>
      </c>
      <c r="H221" s="53">
        <v>0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3">
        <v>0</v>
      </c>
      <c r="P221" s="7"/>
      <c r="Q221" s="417" t="s">
        <v>762</v>
      </c>
    </row>
    <row r="222" spans="1:17" outlineLevel="2" x14ac:dyDescent="0.2">
      <c r="A222" s="6"/>
      <c r="B222" s="6"/>
      <c r="G222" s="386"/>
      <c r="Q222" s="386"/>
    </row>
    <row r="223" spans="1:17" outlineLevel="2" x14ac:dyDescent="0.2">
      <c r="A223" s="6"/>
      <c r="B223" s="6"/>
      <c r="F223" s="55" t="s">
        <v>28</v>
      </c>
      <c r="G223" s="6" t="s">
        <v>689</v>
      </c>
      <c r="Q223" s="386"/>
    </row>
    <row r="224" spans="1:17" outlineLevel="2" x14ac:dyDescent="0.2">
      <c r="A224" s="6" t="s">
        <v>179</v>
      </c>
      <c r="B224" s="6" t="s">
        <v>68</v>
      </c>
      <c r="F224" t="s">
        <v>28</v>
      </c>
      <c r="G224" s="102">
        <v>27.910640004692631</v>
      </c>
      <c r="H224" s="53">
        <v>237910.29539999997</v>
      </c>
      <c r="I224" s="53">
        <v>159027.84856677597</v>
      </c>
      <c r="J224" s="53">
        <v>55781.254123946295</v>
      </c>
      <c r="K224" s="53">
        <v>27.910640004692631</v>
      </c>
      <c r="L224" s="53">
        <v>27.910640004692631</v>
      </c>
      <c r="M224" s="53">
        <v>27.910640004692631</v>
      </c>
      <c r="N224" s="53">
        <v>27.910640004692631</v>
      </c>
      <c r="P224" s="7"/>
      <c r="Q224" s="417" t="s">
        <v>759</v>
      </c>
    </row>
    <row r="225" spans="1:17" ht="4.1500000000000004" customHeight="1" outlineLevel="2" x14ac:dyDescent="0.2">
      <c r="A225" s="6"/>
      <c r="B225" s="6"/>
    </row>
    <row r="226" spans="1:17" outlineLevel="1" x14ac:dyDescent="0.2">
      <c r="A226" s="6"/>
      <c r="B226" s="6"/>
      <c r="F226" s="100" t="s">
        <v>1297</v>
      </c>
      <c r="G226" s="100"/>
      <c r="H226" s="103">
        <v>254428.99174479998</v>
      </c>
      <c r="I226" s="103">
        <v>170069.54281722751</v>
      </c>
      <c r="J226" s="103">
        <v>59654.283649870675</v>
      </c>
      <c r="K226" s="103">
        <v>29.848544315438758</v>
      </c>
      <c r="L226" s="103">
        <v>29.848544315438758</v>
      </c>
      <c r="M226" s="103">
        <v>29.848544315438758</v>
      </c>
      <c r="N226" s="103">
        <v>29.848544315438758</v>
      </c>
    </row>
    <row r="227" spans="1:17" s="58" customFormat="1" outlineLevel="1" x14ac:dyDescent="0.2">
      <c r="A227" s="6"/>
      <c r="B227" s="6"/>
      <c r="E227" s="56"/>
      <c r="F227" s="56"/>
    </row>
    <row r="228" spans="1:17" s="58" customFormat="1" outlineLevel="1" x14ac:dyDescent="0.2">
      <c r="A228" s="6"/>
      <c r="B228" s="6"/>
      <c r="E228" s="56"/>
      <c r="F228" s="56"/>
    </row>
    <row r="229" spans="1:17" s="58" customFormat="1" outlineLevel="1" x14ac:dyDescent="0.2">
      <c r="A229" s="6"/>
      <c r="B229" s="6"/>
      <c r="F229" s="65" t="s">
        <v>489</v>
      </c>
    </row>
    <row r="230" spans="1:17" s="58" customFormat="1" ht="4.1500000000000004" customHeight="1" outlineLevel="2" x14ac:dyDescent="0.2">
      <c r="A230" s="6"/>
      <c r="B230" s="6"/>
    </row>
    <row r="231" spans="1:17" s="58" customFormat="1" outlineLevel="2" x14ac:dyDescent="0.2">
      <c r="A231" s="6" t="s">
        <v>489</v>
      </c>
      <c r="B231" s="6" t="s">
        <v>443</v>
      </c>
      <c r="F231" s="58" t="s">
        <v>708</v>
      </c>
      <c r="G231" s="58" t="s">
        <v>57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P231" s="7"/>
      <c r="Q231" s="417" t="s">
        <v>763</v>
      </c>
    </row>
    <row r="232" spans="1:17" s="58" customFormat="1" outlineLevel="2" x14ac:dyDescent="0.2">
      <c r="A232" s="6" t="s">
        <v>489</v>
      </c>
      <c r="B232" s="6" t="s">
        <v>443</v>
      </c>
      <c r="F232" s="58" t="s">
        <v>245</v>
      </c>
      <c r="G232" s="58" t="s">
        <v>57</v>
      </c>
      <c r="H232" s="37">
        <v>265</v>
      </c>
      <c r="I232" s="37">
        <v>265</v>
      </c>
      <c r="J232" s="37">
        <v>265</v>
      </c>
      <c r="K232" s="37">
        <v>265</v>
      </c>
      <c r="L232" s="37">
        <v>265</v>
      </c>
      <c r="M232" s="37">
        <v>265</v>
      </c>
      <c r="N232" s="37">
        <v>265</v>
      </c>
      <c r="P232" s="7"/>
      <c r="Q232" s="417" t="s">
        <v>246</v>
      </c>
    </row>
    <row r="233" spans="1:17" s="58" customFormat="1" ht="4.1500000000000004" customHeight="1" outlineLevel="2" x14ac:dyDescent="0.2">
      <c r="A233" s="6"/>
      <c r="B233" s="6"/>
      <c r="H233" s="37"/>
      <c r="I233" s="37"/>
      <c r="J233" s="37"/>
      <c r="K233" s="37"/>
      <c r="L233" s="37"/>
      <c r="M233" s="37"/>
      <c r="N233" s="37"/>
      <c r="Q233" s="386"/>
    </row>
    <row r="234" spans="1:17" s="58" customFormat="1" outlineLevel="2" x14ac:dyDescent="0.2">
      <c r="A234" s="6" t="s">
        <v>489</v>
      </c>
      <c r="B234" s="6" t="s">
        <v>47</v>
      </c>
      <c r="C234" s="558"/>
      <c r="D234" s="558"/>
      <c r="E234" s="558"/>
      <c r="F234" s="85" t="s">
        <v>1298</v>
      </c>
      <c r="G234" s="85" t="s">
        <v>57</v>
      </c>
      <c r="H234" s="101">
        <v>265</v>
      </c>
      <c r="I234" s="101">
        <v>265</v>
      </c>
      <c r="J234" s="101">
        <v>265</v>
      </c>
      <c r="K234" s="101">
        <v>265</v>
      </c>
      <c r="L234" s="101">
        <v>265</v>
      </c>
      <c r="M234" s="101">
        <v>265</v>
      </c>
      <c r="N234" s="101">
        <v>265</v>
      </c>
      <c r="Q234" s="386"/>
    </row>
    <row r="235" spans="1:17" s="58" customFormat="1" outlineLevel="2" x14ac:dyDescent="0.2">
      <c r="A235" s="6"/>
      <c r="B235" s="6"/>
      <c r="Q235" s="386"/>
    </row>
    <row r="236" spans="1:17" s="58" customFormat="1" outlineLevel="2" x14ac:dyDescent="0.2">
      <c r="A236" s="6"/>
      <c r="B236" s="6"/>
      <c r="F236" s="55" t="s">
        <v>29</v>
      </c>
      <c r="G236" s="6" t="s">
        <v>690</v>
      </c>
      <c r="Q236" s="386"/>
    </row>
    <row r="237" spans="1:17" s="58" customFormat="1" outlineLevel="2" x14ac:dyDescent="0.2">
      <c r="A237" s="6" t="s">
        <v>489</v>
      </c>
      <c r="B237" s="6" t="s">
        <v>68</v>
      </c>
      <c r="F237" s="58" t="s">
        <v>194</v>
      </c>
      <c r="G237" s="780"/>
      <c r="H237" s="775"/>
      <c r="I237" s="775"/>
      <c r="J237" s="775"/>
      <c r="K237" s="775"/>
      <c r="L237" s="775"/>
      <c r="M237" s="775"/>
      <c r="N237" s="775"/>
      <c r="P237" s="7"/>
      <c r="Q237" s="417" t="s">
        <v>760</v>
      </c>
    </row>
    <row r="238" spans="1:17" s="58" customFormat="1" outlineLevel="2" x14ac:dyDescent="0.2">
      <c r="A238" s="6" t="s">
        <v>489</v>
      </c>
      <c r="B238" s="6" t="s">
        <v>68</v>
      </c>
      <c r="F238" s="58" t="s">
        <v>195</v>
      </c>
      <c r="G238" s="780"/>
      <c r="H238" s="775"/>
      <c r="I238" s="775"/>
      <c r="J238" s="775"/>
      <c r="K238" s="775"/>
      <c r="L238" s="775"/>
      <c r="M238" s="775"/>
      <c r="N238" s="775"/>
      <c r="P238" s="7"/>
      <c r="Q238" s="417" t="s">
        <v>761</v>
      </c>
    </row>
    <row r="239" spans="1:17" s="58" customFormat="1" outlineLevel="2" x14ac:dyDescent="0.2">
      <c r="A239" s="6" t="s">
        <v>489</v>
      </c>
      <c r="B239" s="6" t="s">
        <v>68</v>
      </c>
      <c r="F239" s="58" t="s">
        <v>215</v>
      </c>
      <c r="G239" s="102">
        <v>0</v>
      </c>
      <c r="H239" s="53">
        <v>0</v>
      </c>
      <c r="I239" s="53">
        <v>0</v>
      </c>
      <c r="J239" s="53">
        <v>0</v>
      </c>
      <c r="K239" s="53">
        <v>0</v>
      </c>
      <c r="L239" s="53">
        <v>0</v>
      </c>
      <c r="M239" s="53">
        <v>0</v>
      </c>
      <c r="N239" s="53">
        <v>0</v>
      </c>
      <c r="P239" s="7"/>
      <c r="Q239" s="417" t="s">
        <v>762</v>
      </c>
    </row>
    <row r="240" spans="1:17" s="58" customFormat="1" outlineLevel="2" x14ac:dyDescent="0.2">
      <c r="A240" s="6"/>
      <c r="B240" s="6"/>
      <c r="G240" s="386"/>
      <c r="Q240" s="386"/>
    </row>
    <row r="241" spans="1:17" s="58" customFormat="1" outlineLevel="2" x14ac:dyDescent="0.2">
      <c r="A241" s="6"/>
      <c r="B241" s="6"/>
      <c r="F241" s="55" t="s">
        <v>28</v>
      </c>
      <c r="G241" s="6" t="s">
        <v>689</v>
      </c>
      <c r="Q241" s="386"/>
    </row>
    <row r="242" spans="1:17" s="58" customFormat="1" outlineLevel="2" x14ac:dyDescent="0.2">
      <c r="A242" s="6" t="s">
        <v>489</v>
      </c>
      <c r="B242" s="6" t="s">
        <v>68</v>
      </c>
      <c r="F242" s="58" t="s">
        <v>28</v>
      </c>
      <c r="G242" s="102">
        <v>56.016296603773583</v>
      </c>
      <c r="H242" s="53">
        <v>14844.318599999999</v>
      </c>
      <c r="I242" s="53">
        <v>14844.318599999999</v>
      </c>
      <c r="J242" s="53">
        <v>14844.318599999999</v>
      </c>
      <c r="K242" s="53">
        <v>14844.318599999999</v>
      </c>
      <c r="L242" s="53">
        <v>14844.318599999999</v>
      </c>
      <c r="M242" s="53">
        <v>14844.318599999999</v>
      </c>
      <c r="N242" s="53">
        <v>14844.318599999999</v>
      </c>
      <c r="P242" s="7"/>
      <c r="Q242" s="417" t="s">
        <v>759</v>
      </c>
    </row>
    <row r="243" spans="1:17" s="58" customFormat="1" ht="4.1500000000000004" customHeight="1" outlineLevel="2" x14ac:dyDescent="0.2">
      <c r="A243" s="6"/>
      <c r="B243" s="6"/>
    </row>
    <row r="244" spans="1:17" s="58" customFormat="1" outlineLevel="1" x14ac:dyDescent="0.2">
      <c r="A244" s="6"/>
      <c r="B244" s="6"/>
      <c r="F244" s="100" t="s">
        <v>1299</v>
      </c>
      <c r="G244" s="100"/>
      <c r="H244" s="103">
        <v>16021.4520992</v>
      </c>
      <c r="I244" s="103">
        <v>16021.4520992</v>
      </c>
      <c r="J244" s="103">
        <v>16021.4520992</v>
      </c>
      <c r="K244" s="103">
        <v>16021.4520992</v>
      </c>
      <c r="L244" s="103">
        <v>16021.4520992</v>
      </c>
      <c r="M244" s="103">
        <v>16021.4520992</v>
      </c>
      <c r="N244" s="103">
        <v>16021.4520992</v>
      </c>
    </row>
    <row r="245" spans="1:17" outlineLevel="1" x14ac:dyDescent="0.2">
      <c r="A245" s="6"/>
      <c r="B245" s="6"/>
      <c r="E245" s="56"/>
      <c r="F245" s="56"/>
    </row>
    <row r="246" spans="1:17" outlineLevel="1" x14ac:dyDescent="0.2">
      <c r="A246" s="6"/>
      <c r="B246" s="6"/>
      <c r="E246" s="56"/>
      <c r="F246" s="56"/>
    </row>
    <row r="247" spans="1:17" outlineLevel="1" x14ac:dyDescent="0.2">
      <c r="A247" s="6"/>
      <c r="B247" s="6"/>
      <c r="F247" s="65" t="s">
        <v>165</v>
      </c>
    </row>
    <row r="248" spans="1:17" ht="4.1500000000000004" customHeight="1" outlineLevel="2" x14ac:dyDescent="0.2">
      <c r="A248" s="6"/>
      <c r="B248" s="6"/>
    </row>
    <row r="249" spans="1:17" outlineLevel="2" x14ac:dyDescent="0.2">
      <c r="A249" s="6" t="s">
        <v>165</v>
      </c>
      <c r="B249" s="6" t="s">
        <v>443</v>
      </c>
      <c r="F249" t="s">
        <v>708</v>
      </c>
      <c r="G249" t="s">
        <v>57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P249" s="7"/>
      <c r="Q249" s="417" t="s">
        <v>763</v>
      </c>
    </row>
    <row r="250" spans="1:17" outlineLevel="2" x14ac:dyDescent="0.2">
      <c r="A250" s="6" t="s">
        <v>165</v>
      </c>
      <c r="B250" s="6" t="s">
        <v>443</v>
      </c>
      <c r="F250" t="s">
        <v>245</v>
      </c>
      <c r="G250" t="s">
        <v>57</v>
      </c>
      <c r="H250" s="37">
        <v>10860</v>
      </c>
      <c r="I250" s="37">
        <v>5318.7180663636263</v>
      </c>
      <c r="J250" s="37">
        <v>1</v>
      </c>
      <c r="K250" s="37">
        <v>1</v>
      </c>
      <c r="L250" s="37">
        <v>1</v>
      </c>
      <c r="M250" s="37">
        <v>1</v>
      </c>
      <c r="N250" s="37">
        <v>1</v>
      </c>
      <c r="P250" s="7"/>
      <c r="Q250" s="417" t="s">
        <v>246</v>
      </c>
    </row>
    <row r="251" spans="1:17" ht="4.1500000000000004" customHeight="1" outlineLevel="2" x14ac:dyDescent="0.2">
      <c r="A251" s="6"/>
      <c r="B251" s="6"/>
      <c r="H251" s="37"/>
      <c r="I251" s="37"/>
      <c r="J251" s="37"/>
      <c r="K251" s="37"/>
      <c r="L251" s="37"/>
      <c r="M251" s="37"/>
      <c r="N251" s="37"/>
      <c r="Q251" s="386"/>
    </row>
    <row r="252" spans="1:17" outlineLevel="2" x14ac:dyDescent="0.2">
      <c r="A252" s="6" t="s">
        <v>165</v>
      </c>
      <c r="B252" s="6" t="s">
        <v>47</v>
      </c>
      <c r="C252" s="558"/>
      <c r="D252" s="558"/>
      <c r="E252" s="558"/>
      <c r="F252" s="85" t="s">
        <v>1300</v>
      </c>
      <c r="G252" s="85" t="s">
        <v>57</v>
      </c>
      <c r="H252" s="101">
        <v>10860</v>
      </c>
      <c r="I252" s="101">
        <v>5318.7180663636263</v>
      </c>
      <c r="J252" s="101">
        <v>1</v>
      </c>
      <c r="K252" s="101">
        <v>1</v>
      </c>
      <c r="L252" s="101">
        <v>1</v>
      </c>
      <c r="M252" s="101">
        <v>1</v>
      </c>
      <c r="N252" s="101">
        <v>1</v>
      </c>
      <c r="Q252" s="386"/>
    </row>
    <row r="253" spans="1:17" outlineLevel="2" x14ac:dyDescent="0.2">
      <c r="A253" s="6"/>
      <c r="B253" s="6"/>
      <c r="Q253" s="386"/>
    </row>
    <row r="254" spans="1:17" outlineLevel="2" x14ac:dyDescent="0.2">
      <c r="A254" s="6"/>
      <c r="B254" s="6"/>
      <c r="F254" s="55" t="s">
        <v>29</v>
      </c>
      <c r="G254" s="6" t="s">
        <v>690</v>
      </c>
      <c r="Q254" s="386"/>
    </row>
    <row r="255" spans="1:17" outlineLevel="2" x14ac:dyDescent="0.2">
      <c r="A255" s="6" t="s">
        <v>165</v>
      </c>
      <c r="B255" s="6" t="s">
        <v>68</v>
      </c>
      <c r="F255" t="s">
        <v>194</v>
      </c>
      <c r="G255" s="780"/>
      <c r="H255" s="775"/>
      <c r="I255" s="775"/>
      <c r="J255" s="775"/>
      <c r="K255" s="775"/>
      <c r="L255" s="775"/>
      <c r="M255" s="775"/>
      <c r="N255" s="775"/>
      <c r="P255" s="7"/>
      <c r="Q255" s="417" t="s">
        <v>760</v>
      </c>
    </row>
    <row r="256" spans="1:17" outlineLevel="2" x14ac:dyDescent="0.2">
      <c r="A256" s="6" t="s">
        <v>165</v>
      </c>
      <c r="B256" s="6" t="s">
        <v>68</v>
      </c>
      <c r="F256" t="s">
        <v>195</v>
      </c>
      <c r="G256" s="780"/>
      <c r="H256" s="775"/>
      <c r="I256" s="775"/>
      <c r="J256" s="775"/>
      <c r="K256" s="775"/>
      <c r="L256" s="775"/>
      <c r="M256" s="775"/>
      <c r="N256" s="775"/>
      <c r="P256" s="7"/>
      <c r="Q256" s="417" t="s">
        <v>761</v>
      </c>
    </row>
    <row r="257" spans="1:17" outlineLevel="2" x14ac:dyDescent="0.2">
      <c r="A257" s="6" t="s">
        <v>165</v>
      </c>
      <c r="B257" s="6" t="s">
        <v>68</v>
      </c>
      <c r="F257" t="s">
        <v>215</v>
      </c>
      <c r="G257" s="102">
        <v>0</v>
      </c>
      <c r="H257" s="53">
        <v>0</v>
      </c>
      <c r="I257" s="53">
        <v>0</v>
      </c>
      <c r="J257" s="53">
        <v>0</v>
      </c>
      <c r="K257" s="53">
        <v>0</v>
      </c>
      <c r="L257" s="53">
        <v>0</v>
      </c>
      <c r="M257" s="53">
        <v>0</v>
      </c>
      <c r="N257" s="53">
        <v>0</v>
      </c>
      <c r="P257" s="7"/>
      <c r="Q257" s="417" t="s">
        <v>762</v>
      </c>
    </row>
    <row r="258" spans="1:17" outlineLevel="2" x14ac:dyDescent="0.2">
      <c r="A258" s="6"/>
      <c r="B258" s="6"/>
      <c r="G258" s="386"/>
      <c r="Q258" s="386"/>
    </row>
    <row r="259" spans="1:17" outlineLevel="2" x14ac:dyDescent="0.2">
      <c r="A259" s="6"/>
      <c r="B259" s="6"/>
      <c r="F259" s="55" t="s">
        <v>28</v>
      </c>
      <c r="G259" s="6" t="s">
        <v>689</v>
      </c>
      <c r="Q259" s="386"/>
    </row>
    <row r="260" spans="1:17" outlineLevel="2" x14ac:dyDescent="0.2">
      <c r="A260" s="6" t="s">
        <v>165</v>
      </c>
      <c r="B260" s="6" t="s">
        <v>68</v>
      </c>
      <c r="F260" t="s">
        <v>28</v>
      </c>
      <c r="G260" s="102">
        <v>8.5953365377532212</v>
      </c>
      <c r="H260" s="53">
        <v>93345.354799999986</v>
      </c>
      <c r="I260" s="53">
        <v>45716.171729823436</v>
      </c>
      <c r="J260" s="53">
        <v>8.5953365377532212</v>
      </c>
      <c r="K260" s="53">
        <v>8.5953365377532212</v>
      </c>
      <c r="L260" s="53">
        <v>8.5953365377532212</v>
      </c>
      <c r="M260" s="53">
        <v>8.5953365377532212</v>
      </c>
      <c r="N260" s="53">
        <v>8.5953365377532212</v>
      </c>
      <c r="P260" s="7"/>
      <c r="Q260" s="417" t="s">
        <v>759</v>
      </c>
    </row>
    <row r="261" spans="1:17" ht="4.1500000000000004" customHeight="1" outlineLevel="2" x14ac:dyDescent="0.2">
      <c r="A261" s="6"/>
      <c r="B261" s="6"/>
    </row>
    <row r="262" spans="1:17" outlineLevel="1" x14ac:dyDescent="0.2">
      <c r="A262" s="6"/>
      <c r="B262" s="6"/>
      <c r="F262" s="100" t="s">
        <v>1301</v>
      </c>
      <c r="G262" s="100"/>
      <c r="H262" s="103">
        <v>95120.919295999993</v>
      </c>
      <c r="I262" s="103">
        <v>46585.75984795134</v>
      </c>
      <c r="J262" s="103">
        <v>8.7588323476979717</v>
      </c>
      <c r="K262" s="103">
        <v>8.7588323476979717</v>
      </c>
      <c r="L262" s="103">
        <v>8.7588323476979717</v>
      </c>
      <c r="M262" s="103">
        <v>8.7588323476979717</v>
      </c>
      <c r="N262" s="103">
        <v>8.7588323476979717</v>
      </c>
    </row>
    <row r="263" spans="1:17" outlineLevel="1" x14ac:dyDescent="0.2">
      <c r="A263" s="6"/>
      <c r="B263" s="6"/>
      <c r="E263" s="56"/>
      <c r="F263" s="56"/>
    </row>
    <row r="264" spans="1:17" outlineLevel="1" x14ac:dyDescent="0.2">
      <c r="A264" s="6"/>
      <c r="B264" s="6"/>
      <c r="E264" s="56"/>
      <c r="F264" s="56"/>
    </row>
    <row r="265" spans="1:17" outlineLevel="1" x14ac:dyDescent="0.2">
      <c r="A265" s="6"/>
      <c r="B265" s="6"/>
      <c r="F265" s="65" t="s">
        <v>167</v>
      </c>
    </row>
    <row r="266" spans="1:17" ht="4.1500000000000004" customHeight="1" outlineLevel="2" x14ac:dyDescent="0.2">
      <c r="A266" s="6"/>
      <c r="B266" s="6"/>
    </row>
    <row r="267" spans="1:17" outlineLevel="2" x14ac:dyDescent="0.2">
      <c r="A267" s="6" t="s">
        <v>167</v>
      </c>
      <c r="B267" s="6" t="s">
        <v>443</v>
      </c>
      <c r="F267" t="s">
        <v>708</v>
      </c>
      <c r="G267" t="s">
        <v>57</v>
      </c>
      <c r="H267" s="37">
        <v>0</v>
      </c>
      <c r="I267" s="37">
        <v>0</v>
      </c>
      <c r="J267" s="37">
        <v>0</v>
      </c>
      <c r="K267" s="37">
        <v>0</v>
      </c>
      <c r="L267" s="37">
        <v>0</v>
      </c>
      <c r="M267" s="37">
        <v>0</v>
      </c>
      <c r="N267" s="37">
        <v>0</v>
      </c>
      <c r="P267" s="7"/>
      <c r="Q267" s="417" t="s">
        <v>763</v>
      </c>
    </row>
    <row r="268" spans="1:17" outlineLevel="2" x14ac:dyDescent="0.2">
      <c r="A268" s="6" t="s">
        <v>167</v>
      </c>
      <c r="B268" s="6" t="s">
        <v>443</v>
      </c>
      <c r="F268" t="s">
        <v>245</v>
      </c>
      <c r="G268" t="s">
        <v>57</v>
      </c>
      <c r="H268" s="37">
        <v>13464</v>
      </c>
      <c r="I268" s="37">
        <v>12458.418586179509</v>
      </c>
      <c r="J268" s="37">
        <v>10784.673623175171</v>
      </c>
      <c r="K268" s="37">
        <v>8442.9139887831552</v>
      </c>
      <c r="L268" s="37">
        <v>5099.0947230203774</v>
      </c>
      <c r="M268" s="37">
        <v>85.051491992108993</v>
      </c>
      <c r="N268" s="37">
        <v>1</v>
      </c>
      <c r="P268" s="7"/>
      <c r="Q268" s="417" t="s">
        <v>246</v>
      </c>
    </row>
    <row r="269" spans="1:17" ht="4.1500000000000004" customHeight="1" outlineLevel="2" x14ac:dyDescent="0.2">
      <c r="A269" s="6"/>
      <c r="B269" s="6"/>
      <c r="H269" s="37"/>
      <c r="I269" s="37"/>
      <c r="J269" s="37"/>
      <c r="K269" s="37"/>
      <c r="L269" s="37"/>
      <c r="M269" s="37"/>
      <c r="N269" s="37"/>
      <c r="Q269" s="386"/>
    </row>
    <row r="270" spans="1:17" outlineLevel="2" x14ac:dyDescent="0.2">
      <c r="A270" s="6" t="s">
        <v>167</v>
      </c>
      <c r="B270" s="6" t="s">
        <v>47</v>
      </c>
      <c r="C270" s="558"/>
      <c r="D270" s="558"/>
      <c r="E270" s="558"/>
      <c r="F270" s="85" t="s">
        <v>1302</v>
      </c>
      <c r="G270" s="85" t="s">
        <v>57</v>
      </c>
      <c r="H270" s="101">
        <v>13464</v>
      </c>
      <c r="I270" s="101">
        <v>12458.418586179509</v>
      </c>
      <c r="J270" s="101">
        <v>10784.673623175171</v>
      </c>
      <c r="K270" s="101">
        <v>8442.9139887831552</v>
      </c>
      <c r="L270" s="101">
        <v>5099.0947230203774</v>
      </c>
      <c r="M270" s="101">
        <v>85.051491992108993</v>
      </c>
      <c r="N270" s="101">
        <v>1</v>
      </c>
      <c r="Q270" s="386"/>
    </row>
    <row r="271" spans="1:17" outlineLevel="2" x14ac:dyDescent="0.2">
      <c r="A271" s="6"/>
      <c r="B271" s="6"/>
      <c r="Q271" s="386"/>
    </row>
    <row r="272" spans="1:17" outlineLevel="2" x14ac:dyDescent="0.2">
      <c r="A272" s="6"/>
      <c r="B272" s="6"/>
      <c r="F272" s="55" t="s">
        <v>29</v>
      </c>
      <c r="G272" s="6" t="s">
        <v>690</v>
      </c>
      <c r="Q272" s="386"/>
    </row>
    <row r="273" spans="1:17" outlineLevel="2" x14ac:dyDescent="0.2">
      <c r="A273" s="6" t="s">
        <v>167</v>
      </c>
      <c r="B273" s="6" t="s">
        <v>68</v>
      </c>
      <c r="F273" t="s">
        <v>194</v>
      </c>
      <c r="G273" s="780"/>
      <c r="H273" s="775"/>
      <c r="I273" s="775"/>
      <c r="J273" s="775"/>
      <c r="K273" s="775"/>
      <c r="L273" s="775"/>
      <c r="M273" s="775"/>
      <c r="N273" s="775"/>
      <c r="P273" s="7"/>
      <c r="Q273" s="417" t="s">
        <v>760</v>
      </c>
    </row>
    <row r="274" spans="1:17" outlineLevel="2" x14ac:dyDescent="0.2">
      <c r="A274" s="6" t="s">
        <v>167</v>
      </c>
      <c r="B274" s="6" t="s">
        <v>68</v>
      </c>
      <c r="F274" t="s">
        <v>195</v>
      </c>
      <c r="G274" s="780"/>
      <c r="H274" s="775"/>
      <c r="I274" s="775"/>
      <c r="J274" s="775"/>
      <c r="K274" s="775"/>
      <c r="L274" s="775"/>
      <c r="M274" s="775"/>
      <c r="N274" s="775"/>
      <c r="P274" s="7"/>
      <c r="Q274" s="417" t="s">
        <v>761</v>
      </c>
    </row>
    <row r="275" spans="1:17" outlineLevel="2" x14ac:dyDescent="0.2">
      <c r="A275" s="6" t="s">
        <v>167</v>
      </c>
      <c r="B275" s="6" t="s">
        <v>68</v>
      </c>
      <c r="F275" t="s">
        <v>215</v>
      </c>
      <c r="G275" s="102">
        <v>0</v>
      </c>
      <c r="H275" s="53">
        <v>0</v>
      </c>
      <c r="I275" s="53">
        <v>0</v>
      </c>
      <c r="J275" s="53">
        <v>0</v>
      </c>
      <c r="K275" s="53">
        <v>0</v>
      </c>
      <c r="L275" s="53">
        <v>0</v>
      </c>
      <c r="M275" s="53">
        <v>0</v>
      </c>
      <c r="N275" s="53">
        <v>0</v>
      </c>
      <c r="P275" s="7"/>
      <c r="Q275" s="417" t="s">
        <v>762</v>
      </c>
    </row>
    <row r="276" spans="1:17" outlineLevel="2" x14ac:dyDescent="0.2">
      <c r="A276" s="6"/>
      <c r="B276" s="6"/>
      <c r="G276" s="386"/>
      <c r="Q276" s="386"/>
    </row>
    <row r="277" spans="1:17" outlineLevel="2" x14ac:dyDescent="0.2">
      <c r="A277" s="6"/>
      <c r="B277" s="6"/>
      <c r="F277" s="55" t="s">
        <v>28</v>
      </c>
      <c r="G277" s="6" t="s">
        <v>689</v>
      </c>
      <c r="Q277" s="386"/>
    </row>
    <row r="278" spans="1:17" outlineLevel="2" x14ac:dyDescent="0.2">
      <c r="A278" s="6" t="s">
        <v>167</v>
      </c>
      <c r="B278" s="6" t="s">
        <v>68</v>
      </c>
      <c r="F278" t="s">
        <v>28</v>
      </c>
      <c r="G278" s="102">
        <v>23.262162002376705</v>
      </c>
      <c r="H278" s="53">
        <v>313201.74919999996</v>
      </c>
      <c r="I278" s="53">
        <v>289809.7514451287</v>
      </c>
      <c r="J278" s="53">
        <v>250874.82496505979</v>
      </c>
      <c r="K278" s="53">
        <v>196400.43297920626</v>
      </c>
      <c r="L278" s="53">
        <v>118615.96751236419</v>
      </c>
      <c r="M278" s="53">
        <v>1978.4815852642844</v>
      </c>
      <c r="N278" s="53">
        <v>23.262162002376705</v>
      </c>
      <c r="P278" s="7"/>
      <c r="Q278" s="417" t="s">
        <v>759</v>
      </c>
    </row>
    <row r="279" spans="1:17" ht="4.1500000000000004" customHeight="1" outlineLevel="2" x14ac:dyDescent="0.2">
      <c r="A279" s="6"/>
      <c r="B279" s="6"/>
    </row>
    <row r="280" spans="1:17" outlineLevel="1" x14ac:dyDescent="0.2">
      <c r="A280" s="6"/>
      <c r="B280" s="6"/>
      <c r="F280" s="100" t="s">
        <v>1303</v>
      </c>
      <c r="G280" s="100"/>
      <c r="H280" s="103">
        <v>350469.71463199996</v>
      </c>
      <c r="I280" s="103">
        <v>324294.29639515281</v>
      </c>
      <c r="J280" s="103">
        <v>280726.49191276438</v>
      </c>
      <c r="K280" s="103">
        <v>219770.17649371308</v>
      </c>
      <c r="L280" s="103">
        <v>132730.1153044035</v>
      </c>
      <c r="M280" s="103">
        <v>2213.9016731654983</v>
      </c>
      <c r="N280" s="103">
        <v>26.030133291146761</v>
      </c>
    </row>
    <row r="281" spans="1:17" outlineLevel="1" x14ac:dyDescent="0.2">
      <c r="A281" s="6"/>
      <c r="B281" s="6"/>
      <c r="E281" s="56"/>
    </row>
    <row r="282" spans="1:17" outlineLevel="1" x14ac:dyDescent="0.2">
      <c r="A282" s="6"/>
      <c r="B282" s="6"/>
      <c r="E282" s="56"/>
    </row>
    <row r="283" spans="1:17" outlineLevel="1" x14ac:dyDescent="0.2">
      <c r="A283" s="6"/>
      <c r="B283" s="6"/>
      <c r="F283" s="65" t="s">
        <v>168</v>
      </c>
    </row>
    <row r="284" spans="1:17" ht="4.1500000000000004" customHeight="1" outlineLevel="2" x14ac:dyDescent="0.2">
      <c r="A284" s="6"/>
      <c r="B284" s="6"/>
    </row>
    <row r="285" spans="1:17" outlineLevel="2" x14ac:dyDescent="0.2">
      <c r="A285" s="6" t="s">
        <v>168</v>
      </c>
      <c r="B285" s="6" t="s">
        <v>443</v>
      </c>
      <c r="F285" t="s">
        <v>708</v>
      </c>
      <c r="G285" t="s">
        <v>57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0</v>
      </c>
      <c r="N285" s="37">
        <v>0</v>
      </c>
      <c r="P285" s="7"/>
      <c r="Q285" s="417" t="s">
        <v>763</v>
      </c>
    </row>
    <row r="286" spans="1:17" outlineLevel="2" x14ac:dyDescent="0.2">
      <c r="A286" s="6" t="s">
        <v>168</v>
      </c>
      <c r="B286" s="6" t="s">
        <v>443</v>
      </c>
      <c r="F286" t="s">
        <v>245</v>
      </c>
      <c r="G286" t="s">
        <v>57</v>
      </c>
      <c r="H286" s="37">
        <v>8466</v>
      </c>
      <c r="I286" s="37">
        <v>7833.5889594916598</v>
      </c>
      <c r="J286" s="37">
        <v>6781.0532921763206</v>
      </c>
      <c r="K286" s="37">
        <v>5308.49224790676</v>
      </c>
      <c r="L286" s="37">
        <v>3205.8680395862821</v>
      </c>
      <c r="M286" s="37">
        <v>53.055485747727232</v>
      </c>
      <c r="N286" s="37">
        <v>1</v>
      </c>
      <c r="P286" s="7"/>
      <c r="Q286" s="417" t="s">
        <v>246</v>
      </c>
    </row>
    <row r="287" spans="1:17" ht="4.1500000000000004" customHeight="1" outlineLevel="2" x14ac:dyDescent="0.2">
      <c r="A287" s="6"/>
      <c r="B287" s="6"/>
      <c r="H287" s="37"/>
      <c r="I287" s="37"/>
      <c r="J287" s="37"/>
      <c r="K287" s="37"/>
      <c r="L287" s="37"/>
      <c r="M287" s="37"/>
      <c r="N287" s="37"/>
      <c r="Q287" s="386"/>
    </row>
    <row r="288" spans="1:17" outlineLevel="2" x14ac:dyDescent="0.2">
      <c r="A288" s="6" t="s">
        <v>168</v>
      </c>
      <c r="B288" s="6" t="s">
        <v>47</v>
      </c>
      <c r="C288" s="558"/>
      <c r="D288" s="558"/>
      <c r="E288" s="558"/>
      <c r="F288" s="85" t="s">
        <v>1304</v>
      </c>
      <c r="G288" s="85" t="s">
        <v>57</v>
      </c>
      <c r="H288" s="101">
        <v>8466</v>
      </c>
      <c r="I288" s="101">
        <v>7833.5889594916598</v>
      </c>
      <c r="J288" s="101">
        <v>6781.0532921763206</v>
      </c>
      <c r="K288" s="101">
        <v>5308.49224790676</v>
      </c>
      <c r="L288" s="101">
        <v>3205.8680395862821</v>
      </c>
      <c r="M288" s="101">
        <v>53.055485747727232</v>
      </c>
      <c r="N288" s="101">
        <v>1</v>
      </c>
      <c r="Q288" s="386"/>
    </row>
    <row r="289" spans="1:17" outlineLevel="2" x14ac:dyDescent="0.2">
      <c r="A289" s="6"/>
      <c r="B289" s="6"/>
      <c r="Q289" s="386"/>
    </row>
    <row r="290" spans="1:17" outlineLevel="2" x14ac:dyDescent="0.2">
      <c r="A290" s="6"/>
      <c r="B290" s="6"/>
      <c r="F290" s="55" t="s">
        <v>29</v>
      </c>
      <c r="G290" s="6" t="s">
        <v>690</v>
      </c>
      <c r="Q290" s="386"/>
    </row>
    <row r="291" spans="1:17" outlineLevel="2" x14ac:dyDescent="0.2">
      <c r="A291" s="6" t="s">
        <v>168</v>
      </c>
      <c r="B291" s="6" t="s">
        <v>68</v>
      </c>
      <c r="F291" t="s">
        <v>194</v>
      </c>
      <c r="G291" s="780"/>
      <c r="H291" s="775"/>
      <c r="I291" s="775"/>
      <c r="J291" s="775"/>
      <c r="K291" s="775"/>
      <c r="L291" s="775"/>
      <c r="M291" s="775"/>
      <c r="N291" s="775"/>
      <c r="P291" s="7"/>
      <c r="Q291" s="417" t="s">
        <v>760</v>
      </c>
    </row>
    <row r="292" spans="1:17" outlineLevel="2" x14ac:dyDescent="0.2">
      <c r="A292" s="6" t="s">
        <v>168</v>
      </c>
      <c r="B292" s="6" t="s">
        <v>68</v>
      </c>
      <c r="F292" t="s">
        <v>195</v>
      </c>
      <c r="G292" s="780"/>
      <c r="H292" s="775"/>
      <c r="I292" s="775"/>
      <c r="J292" s="775"/>
      <c r="K292" s="775"/>
      <c r="L292" s="775"/>
      <c r="M292" s="775"/>
      <c r="N292" s="775"/>
      <c r="P292" s="7"/>
      <c r="Q292" s="417" t="s">
        <v>761</v>
      </c>
    </row>
    <row r="293" spans="1:17" outlineLevel="2" x14ac:dyDescent="0.2">
      <c r="A293" s="6" t="s">
        <v>168</v>
      </c>
      <c r="B293" s="6" t="s">
        <v>68</v>
      </c>
      <c r="F293" t="s">
        <v>215</v>
      </c>
      <c r="G293" s="102">
        <v>0</v>
      </c>
      <c r="H293" s="53">
        <v>0</v>
      </c>
      <c r="I293" s="53">
        <v>0</v>
      </c>
      <c r="J293" s="53">
        <v>0</v>
      </c>
      <c r="K293" s="53">
        <v>0</v>
      </c>
      <c r="L293" s="53">
        <v>0</v>
      </c>
      <c r="M293" s="53">
        <v>0</v>
      </c>
      <c r="N293" s="53">
        <v>0</v>
      </c>
      <c r="P293" s="7"/>
      <c r="Q293" s="417" t="s">
        <v>762</v>
      </c>
    </row>
    <row r="294" spans="1:17" outlineLevel="2" x14ac:dyDescent="0.2">
      <c r="A294" s="6"/>
      <c r="B294" s="6"/>
      <c r="G294" s="386"/>
      <c r="Q294" s="386"/>
    </row>
    <row r="295" spans="1:17" outlineLevel="2" x14ac:dyDescent="0.2">
      <c r="A295" s="6"/>
      <c r="B295" s="6"/>
      <c r="F295" s="55" t="s">
        <v>28</v>
      </c>
      <c r="G295" s="6" t="s">
        <v>689</v>
      </c>
      <c r="Q295" s="386"/>
    </row>
    <row r="296" spans="1:17" outlineLevel="2" x14ac:dyDescent="0.2">
      <c r="A296" s="6" t="s">
        <v>168</v>
      </c>
      <c r="B296" s="6" t="s">
        <v>68</v>
      </c>
      <c r="F296" t="s">
        <v>28</v>
      </c>
      <c r="G296" s="102">
        <v>25.558628254193245</v>
      </c>
      <c r="H296" s="53">
        <v>216379.3468</v>
      </c>
      <c r="I296" s="53">
        <v>200215.7881117998</v>
      </c>
      <c r="J296" s="53">
        <v>173314.42026660783</v>
      </c>
      <c r="K296" s="53">
        <v>135677.77995451551</v>
      </c>
      <c r="L296" s="53">
        <v>81937.589455785055</v>
      </c>
      <c r="M296" s="53">
        <v>1356.0254370718083</v>
      </c>
      <c r="N296" s="53">
        <v>25.558628254193245</v>
      </c>
      <c r="P296" s="7"/>
      <c r="Q296" s="417" t="s">
        <v>759</v>
      </c>
    </row>
    <row r="297" spans="1:17" ht="4.1500000000000004" customHeight="1" outlineLevel="2" x14ac:dyDescent="0.2">
      <c r="A297" s="6"/>
      <c r="B297" s="6"/>
    </row>
    <row r="298" spans="1:17" outlineLevel="1" x14ac:dyDescent="0.2">
      <c r="A298" s="6"/>
      <c r="B298" s="6"/>
      <c r="F298" s="100" t="s">
        <v>1305</v>
      </c>
      <c r="G298" s="100"/>
      <c r="H298" s="103">
        <v>235233.0713632</v>
      </c>
      <c r="I298" s="103">
        <v>217661.13757832241</v>
      </c>
      <c r="J298" s="103">
        <v>188415.77994285082</v>
      </c>
      <c r="K298" s="103">
        <v>147499.75617562543</v>
      </c>
      <c r="L298" s="103">
        <v>89077.035830026231</v>
      </c>
      <c r="M298" s="103">
        <v>1474.1796438819231</v>
      </c>
      <c r="N298" s="103">
        <v>27.785621469785024</v>
      </c>
    </row>
    <row r="299" spans="1:17" outlineLevel="1" x14ac:dyDescent="0.2">
      <c r="A299" s="6"/>
      <c r="B299" s="6"/>
      <c r="E299" s="56"/>
      <c r="F299" s="56"/>
    </row>
    <row r="300" spans="1:17" outlineLevel="1" x14ac:dyDescent="0.2">
      <c r="A300" s="6"/>
      <c r="B300" s="6"/>
      <c r="E300" s="56"/>
      <c r="F300" s="56"/>
    </row>
    <row r="301" spans="1:17" outlineLevel="1" x14ac:dyDescent="0.2">
      <c r="A301" s="6"/>
      <c r="B301" s="6"/>
      <c r="F301" s="65" t="s">
        <v>169</v>
      </c>
    </row>
    <row r="302" spans="1:17" ht="4.1500000000000004" customHeight="1" outlineLevel="2" x14ac:dyDescent="0.2">
      <c r="A302" s="6"/>
      <c r="B302" s="6"/>
    </row>
    <row r="303" spans="1:17" outlineLevel="2" x14ac:dyDescent="0.2">
      <c r="A303" s="6" t="s">
        <v>169</v>
      </c>
      <c r="B303" s="6" t="s">
        <v>443</v>
      </c>
      <c r="F303" t="s">
        <v>708</v>
      </c>
      <c r="G303" t="s">
        <v>57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P303" s="7"/>
      <c r="Q303" s="417" t="s">
        <v>763</v>
      </c>
    </row>
    <row r="304" spans="1:17" outlineLevel="2" x14ac:dyDescent="0.2">
      <c r="A304" s="6" t="s">
        <v>169</v>
      </c>
      <c r="B304" s="6" t="s">
        <v>443</v>
      </c>
      <c r="F304" t="s">
        <v>245</v>
      </c>
      <c r="G304" t="s">
        <v>57</v>
      </c>
      <c r="H304" s="37">
        <v>2583</v>
      </c>
      <c r="I304" s="37">
        <v>2389.6598490865767</v>
      </c>
      <c r="J304" s="37">
        <v>2068.167781904473</v>
      </c>
      <c r="K304" s="37">
        <v>1618.5734120488373</v>
      </c>
      <c r="L304" s="37">
        <v>976.81295026926944</v>
      </c>
      <c r="M304" s="37">
        <v>14.734025763991806</v>
      </c>
      <c r="N304" s="37">
        <v>1</v>
      </c>
      <c r="P304" s="7"/>
      <c r="Q304" s="417" t="s">
        <v>246</v>
      </c>
    </row>
    <row r="305" spans="1:17" ht="4.1500000000000004" customHeight="1" outlineLevel="2" x14ac:dyDescent="0.2">
      <c r="A305" s="6"/>
      <c r="B305" s="6"/>
      <c r="H305" s="37"/>
      <c r="I305" s="37"/>
      <c r="J305" s="37"/>
      <c r="K305" s="37"/>
      <c r="L305" s="37"/>
      <c r="M305" s="37"/>
      <c r="N305" s="37"/>
      <c r="Q305" s="386"/>
    </row>
    <row r="306" spans="1:17" outlineLevel="2" x14ac:dyDescent="0.2">
      <c r="A306" s="6" t="s">
        <v>169</v>
      </c>
      <c r="B306" s="6" t="s">
        <v>47</v>
      </c>
      <c r="C306" s="558"/>
      <c r="D306" s="558"/>
      <c r="E306" s="558"/>
      <c r="F306" s="85" t="s">
        <v>1306</v>
      </c>
      <c r="G306" s="85" t="s">
        <v>57</v>
      </c>
      <c r="H306" s="101">
        <v>2583</v>
      </c>
      <c r="I306" s="101">
        <v>2389.6598490865767</v>
      </c>
      <c r="J306" s="101">
        <v>2068.167781904473</v>
      </c>
      <c r="K306" s="101">
        <v>1618.5734120488373</v>
      </c>
      <c r="L306" s="101">
        <v>976.81295026926944</v>
      </c>
      <c r="M306" s="101">
        <v>14.734025763991806</v>
      </c>
      <c r="N306" s="101">
        <v>1</v>
      </c>
      <c r="Q306" s="386"/>
    </row>
    <row r="307" spans="1:17" outlineLevel="2" x14ac:dyDescent="0.2">
      <c r="A307" s="6"/>
      <c r="B307" s="6"/>
      <c r="Q307" s="386"/>
    </row>
    <row r="308" spans="1:17" outlineLevel="2" x14ac:dyDescent="0.2">
      <c r="A308" s="6"/>
      <c r="B308" s="6"/>
      <c r="F308" s="55" t="s">
        <v>29</v>
      </c>
      <c r="G308" s="6" t="s">
        <v>690</v>
      </c>
      <c r="Q308" s="386"/>
    </row>
    <row r="309" spans="1:17" outlineLevel="2" x14ac:dyDescent="0.2">
      <c r="A309" s="6" t="s">
        <v>169</v>
      </c>
      <c r="B309" s="6" t="s">
        <v>68</v>
      </c>
      <c r="F309" t="s">
        <v>194</v>
      </c>
      <c r="G309" s="780"/>
      <c r="H309" s="775"/>
      <c r="I309" s="775"/>
      <c r="J309" s="775"/>
      <c r="K309" s="775"/>
      <c r="L309" s="775"/>
      <c r="M309" s="775"/>
      <c r="N309" s="775"/>
      <c r="P309" s="7"/>
      <c r="Q309" s="417" t="s">
        <v>760</v>
      </c>
    </row>
    <row r="310" spans="1:17" outlineLevel="2" x14ac:dyDescent="0.2">
      <c r="A310" s="6" t="s">
        <v>169</v>
      </c>
      <c r="B310" s="6" t="s">
        <v>68</v>
      </c>
      <c r="F310" t="s">
        <v>195</v>
      </c>
      <c r="G310" s="780"/>
      <c r="H310" s="775"/>
      <c r="I310" s="775"/>
      <c r="J310" s="775"/>
      <c r="K310" s="775"/>
      <c r="L310" s="775"/>
      <c r="M310" s="775"/>
      <c r="N310" s="775"/>
      <c r="P310" s="7"/>
      <c r="Q310" s="417" t="s">
        <v>761</v>
      </c>
    </row>
    <row r="311" spans="1:17" outlineLevel="2" x14ac:dyDescent="0.2">
      <c r="A311" s="6" t="s">
        <v>169</v>
      </c>
      <c r="B311" s="6" t="s">
        <v>68</v>
      </c>
      <c r="F311" t="s">
        <v>215</v>
      </c>
      <c r="G311" s="102">
        <v>0</v>
      </c>
      <c r="H311" s="53">
        <v>0</v>
      </c>
      <c r="I311" s="53">
        <v>0</v>
      </c>
      <c r="J311" s="53">
        <v>0</v>
      </c>
      <c r="K311" s="53">
        <v>0</v>
      </c>
      <c r="L311" s="53">
        <v>0</v>
      </c>
      <c r="M311" s="53">
        <v>0</v>
      </c>
      <c r="N311" s="53">
        <v>0</v>
      </c>
      <c r="P311" s="7"/>
      <c r="Q311" s="417" t="s">
        <v>762</v>
      </c>
    </row>
    <row r="312" spans="1:17" outlineLevel="2" x14ac:dyDescent="0.2">
      <c r="A312" s="6"/>
      <c r="B312" s="6"/>
      <c r="G312" s="386"/>
      <c r="Q312" s="386"/>
    </row>
    <row r="313" spans="1:17" outlineLevel="2" x14ac:dyDescent="0.2">
      <c r="A313" s="6"/>
      <c r="B313" s="6"/>
      <c r="F313" s="55" t="s">
        <v>28</v>
      </c>
      <c r="G313" s="6" t="s">
        <v>689</v>
      </c>
      <c r="Q313" s="386"/>
    </row>
    <row r="314" spans="1:17" outlineLevel="2" x14ac:dyDescent="0.2">
      <c r="A314" s="6" t="s">
        <v>169</v>
      </c>
      <c r="B314" s="6" t="s">
        <v>68</v>
      </c>
      <c r="F314" t="s">
        <v>28</v>
      </c>
      <c r="G314" s="102">
        <v>34.843995276809913</v>
      </c>
      <c r="H314" s="53">
        <v>90002.039800000013</v>
      </c>
      <c r="I314" s="53">
        <v>83265.296494754977</v>
      </c>
      <c r="J314" s="53">
        <v>72063.228424329893</v>
      </c>
      <c r="K314" s="53">
        <v>56397.564324599793</v>
      </c>
      <c r="L314" s="53">
        <v>34036.065825509184</v>
      </c>
      <c r="M314" s="53">
        <v>513.39232412892602</v>
      </c>
      <c r="N314" s="53">
        <v>34.843995276809913</v>
      </c>
      <c r="P314" s="7"/>
      <c r="Q314" s="417" t="s">
        <v>759</v>
      </c>
    </row>
    <row r="315" spans="1:17" ht="4.1500000000000004" customHeight="1" outlineLevel="2" x14ac:dyDescent="0.2">
      <c r="A315" s="6"/>
      <c r="B315" s="6"/>
    </row>
    <row r="316" spans="1:17" outlineLevel="1" x14ac:dyDescent="0.2">
      <c r="A316" s="6"/>
      <c r="B316" s="6"/>
      <c r="F316" s="100" t="s">
        <v>1307</v>
      </c>
      <c r="G316" s="100"/>
      <c r="H316" s="103">
        <v>97665.370568000013</v>
      </c>
      <c r="I316" s="103">
        <v>90355.019238293273</v>
      </c>
      <c r="J316" s="103">
        <v>78199.137753193558</v>
      </c>
      <c r="K316" s="103">
        <v>61199.602043848958</v>
      </c>
      <c r="L316" s="103">
        <v>36934.107148149269</v>
      </c>
      <c r="M316" s="103">
        <v>557.10572442846262</v>
      </c>
      <c r="N316" s="103">
        <v>37.810828713898573</v>
      </c>
    </row>
    <row r="317" spans="1:17" outlineLevel="1" x14ac:dyDescent="0.2">
      <c r="A317" s="6"/>
      <c r="B317" s="6"/>
      <c r="E317" s="56"/>
      <c r="F317" s="56"/>
    </row>
    <row r="318" spans="1:17" outlineLevel="1" x14ac:dyDescent="0.2">
      <c r="A318" s="6"/>
      <c r="B318" s="6"/>
      <c r="E318" s="56"/>
      <c r="F318" s="56"/>
    </row>
    <row r="319" spans="1:17" outlineLevel="1" x14ac:dyDescent="0.2">
      <c r="A319" s="6"/>
      <c r="B319" s="6"/>
      <c r="F319" s="65" t="s">
        <v>166</v>
      </c>
    </row>
    <row r="320" spans="1:17" ht="4.1500000000000004" customHeight="1" outlineLevel="2" x14ac:dyDescent="0.2">
      <c r="A320" s="6"/>
      <c r="B320" s="6"/>
    </row>
    <row r="321" spans="1:17" outlineLevel="2" x14ac:dyDescent="0.2">
      <c r="A321" s="6" t="s">
        <v>166</v>
      </c>
      <c r="B321" s="6" t="s">
        <v>443</v>
      </c>
      <c r="F321" t="s">
        <v>708</v>
      </c>
      <c r="G321" t="s">
        <v>57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P321" s="7"/>
      <c r="Q321" s="417" t="s">
        <v>763</v>
      </c>
    </row>
    <row r="322" spans="1:17" outlineLevel="2" x14ac:dyDescent="0.2">
      <c r="A322" s="6" t="s">
        <v>166</v>
      </c>
      <c r="B322" s="6" t="s">
        <v>443</v>
      </c>
      <c r="F322" t="s">
        <v>245</v>
      </c>
      <c r="G322" t="s">
        <v>57</v>
      </c>
      <c r="H322" s="37">
        <v>11330</v>
      </c>
      <c r="I322" s="37">
        <v>8898.3244638602064</v>
      </c>
      <c r="J322" s="37">
        <v>6245.019466268287</v>
      </c>
      <c r="K322" s="37">
        <v>3401.1483421568087</v>
      </c>
      <c r="L322" s="37">
        <v>112.1954458145417</v>
      </c>
      <c r="M322" s="37">
        <v>1</v>
      </c>
      <c r="N322" s="37">
        <v>1</v>
      </c>
      <c r="P322" s="7"/>
      <c r="Q322" s="417" t="s">
        <v>246</v>
      </c>
    </row>
    <row r="323" spans="1:17" ht="4.1500000000000004" customHeight="1" outlineLevel="2" x14ac:dyDescent="0.2">
      <c r="A323" s="6"/>
      <c r="B323" s="6"/>
      <c r="H323" s="37"/>
      <c r="I323" s="37"/>
      <c r="J323" s="37"/>
      <c r="K323" s="37"/>
      <c r="L323" s="37"/>
      <c r="M323" s="37"/>
      <c r="N323" s="37"/>
      <c r="Q323" s="386"/>
    </row>
    <row r="324" spans="1:17" outlineLevel="2" x14ac:dyDescent="0.2">
      <c r="A324" s="6" t="s">
        <v>166</v>
      </c>
      <c r="B324" s="6" t="s">
        <v>47</v>
      </c>
      <c r="C324" s="558"/>
      <c r="D324" s="558"/>
      <c r="E324" s="558"/>
      <c r="F324" s="85" t="s">
        <v>1308</v>
      </c>
      <c r="G324" s="85" t="s">
        <v>57</v>
      </c>
      <c r="H324" s="101">
        <v>11330</v>
      </c>
      <c r="I324" s="101">
        <v>8898.3244638602064</v>
      </c>
      <c r="J324" s="101">
        <v>6245.019466268287</v>
      </c>
      <c r="K324" s="101">
        <v>3401.1483421568087</v>
      </c>
      <c r="L324" s="101">
        <v>112.1954458145417</v>
      </c>
      <c r="M324" s="101">
        <v>1</v>
      </c>
      <c r="N324" s="101">
        <v>1</v>
      </c>
      <c r="Q324" s="386"/>
    </row>
    <row r="325" spans="1:17" outlineLevel="2" x14ac:dyDescent="0.2">
      <c r="A325" s="6"/>
      <c r="B325" s="6"/>
      <c r="Q325" s="386"/>
    </row>
    <row r="326" spans="1:17" outlineLevel="2" x14ac:dyDescent="0.2">
      <c r="A326" s="6"/>
      <c r="B326" s="6"/>
      <c r="F326" s="55" t="s">
        <v>29</v>
      </c>
      <c r="G326" s="6" t="s">
        <v>690</v>
      </c>
      <c r="Q326" s="386"/>
    </row>
    <row r="327" spans="1:17" outlineLevel="2" x14ac:dyDescent="0.2">
      <c r="A327" s="6" t="s">
        <v>166</v>
      </c>
      <c r="B327" s="6" t="s">
        <v>68</v>
      </c>
      <c r="F327" t="s">
        <v>194</v>
      </c>
      <c r="G327" s="780"/>
      <c r="H327" s="775"/>
      <c r="I327" s="775"/>
      <c r="J327" s="775"/>
      <c r="K327" s="775"/>
      <c r="L327" s="775"/>
      <c r="M327" s="775"/>
      <c r="N327" s="775"/>
      <c r="P327" s="7"/>
      <c r="Q327" s="417" t="s">
        <v>760</v>
      </c>
    </row>
    <row r="328" spans="1:17" outlineLevel="2" x14ac:dyDescent="0.2">
      <c r="A328" s="6" t="s">
        <v>166</v>
      </c>
      <c r="B328" s="6" t="s">
        <v>68</v>
      </c>
      <c r="F328" t="s">
        <v>195</v>
      </c>
      <c r="G328" s="780"/>
      <c r="H328" s="775"/>
      <c r="I328" s="775"/>
      <c r="J328" s="775"/>
      <c r="K328" s="775"/>
      <c r="L328" s="775"/>
      <c r="M328" s="775"/>
      <c r="N328" s="775"/>
      <c r="P328" s="7"/>
      <c r="Q328" s="417" t="s">
        <v>761</v>
      </c>
    </row>
    <row r="329" spans="1:17" outlineLevel="2" x14ac:dyDescent="0.2">
      <c r="A329" s="6" t="s">
        <v>166</v>
      </c>
      <c r="B329" s="6" t="s">
        <v>68</v>
      </c>
      <c r="F329" t="s">
        <v>215</v>
      </c>
      <c r="G329" s="102">
        <v>0</v>
      </c>
      <c r="H329" s="53">
        <v>0</v>
      </c>
      <c r="I329" s="53">
        <v>0</v>
      </c>
      <c r="J329" s="53">
        <v>0</v>
      </c>
      <c r="K329" s="53">
        <v>0</v>
      </c>
      <c r="L329" s="53">
        <v>0</v>
      </c>
      <c r="M329" s="53">
        <v>0</v>
      </c>
      <c r="N329" s="53">
        <v>0</v>
      </c>
      <c r="P329" s="7"/>
      <c r="Q329" s="417" t="s">
        <v>762</v>
      </c>
    </row>
    <row r="330" spans="1:17" outlineLevel="2" x14ac:dyDescent="0.2">
      <c r="A330" s="6"/>
      <c r="B330" s="6"/>
      <c r="G330" s="386"/>
      <c r="Q330" s="386"/>
    </row>
    <row r="331" spans="1:17" outlineLevel="2" x14ac:dyDescent="0.2">
      <c r="A331" s="6"/>
      <c r="B331" s="6"/>
      <c r="F331" s="55" t="s">
        <v>28</v>
      </c>
      <c r="G331" s="6" t="s">
        <v>689</v>
      </c>
      <c r="Q331" s="386"/>
    </row>
    <row r="332" spans="1:17" outlineLevel="2" x14ac:dyDescent="0.2">
      <c r="A332" s="6" t="s">
        <v>166</v>
      </c>
      <c r="B332" s="6" t="s">
        <v>68</v>
      </c>
      <c r="F332" t="s">
        <v>28</v>
      </c>
      <c r="G332" s="102">
        <v>23.772061465136805</v>
      </c>
      <c r="H332" s="53">
        <v>269337.45639999997</v>
      </c>
      <c r="I332" s="53">
        <v>211531.51609161534</v>
      </c>
      <c r="J332" s="53">
        <v>148456.98660310556</v>
      </c>
      <c r="K332" s="53">
        <v>80852.3074417998</v>
      </c>
      <c r="L332" s="53">
        <v>2667.117034011711</v>
      </c>
      <c r="M332" s="53">
        <v>23.772061465136805</v>
      </c>
      <c r="N332" s="53">
        <v>23.772061465136805</v>
      </c>
      <c r="P332" s="7"/>
      <c r="Q332" s="417" t="s">
        <v>759</v>
      </c>
    </row>
    <row r="333" spans="1:17" ht="4.1500000000000004" customHeight="1" outlineLevel="2" x14ac:dyDescent="0.2">
      <c r="A333" s="6"/>
      <c r="B333" s="6"/>
    </row>
    <row r="334" spans="1:17" outlineLevel="1" x14ac:dyDescent="0.2">
      <c r="A334" s="6"/>
      <c r="B334" s="6"/>
      <c r="F334" s="100" t="s">
        <v>1309</v>
      </c>
      <c r="G334" s="100"/>
      <c r="H334" s="103">
        <v>275444.89455999999</v>
      </c>
      <c r="I334" s="103">
        <v>216328.15919758545</v>
      </c>
      <c r="J334" s="103">
        <v>151823.36526137826</v>
      </c>
      <c r="K334" s="103">
        <v>82685.69695395419</v>
      </c>
      <c r="L334" s="103">
        <v>2727.5960055162072</v>
      </c>
      <c r="M334" s="103">
        <v>24.311111611650485</v>
      </c>
      <c r="N334" s="103">
        <v>24.311111611650485</v>
      </c>
    </row>
    <row r="335" spans="1:17" outlineLevel="1" x14ac:dyDescent="0.2">
      <c r="A335" s="6"/>
      <c r="B335" s="6"/>
      <c r="E335" s="56"/>
    </row>
    <row r="336" spans="1:17" outlineLevel="1" x14ac:dyDescent="0.2">
      <c r="A336" s="6"/>
      <c r="B336" s="6"/>
      <c r="E336" s="56"/>
    </row>
    <row r="337" spans="1:17" outlineLevel="1" x14ac:dyDescent="0.2">
      <c r="A337" s="6"/>
      <c r="B337" s="6"/>
      <c r="F337" s="65" t="s">
        <v>193</v>
      </c>
    </row>
    <row r="338" spans="1:17" ht="4.1500000000000004" customHeight="1" outlineLevel="2" x14ac:dyDescent="0.2">
      <c r="A338" s="6"/>
      <c r="B338" s="6"/>
    </row>
    <row r="339" spans="1:17" outlineLevel="2" x14ac:dyDescent="0.2">
      <c r="A339" s="6" t="s">
        <v>193</v>
      </c>
      <c r="B339" s="6" t="s">
        <v>443</v>
      </c>
      <c r="F339" t="s">
        <v>708</v>
      </c>
      <c r="G339" t="s">
        <v>57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P339" s="7"/>
      <c r="Q339" s="417" t="s">
        <v>763</v>
      </c>
    </row>
    <row r="340" spans="1:17" outlineLevel="2" x14ac:dyDescent="0.2">
      <c r="A340" s="6" t="s">
        <v>193</v>
      </c>
      <c r="B340" s="6" t="s">
        <v>443</v>
      </c>
      <c r="F340" t="s">
        <v>245</v>
      </c>
      <c r="G340" t="s">
        <v>57</v>
      </c>
      <c r="H340" s="37">
        <v>4445</v>
      </c>
      <c r="I340" s="37">
        <v>4113.008141382049</v>
      </c>
      <c r="J340" s="37">
        <v>3560.4297325175494</v>
      </c>
      <c r="K340" s="37">
        <v>2787.3143991770853</v>
      </c>
      <c r="L340" s="37">
        <v>1683.3811364275207</v>
      </c>
      <c r="M340" s="37">
        <v>28.043129921247733</v>
      </c>
      <c r="N340" s="37">
        <v>1</v>
      </c>
      <c r="P340" s="7"/>
      <c r="Q340" s="417" t="s">
        <v>246</v>
      </c>
    </row>
    <row r="341" spans="1:17" ht="4.1500000000000004" customHeight="1" outlineLevel="2" x14ac:dyDescent="0.2">
      <c r="A341" s="6"/>
      <c r="B341" s="6"/>
      <c r="H341" s="37"/>
      <c r="I341" s="37"/>
      <c r="J341" s="37"/>
      <c r="K341" s="37"/>
      <c r="L341" s="37"/>
      <c r="M341" s="37"/>
      <c r="N341" s="37"/>
      <c r="Q341" s="386"/>
    </row>
    <row r="342" spans="1:17" outlineLevel="2" x14ac:dyDescent="0.2">
      <c r="A342" s="6" t="s">
        <v>193</v>
      </c>
      <c r="B342" s="6" t="s">
        <v>47</v>
      </c>
      <c r="C342" s="558"/>
      <c r="D342" s="558"/>
      <c r="E342" s="558"/>
      <c r="F342" s="85" t="s">
        <v>1310</v>
      </c>
      <c r="G342" s="85" t="s">
        <v>57</v>
      </c>
      <c r="H342" s="101">
        <v>4445</v>
      </c>
      <c r="I342" s="101">
        <v>4113.008141382049</v>
      </c>
      <c r="J342" s="101">
        <v>3560.4297325175494</v>
      </c>
      <c r="K342" s="101">
        <v>2787.3143991770853</v>
      </c>
      <c r="L342" s="101">
        <v>1683.3811364275207</v>
      </c>
      <c r="M342" s="101">
        <v>28.043129921247733</v>
      </c>
      <c r="N342" s="101">
        <v>1</v>
      </c>
      <c r="Q342" s="386"/>
    </row>
    <row r="343" spans="1:17" outlineLevel="2" x14ac:dyDescent="0.2">
      <c r="A343" s="6"/>
      <c r="B343" s="6"/>
      <c r="Q343" s="386"/>
    </row>
    <row r="344" spans="1:17" outlineLevel="2" x14ac:dyDescent="0.2">
      <c r="A344" s="6"/>
      <c r="B344" s="6"/>
      <c r="F344" s="55" t="s">
        <v>29</v>
      </c>
      <c r="G344" s="6" t="s">
        <v>690</v>
      </c>
      <c r="Q344" s="386"/>
    </row>
    <row r="345" spans="1:17" outlineLevel="2" x14ac:dyDescent="0.2">
      <c r="A345" s="6" t="s">
        <v>193</v>
      </c>
      <c r="B345" s="6" t="s">
        <v>68</v>
      </c>
      <c r="F345" t="s">
        <v>194</v>
      </c>
      <c r="G345" s="780"/>
      <c r="H345" s="775"/>
      <c r="I345" s="775"/>
      <c r="J345" s="775"/>
      <c r="K345" s="775"/>
      <c r="L345" s="775"/>
      <c r="M345" s="775"/>
      <c r="N345" s="775"/>
      <c r="P345" s="7"/>
      <c r="Q345" s="417" t="s">
        <v>760</v>
      </c>
    </row>
    <row r="346" spans="1:17" outlineLevel="2" x14ac:dyDescent="0.2">
      <c r="A346" s="6" t="s">
        <v>193</v>
      </c>
      <c r="B346" s="6" t="s">
        <v>68</v>
      </c>
      <c r="F346" t="s">
        <v>195</v>
      </c>
      <c r="G346" s="780"/>
      <c r="H346" s="775"/>
      <c r="I346" s="775"/>
      <c r="J346" s="775"/>
      <c r="K346" s="775"/>
      <c r="L346" s="775"/>
      <c r="M346" s="775"/>
      <c r="N346" s="775"/>
      <c r="P346" s="7"/>
      <c r="Q346" s="417" t="s">
        <v>761</v>
      </c>
    </row>
    <row r="347" spans="1:17" outlineLevel="2" x14ac:dyDescent="0.2">
      <c r="A347" s="6" t="s">
        <v>193</v>
      </c>
      <c r="B347" s="6" t="s">
        <v>68</v>
      </c>
      <c r="F347" t="s">
        <v>215</v>
      </c>
      <c r="G347" s="102">
        <v>0</v>
      </c>
      <c r="H347" s="53">
        <v>0</v>
      </c>
      <c r="I347" s="53">
        <v>0</v>
      </c>
      <c r="J347" s="53">
        <v>0</v>
      </c>
      <c r="K347" s="53">
        <v>0</v>
      </c>
      <c r="L347" s="53">
        <v>0</v>
      </c>
      <c r="M347" s="53">
        <v>0</v>
      </c>
      <c r="N347" s="53">
        <v>0</v>
      </c>
      <c r="P347" s="7"/>
      <c r="Q347" s="417" t="s">
        <v>762</v>
      </c>
    </row>
    <row r="348" spans="1:17" outlineLevel="2" x14ac:dyDescent="0.2">
      <c r="A348" s="6"/>
      <c r="B348" s="6"/>
      <c r="G348" s="386"/>
      <c r="Q348" s="386"/>
    </row>
    <row r="349" spans="1:17" outlineLevel="2" x14ac:dyDescent="0.2">
      <c r="A349" s="6"/>
      <c r="B349" s="6"/>
      <c r="F349" s="55" t="s">
        <v>28</v>
      </c>
      <c r="G349" s="6" t="s">
        <v>689</v>
      </c>
      <c r="Q349" s="386"/>
    </row>
    <row r="350" spans="1:17" outlineLevel="2" x14ac:dyDescent="0.2">
      <c r="A350" s="6" t="s">
        <v>193</v>
      </c>
      <c r="B350" s="6" t="s">
        <v>68</v>
      </c>
      <c r="F350" t="s">
        <v>28</v>
      </c>
      <c r="G350" s="102">
        <v>24.008687244094485</v>
      </c>
      <c r="H350" s="53">
        <v>106718.61479999998</v>
      </c>
      <c r="I350" s="53">
        <v>98747.926098855969</v>
      </c>
      <c r="J350" s="53">
        <v>85481.243902588831</v>
      </c>
      <c r="K350" s="53">
        <v>66919.759660803771</v>
      </c>
      <c r="L350" s="53">
        <v>40415.771217096692</v>
      </c>
      <c r="M350" s="53">
        <v>673.27873562474485</v>
      </c>
      <c r="N350" s="53">
        <v>24.008687244094485</v>
      </c>
      <c r="P350" s="7"/>
      <c r="Q350" s="417" t="s">
        <v>759</v>
      </c>
    </row>
    <row r="351" spans="1:17" ht="4.1500000000000004" customHeight="1" outlineLevel="2" x14ac:dyDescent="0.2">
      <c r="A351" s="6"/>
      <c r="B351" s="6"/>
    </row>
    <row r="352" spans="1:17" outlineLevel="1" x14ac:dyDescent="0.2">
      <c r="A352" s="6"/>
      <c r="B352" s="6"/>
      <c r="F352" s="100" t="s">
        <v>1311</v>
      </c>
      <c r="G352" s="100"/>
      <c r="H352" s="103">
        <v>110857.12123519999</v>
      </c>
      <c r="I352" s="103">
        <v>102577.3323218345</v>
      </c>
      <c r="J352" s="103">
        <v>88796.173342431648</v>
      </c>
      <c r="K352" s="103">
        <v>69514.881950549548</v>
      </c>
      <c r="L352" s="103">
        <v>41983.079128457677</v>
      </c>
      <c r="M352" s="103">
        <v>699.38822350826194</v>
      </c>
      <c r="N352" s="103">
        <v>24.939734811068615</v>
      </c>
    </row>
    <row r="353" spans="1:17" s="58" customFormat="1" outlineLevel="1" x14ac:dyDescent="0.2">
      <c r="A353" s="6"/>
      <c r="B353" s="6"/>
      <c r="E353" s="56"/>
    </row>
    <row r="354" spans="1:17" s="58" customFormat="1" outlineLevel="1" x14ac:dyDescent="0.2">
      <c r="A354" s="6"/>
      <c r="B354" s="6"/>
      <c r="E354" s="56"/>
    </row>
    <row r="355" spans="1:17" s="58" customFormat="1" outlineLevel="1" x14ac:dyDescent="0.2">
      <c r="A355" s="6"/>
      <c r="B355" s="6"/>
      <c r="F355" s="65" t="s">
        <v>486</v>
      </c>
    </row>
    <row r="356" spans="1:17" s="58" customFormat="1" ht="4.1500000000000004" customHeight="1" outlineLevel="2" x14ac:dyDescent="0.2">
      <c r="A356" s="6"/>
      <c r="B356" s="6"/>
    </row>
    <row r="357" spans="1:17" s="58" customFormat="1" outlineLevel="2" x14ac:dyDescent="0.2">
      <c r="A357" s="6" t="s">
        <v>486</v>
      </c>
      <c r="B357" s="6" t="s">
        <v>443</v>
      </c>
      <c r="F357" s="58" t="s">
        <v>708</v>
      </c>
      <c r="G357" s="58" t="s">
        <v>57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0</v>
      </c>
      <c r="P357" s="7"/>
      <c r="Q357" s="417" t="s">
        <v>763</v>
      </c>
    </row>
    <row r="358" spans="1:17" s="58" customFormat="1" outlineLevel="2" x14ac:dyDescent="0.2">
      <c r="A358" s="6" t="s">
        <v>486</v>
      </c>
      <c r="B358" s="6" t="s">
        <v>443</v>
      </c>
      <c r="F358" s="58" t="s">
        <v>245</v>
      </c>
      <c r="G358" s="58" t="s">
        <v>57</v>
      </c>
      <c r="H358" s="37">
        <v>4299</v>
      </c>
      <c r="I358" s="37">
        <v>4299</v>
      </c>
      <c r="J358" s="37">
        <v>4299</v>
      </c>
      <c r="K358" s="37">
        <v>4299</v>
      </c>
      <c r="L358" s="37">
        <v>4299</v>
      </c>
      <c r="M358" s="37">
        <v>4299</v>
      </c>
      <c r="N358" s="37">
        <v>4299</v>
      </c>
      <c r="P358" s="7"/>
      <c r="Q358" s="417" t="s">
        <v>246</v>
      </c>
    </row>
    <row r="359" spans="1:17" s="58" customFormat="1" ht="4.1500000000000004" customHeight="1" outlineLevel="2" x14ac:dyDescent="0.2">
      <c r="A359" s="6"/>
      <c r="B359" s="6"/>
      <c r="H359" s="37"/>
      <c r="I359" s="37"/>
      <c r="J359" s="37"/>
      <c r="K359" s="37"/>
      <c r="L359" s="37"/>
      <c r="M359" s="37"/>
      <c r="N359" s="37"/>
      <c r="Q359" s="386"/>
    </row>
    <row r="360" spans="1:17" s="58" customFormat="1" outlineLevel="2" x14ac:dyDescent="0.2">
      <c r="A360" s="6" t="s">
        <v>486</v>
      </c>
      <c r="B360" s="6" t="s">
        <v>47</v>
      </c>
      <c r="C360" s="558"/>
      <c r="D360" s="558"/>
      <c r="E360" s="558"/>
      <c r="F360" s="85" t="s">
        <v>1312</v>
      </c>
      <c r="G360" s="85" t="s">
        <v>57</v>
      </c>
      <c r="H360" s="101">
        <v>4299</v>
      </c>
      <c r="I360" s="101">
        <v>4299</v>
      </c>
      <c r="J360" s="101">
        <v>4299</v>
      </c>
      <c r="K360" s="101">
        <v>4299</v>
      </c>
      <c r="L360" s="101">
        <v>4299</v>
      </c>
      <c r="M360" s="101">
        <v>4299</v>
      </c>
      <c r="N360" s="101">
        <v>4299</v>
      </c>
      <c r="Q360" s="386"/>
    </row>
    <row r="361" spans="1:17" s="58" customFormat="1" outlineLevel="2" x14ac:dyDescent="0.2">
      <c r="A361" s="6"/>
      <c r="B361" s="6"/>
      <c r="Q361" s="386"/>
    </row>
    <row r="362" spans="1:17" s="58" customFormat="1" outlineLevel="2" x14ac:dyDescent="0.2">
      <c r="A362" s="6"/>
      <c r="B362" s="6"/>
      <c r="F362" s="55" t="s">
        <v>29</v>
      </c>
      <c r="G362" s="6" t="s">
        <v>690</v>
      </c>
      <c r="Q362" s="386"/>
    </row>
    <row r="363" spans="1:17" s="58" customFormat="1" outlineLevel="2" x14ac:dyDescent="0.2">
      <c r="A363" s="6" t="s">
        <v>486</v>
      </c>
      <c r="B363" s="6" t="s">
        <v>68</v>
      </c>
      <c r="F363" s="58" t="s">
        <v>194</v>
      </c>
      <c r="G363" s="780"/>
      <c r="H363" s="775"/>
      <c r="I363" s="775"/>
      <c r="J363" s="775"/>
      <c r="K363" s="775"/>
      <c r="L363" s="775"/>
      <c r="M363" s="775"/>
      <c r="N363" s="775"/>
      <c r="P363" s="7"/>
      <c r="Q363" s="417" t="s">
        <v>760</v>
      </c>
    </row>
    <row r="364" spans="1:17" s="58" customFormat="1" outlineLevel="2" x14ac:dyDescent="0.2">
      <c r="A364" s="6" t="s">
        <v>486</v>
      </c>
      <c r="B364" s="6" t="s">
        <v>68</v>
      </c>
      <c r="F364" s="58" t="s">
        <v>195</v>
      </c>
      <c r="G364" s="780"/>
      <c r="H364" s="775"/>
      <c r="I364" s="775"/>
      <c r="J364" s="775"/>
      <c r="K364" s="775"/>
      <c r="L364" s="775"/>
      <c r="M364" s="775"/>
      <c r="N364" s="775"/>
      <c r="P364" s="7"/>
      <c r="Q364" s="417" t="s">
        <v>761</v>
      </c>
    </row>
    <row r="365" spans="1:17" s="58" customFormat="1" outlineLevel="2" x14ac:dyDescent="0.2">
      <c r="A365" s="6" t="s">
        <v>486</v>
      </c>
      <c r="B365" s="6" t="s">
        <v>68</v>
      </c>
      <c r="F365" s="58" t="s">
        <v>215</v>
      </c>
      <c r="G365" s="102">
        <v>0</v>
      </c>
      <c r="H365" s="53">
        <v>0</v>
      </c>
      <c r="I365" s="53">
        <v>0</v>
      </c>
      <c r="J365" s="53">
        <v>0</v>
      </c>
      <c r="K365" s="53">
        <v>0</v>
      </c>
      <c r="L365" s="53">
        <v>0</v>
      </c>
      <c r="M365" s="53">
        <v>0</v>
      </c>
      <c r="N365" s="53">
        <v>0</v>
      </c>
      <c r="P365" s="7"/>
      <c r="Q365" s="417" t="s">
        <v>762</v>
      </c>
    </row>
    <row r="366" spans="1:17" s="58" customFormat="1" outlineLevel="2" x14ac:dyDescent="0.2">
      <c r="A366" s="6"/>
      <c r="B366" s="6"/>
      <c r="G366" s="386"/>
      <c r="Q366" s="386"/>
    </row>
    <row r="367" spans="1:17" s="58" customFormat="1" outlineLevel="2" x14ac:dyDescent="0.2">
      <c r="A367" s="6"/>
      <c r="B367" s="6"/>
      <c r="F367" s="55" t="s">
        <v>28</v>
      </c>
      <c r="G367" s="6" t="s">
        <v>689</v>
      </c>
      <c r="Q367" s="386"/>
    </row>
    <row r="368" spans="1:17" s="58" customFormat="1" outlineLevel="2" x14ac:dyDescent="0.2">
      <c r="A368" s="6" t="s">
        <v>486</v>
      </c>
      <c r="B368" s="6" t="s">
        <v>68</v>
      </c>
      <c r="F368" s="58" t="s">
        <v>28</v>
      </c>
      <c r="G368" s="102">
        <v>9.7056457780879271</v>
      </c>
      <c r="H368" s="53">
        <v>41724.571199999998</v>
      </c>
      <c r="I368" s="53">
        <v>41724.571199999998</v>
      </c>
      <c r="J368" s="53">
        <v>41724.571199999998</v>
      </c>
      <c r="K368" s="53">
        <v>41724.571199999998</v>
      </c>
      <c r="L368" s="53">
        <v>41724.571199999998</v>
      </c>
      <c r="M368" s="53">
        <v>41724.571199999998</v>
      </c>
      <c r="N368" s="53">
        <v>41724.571199999998</v>
      </c>
      <c r="P368" s="7"/>
      <c r="Q368" s="417" t="s">
        <v>759</v>
      </c>
    </row>
    <row r="369" spans="1:17" s="58" customFormat="1" ht="4.1500000000000004" customHeight="1" outlineLevel="2" x14ac:dyDescent="0.2">
      <c r="A369" s="6"/>
      <c r="B369" s="6"/>
    </row>
    <row r="370" spans="1:17" s="58" customFormat="1" outlineLevel="1" x14ac:dyDescent="0.2">
      <c r="A370" s="6"/>
      <c r="B370" s="6"/>
      <c r="F370" s="100" t="s">
        <v>1313</v>
      </c>
      <c r="G370" s="100"/>
      <c r="H370" s="103">
        <v>43232.0520416</v>
      </c>
      <c r="I370" s="103">
        <v>43232.0520416</v>
      </c>
      <c r="J370" s="103">
        <v>43232.0520416</v>
      </c>
      <c r="K370" s="103">
        <v>43232.0520416</v>
      </c>
      <c r="L370" s="103">
        <v>43232.0520416</v>
      </c>
      <c r="M370" s="103">
        <v>43232.0520416</v>
      </c>
      <c r="N370" s="103">
        <v>43232.0520416</v>
      </c>
    </row>
    <row r="371" spans="1:17" outlineLevel="1" x14ac:dyDescent="0.2">
      <c r="A371" s="6"/>
      <c r="B371" s="6"/>
      <c r="E371" s="56"/>
    </row>
    <row r="372" spans="1:17" outlineLevel="1" x14ac:dyDescent="0.2">
      <c r="A372" s="6"/>
      <c r="B372" s="6"/>
      <c r="E372" s="56"/>
    </row>
    <row r="373" spans="1:17" outlineLevel="1" x14ac:dyDescent="0.2">
      <c r="A373" s="6"/>
      <c r="B373" s="6"/>
      <c r="F373" s="65" t="s">
        <v>170</v>
      </c>
    </row>
    <row r="374" spans="1:17" ht="4.1500000000000004" customHeight="1" outlineLevel="2" x14ac:dyDescent="0.2">
      <c r="A374" s="6"/>
      <c r="B374" s="6"/>
    </row>
    <row r="375" spans="1:17" outlineLevel="2" x14ac:dyDescent="0.2">
      <c r="A375" s="6" t="s">
        <v>170</v>
      </c>
      <c r="B375" s="6" t="s">
        <v>443</v>
      </c>
      <c r="F375" t="s">
        <v>708</v>
      </c>
      <c r="G375" t="s">
        <v>57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P375" s="7"/>
      <c r="Q375" s="417" t="s">
        <v>763</v>
      </c>
    </row>
    <row r="376" spans="1:17" outlineLevel="2" x14ac:dyDescent="0.2">
      <c r="A376" s="6" t="s">
        <v>170</v>
      </c>
      <c r="B376" s="6" t="s">
        <v>443</v>
      </c>
      <c r="F376" t="s">
        <v>245</v>
      </c>
      <c r="G376" t="s">
        <v>57</v>
      </c>
      <c r="H376" s="37">
        <v>1068</v>
      </c>
      <c r="I376" s="37">
        <v>1068</v>
      </c>
      <c r="J376" s="37">
        <v>1068</v>
      </c>
      <c r="K376" s="37">
        <v>1068</v>
      </c>
      <c r="L376" s="37">
        <v>1068</v>
      </c>
      <c r="M376" s="37">
        <v>1068</v>
      </c>
      <c r="N376" s="37">
        <v>1068</v>
      </c>
      <c r="P376" s="7"/>
      <c r="Q376" s="417" t="s">
        <v>246</v>
      </c>
    </row>
    <row r="377" spans="1:17" ht="4.1500000000000004" customHeight="1" outlineLevel="2" x14ac:dyDescent="0.2">
      <c r="A377" s="6"/>
      <c r="B377" s="6"/>
      <c r="H377" s="37"/>
      <c r="I377" s="37"/>
      <c r="J377" s="37"/>
      <c r="K377" s="37"/>
      <c r="L377" s="37"/>
      <c r="M377" s="37"/>
      <c r="N377" s="37"/>
      <c r="Q377" s="386"/>
    </row>
    <row r="378" spans="1:17" outlineLevel="2" x14ac:dyDescent="0.2">
      <c r="A378" s="6" t="s">
        <v>170</v>
      </c>
      <c r="B378" s="6" t="s">
        <v>47</v>
      </c>
      <c r="C378" s="558"/>
      <c r="D378" s="558"/>
      <c r="E378" s="558"/>
      <c r="F378" s="85" t="s">
        <v>1314</v>
      </c>
      <c r="G378" s="85" t="s">
        <v>57</v>
      </c>
      <c r="H378" s="101">
        <v>1068</v>
      </c>
      <c r="I378" s="101">
        <v>1068</v>
      </c>
      <c r="J378" s="101">
        <v>1068</v>
      </c>
      <c r="K378" s="101">
        <v>1068</v>
      </c>
      <c r="L378" s="101">
        <v>1068</v>
      </c>
      <c r="M378" s="101">
        <v>1068</v>
      </c>
      <c r="N378" s="101">
        <v>1068</v>
      </c>
      <c r="Q378" s="386"/>
    </row>
    <row r="379" spans="1:17" outlineLevel="2" x14ac:dyDescent="0.2">
      <c r="A379" s="6"/>
      <c r="B379" s="6"/>
      <c r="Q379" s="386"/>
    </row>
    <row r="380" spans="1:17" outlineLevel="2" x14ac:dyDescent="0.2">
      <c r="A380" s="6"/>
      <c r="B380" s="6"/>
      <c r="F380" s="55" t="s">
        <v>29</v>
      </c>
      <c r="G380" s="6" t="s">
        <v>690</v>
      </c>
      <c r="Q380" s="386"/>
    </row>
    <row r="381" spans="1:17" outlineLevel="2" x14ac:dyDescent="0.2">
      <c r="A381" s="6" t="s">
        <v>170</v>
      </c>
      <c r="B381" s="6" t="s">
        <v>68</v>
      </c>
      <c r="F381" t="s">
        <v>194</v>
      </c>
      <c r="G381" s="780"/>
      <c r="H381" s="775"/>
      <c r="I381" s="775"/>
      <c r="J381" s="775"/>
      <c r="K381" s="775"/>
      <c r="L381" s="775"/>
      <c r="M381" s="775"/>
      <c r="N381" s="775"/>
      <c r="P381" s="7"/>
      <c r="Q381" s="417" t="s">
        <v>760</v>
      </c>
    </row>
    <row r="382" spans="1:17" outlineLevel="2" x14ac:dyDescent="0.2">
      <c r="A382" s="6" t="s">
        <v>170</v>
      </c>
      <c r="B382" s="6" t="s">
        <v>68</v>
      </c>
      <c r="F382" t="s">
        <v>195</v>
      </c>
      <c r="G382" s="780"/>
      <c r="H382" s="775"/>
      <c r="I382" s="775"/>
      <c r="J382" s="775"/>
      <c r="K382" s="775"/>
      <c r="L382" s="775"/>
      <c r="M382" s="775"/>
      <c r="N382" s="775"/>
      <c r="P382" s="7"/>
      <c r="Q382" s="417" t="s">
        <v>761</v>
      </c>
    </row>
    <row r="383" spans="1:17" outlineLevel="2" x14ac:dyDescent="0.2">
      <c r="A383" s="6" t="s">
        <v>170</v>
      </c>
      <c r="B383" s="6" t="s">
        <v>68</v>
      </c>
      <c r="F383" t="s">
        <v>215</v>
      </c>
      <c r="G383" s="102">
        <v>0</v>
      </c>
      <c r="H383" s="53">
        <v>0</v>
      </c>
      <c r="I383" s="53">
        <v>0</v>
      </c>
      <c r="J383" s="53">
        <v>0</v>
      </c>
      <c r="K383" s="53">
        <v>0</v>
      </c>
      <c r="L383" s="53">
        <v>0</v>
      </c>
      <c r="M383" s="53">
        <v>0</v>
      </c>
      <c r="N383" s="53">
        <v>0</v>
      </c>
      <c r="P383" s="7"/>
      <c r="Q383" s="417" t="s">
        <v>762</v>
      </c>
    </row>
    <row r="384" spans="1:17" outlineLevel="2" x14ac:dyDescent="0.2">
      <c r="A384" s="6"/>
      <c r="B384" s="6"/>
      <c r="G384" s="386"/>
      <c r="Q384" s="386"/>
    </row>
    <row r="385" spans="1:17" outlineLevel="2" x14ac:dyDescent="0.2">
      <c r="A385" s="6"/>
      <c r="B385" s="6"/>
      <c r="F385" s="55" t="s">
        <v>28</v>
      </c>
      <c r="G385" s="6" t="s">
        <v>689</v>
      </c>
      <c r="Q385" s="386"/>
    </row>
    <row r="386" spans="1:17" outlineLevel="2" x14ac:dyDescent="0.2">
      <c r="A386" s="6" t="s">
        <v>170</v>
      </c>
      <c r="B386" s="6" t="s">
        <v>68</v>
      </c>
      <c r="F386" t="s">
        <v>28</v>
      </c>
      <c r="G386" s="102">
        <v>11.394818913857677</v>
      </c>
      <c r="H386" s="53">
        <v>12169.666599999999</v>
      </c>
      <c r="I386" s="53">
        <v>12169.666599999999</v>
      </c>
      <c r="J386" s="53">
        <v>12169.666599999999</v>
      </c>
      <c r="K386" s="53">
        <v>12169.666599999999</v>
      </c>
      <c r="L386" s="53">
        <v>12169.666599999999</v>
      </c>
      <c r="M386" s="53">
        <v>12169.666599999999</v>
      </c>
      <c r="N386" s="53">
        <v>12169.666599999999</v>
      </c>
      <c r="P386" s="7"/>
      <c r="Q386" s="417" t="s">
        <v>759</v>
      </c>
    </row>
    <row r="387" spans="1:17" ht="4.1500000000000004" customHeight="1" outlineLevel="2" x14ac:dyDescent="0.2">
      <c r="A387" s="6"/>
      <c r="B387" s="6"/>
    </row>
    <row r="388" spans="1:17" outlineLevel="1" x14ac:dyDescent="0.2">
      <c r="A388" s="6"/>
      <c r="B388" s="6"/>
      <c r="F388" s="100" t="s">
        <v>1315</v>
      </c>
      <c r="G388" s="100"/>
      <c r="H388" s="103">
        <v>16057.998935999998</v>
      </c>
      <c r="I388" s="103">
        <v>16057.998935999998</v>
      </c>
      <c r="J388" s="103">
        <v>16057.998935999998</v>
      </c>
      <c r="K388" s="103">
        <v>16057.998935999998</v>
      </c>
      <c r="L388" s="103">
        <v>16057.998935999998</v>
      </c>
      <c r="M388" s="103">
        <v>16057.998935999998</v>
      </c>
      <c r="N388" s="103">
        <v>16057.998935999998</v>
      </c>
    </row>
    <row r="389" spans="1:17" outlineLevel="1" x14ac:dyDescent="0.2">
      <c r="A389" s="6"/>
      <c r="B389" s="6"/>
      <c r="E389" s="56"/>
      <c r="F389" s="56"/>
    </row>
    <row r="390" spans="1:17" outlineLevel="1" x14ac:dyDescent="0.2">
      <c r="A390" s="6"/>
      <c r="B390" s="6"/>
      <c r="E390" s="56"/>
      <c r="F390" s="56"/>
    </row>
    <row r="391" spans="1:17" outlineLevel="1" x14ac:dyDescent="0.2">
      <c r="A391" s="120" t="s">
        <v>262</v>
      </c>
      <c r="E391" s="56"/>
    </row>
    <row r="392" spans="1:17" ht="12.75" x14ac:dyDescent="0.2">
      <c r="A392" s="227" t="s">
        <v>523</v>
      </c>
      <c r="B392" s="80" t="s">
        <v>522</v>
      </c>
      <c r="E392" s="56"/>
    </row>
    <row r="393" spans="1:17" x14ac:dyDescent="0.2">
      <c r="G393" s="50"/>
    </row>
    <row r="394" spans="1:17" ht="15.75" thickBot="1" x14ac:dyDescent="0.3">
      <c r="A394" s="10" t="s">
        <v>31</v>
      </c>
      <c r="B394" s="10"/>
      <c r="C394" s="10"/>
      <c r="D394" s="10"/>
      <c r="E394" s="10"/>
      <c r="F394" s="10"/>
      <c r="G394" s="51"/>
      <c r="H394" s="10"/>
      <c r="I394" s="10"/>
      <c r="J394" s="10"/>
      <c r="K394" s="10"/>
      <c r="L394" s="10"/>
      <c r="M394" s="10"/>
      <c r="N394" s="10"/>
      <c r="O394" s="10"/>
      <c r="P394" s="10"/>
      <c r="Q394" s="10"/>
    </row>
    <row r="395" spans="1:17" x14ac:dyDescent="0.2">
      <c r="G395" s="50"/>
    </row>
    <row r="396" spans="1:17" s="431" customFormat="1" x14ac:dyDescent="0.2"/>
    <row r="398" spans="1:17" s="558" customFormat="1" x14ac:dyDescent="0.2"/>
    <row r="399" spans="1:17" x14ac:dyDescent="0.2">
      <c r="F399" s="38" t="s">
        <v>250</v>
      </c>
      <c r="G399" t="s">
        <v>6</v>
      </c>
      <c r="H399" t="s">
        <v>249</v>
      </c>
    </row>
    <row r="400" spans="1:17" x14ac:dyDescent="0.2">
      <c r="G400" t="s">
        <v>194</v>
      </c>
      <c r="H400" t="s">
        <v>68</v>
      </c>
    </row>
    <row r="401" spans="5:17" x14ac:dyDescent="0.2">
      <c r="G401" t="s">
        <v>195</v>
      </c>
      <c r="H401" t="s">
        <v>68</v>
      </c>
    </row>
    <row r="402" spans="5:17" x14ac:dyDescent="0.2">
      <c r="G402" t="s">
        <v>215</v>
      </c>
      <c r="H402" t="s">
        <v>68</v>
      </c>
    </row>
    <row r="403" spans="5:17" x14ac:dyDescent="0.2">
      <c r="G403" t="s">
        <v>28</v>
      </c>
      <c r="H403" t="s">
        <v>68</v>
      </c>
    </row>
    <row r="406" spans="5:17" ht="12.75" x14ac:dyDescent="0.2">
      <c r="E406" s="38" t="s">
        <v>933</v>
      </c>
      <c r="F406" s="558"/>
      <c r="H406" s="604" t="s">
        <v>251</v>
      </c>
      <c r="I406" s="604" t="s">
        <v>252</v>
      </c>
      <c r="J406" s="604" t="s">
        <v>253</v>
      </c>
      <c r="K406" s="604" t="s">
        <v>254</v>
      </c>
      <c r="L406" s="604" t="s">
        <v>255</v>
      </c>
      <c r="M406" s="604" t="s">
        <v>256</v>
      </c>
      <c r="N406" s="604" t="s">
        <v>257</v>
      </c>
    </row>
    <row r="407" spans="5:17" x14ac:dyDescent="0.2">
      <c r="E407" s="558"/>
      <c r="F407" s="558" t="s">
        <v>28</v>
      </c>
      <c r="H407" s="574">
        <v>1.0062</v>
      </c>
      <c r="I407" s="574">
        <v>1.0125999999999999</v>
      </c>
      <c r="J407" s="574">
        <v>1.0205</v>
      </c>
      <c r="K407" s="574">
        <v>1.0313000000000001</v>
      </c>
      <c r="L407" s="574">
        <v>1.0438000000000001</v>
      </c>
      <c r="M407" s="574">
        <v>1.0551999999999999</v>
      </c>
      <c r="N407" s="574">
        <v>1.0653999999999999</v>
      </c>
    </row>
    <row r="408" spans="5:17" s="558" customFormat="1" x14ac:dyDescent="0.2">
      <c r="F408" s="558" t="s">
        <v>1249</v>
      </c>
      <c r="H408" s="515"/>
      <c r="I408" s="515">
        <v>0.05</v>
      </c>
      <c r="J408" s="515">
        <v>0.05</v>
      </c>
      <c r="K408" s="515">
        <v>0.05</v>
      </c>
      <c r="L408" s="515">
        <v>0.05</v>
      </c>
      <c r="M408" s="515">
        <v>0.1</v>
      </c>
      <c r="N408" s="515">
        <v>0.1</v>
      </c>
      <c r="P408" s="7" t="s">
        <v>1250</v>
      </c>
      <c r="Q408" s="417" t="s">
        <v>1251</v>
      </c>
    </row>
    <row r="409" spans="5:17" x14ac:dyDescent="0.2">
      <c r="E409" s="38" t="s">
        <v>986</v>
      </c>
      <c r="F409" s="558"/>
      <c r="H409" s="558"/>
      <c r="I409" s="558"/>
      <c r="J409" s="558"/>
      <c r="K409" s="558"/>
      <c r="L409" s="558"/>
      <c r="M409" s="558"/>
      <c r="N409" s="558"/>
    </row>
    <row r="410" spans="5:17" x14ac:dyDescent="0.2">
      <c r="E410" s="558"/>
      <c r="F410" s="558" t="s">
        <v>987</v>
      </c>
      <c r="H410" s="574">
        <v>0.59699999999999998</v>
      </c>
      <c r="I410" s="574">
        <v>0.59699999999999998</v>
      </c>
      <c r="J410" s="574">
        <v>0.59699999999999998</v>
      </c>
      <c r="K410" s="574">
        <v>0.59699999999999998</v>
      </c>
      <c r="L410" s="574">
        <v>0.59699999999999998</v>
      </c>
      <c r="M410" s="574">
        <v>0.59699999999999998</v>
      </c>
      <c r="N410" s="574">
        <v>0.59699999999999998</v>
      </c>
    </row>
    <row r="411" spans="5:17" x14ac:dyDescent="0.2">
      <c r="E411" s="558"/>
      <c r="F411" s="558" t="s">
        <v>988</v>
      </c>
      <c r="H411" s="574">
        <v>0.40300000000000002</v>
      </c>
      <c r="I411" s="574">
        <v>0.40300000000000002</v>
      </c>
      <c r="J411" s="574">
        <v>0.40300000000000002</v>
      </c>
      <c r="K411" s="574">
        <v>0.40300000000000002</v>
      </c>
      <c r="L411" s="574">
        <v>0.40300000000000002</v>
      </c>
      <c r="M411" s="574">
        <v>0.40300000000000002</v>
      </c>
      <c r="N411" s="574">
        <v>0.40300000000000002</v>
      </c>
    </row>
    <row r="412" spans="5:17" ht="4.1500000000000004" customHeight="1" x14ac:dyDescent="0.2">
      <c r="H412" s="558"/>
      <c r="I412" s="558"/>
      <c r="J412" s="558"/>
      <c r="K412" s="558"/>
      <c r="L412" s="558"/>
      <c r="M412" s="558"/>
      <c r="N412" s="558"/>
    </row>
    <row r="413" spans="5:17" s="431" customFormat="1" ht="12.75" thickBot="1" x14ac:dyDescent="0.25">
      <c r="F413" s="431" t="s">
        <v>1024</v>
      </c>
      <c r="H413" s="614">
        <v>1.0037014</v>
      </c>
      <c r="I413" s="614">
        <v>1.0373722000000001</v>
      </c>
      <c r="J413" s="614">
        <v>1.0420885</v>
      </c>
      <c r="K413" s="614">
        <v>1.0485361000000002</v>
      </c>
      <c r="L413" s="614">
        <v>1.0559986000000001</v>
      </c>
      <c r="M413" s="614">
        <v>1.0926544</v>
      </c>
      <c r="N413" s="614">
        <v>1.0987437999999998</v>
      </c>
      <c r="P413" s="7" t="s">
        <v>1250</v>
      </c>
      <c r="Q413" s="417" t="s">
        <v>1252</v>
      </c>
    </row>
    <row r="414" spans="5:17" ht="12.75" thickTop="1" x14ac:dyDescent="0.2"/>
  </sheetData>
  <dataValidations count="1">
    <dataValidation type="list" allowBlank="1" showInputMessage="1" showErrorMessage="1" sqref="F121 F139 F157 F211 F247 F265 F283 F301 F319 F337 F373 F9:F25 F76:F92 F355 F229 F175 F193 F99:F115 F51:F67 F30:F46" xr:uid="{00000000-0002-0000-1500-000000000000}">
      <formula1>Base_Light_lst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0">
    <tabColor theme="5" tint="0.59999389629810485"/>
  </sheetPr>
  <dimension ref="A1:R239"/>
  <sheetViews>
    <sheetView showGridLines="0" zoomScale="115" zoomScaleNormal="115" workbookViewId="0">
      <selection activeCell="I73" sqref="I73"/>
    </sheetView>
  </sheetViews>
  <sheetFormatPr defaultRowHeight="12" outlineLevelRow="3" x14ac:dyDescent="0.2"/>
  <cols>
    <col min="1" max="1" width="10.33203125" customWidth="1"/>
    <col min="2" max="2" width="6.83203125" bestFit="1" customWidth="1"/>
    <col min="3" max="5" width="2.5" customWidth="1"/>
    <col min="6" max="6" width="34.1640625" customWidth="1"/>
    <col min="7" max="7" width="15.5" bestFit="1" customWidth="1"/>
    <col min="8" max="13" width="16.33203125" customWidth="1"/>
    <col min="14" max="14" width="16.5" customWidth="1"/>
    <col min="15" max="15" width="7.83203125" customWidth="1"/>
    <col min="16" max="16" width="30" customWidth="1"/>
    <col min="17" max="17" width="61.1640625" customWidth="1"/>
  </cols>
  <sheetData>
    <row r="1" spans="1:18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558"/>
      <c r="P1" s="558"/>
      <c r="Q1" s="558"/>
      <c r="R1" s="558"/>
    </row>
    <row r="2" spans="1:18" ht="16.5" thickBot="1" x14ac:dyDescent="0.3">
      <c r="A2" s="394" t="s">
        <v>1316</v>
      </c>
      <c r="B2" s="4"/>
      <c r="C2" s="4"/>
      <c r="D2" s="4"/>
      <c r="E2" s="4"/>
      <c r="F2" s="4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.75" thickTop="1" x14ac:dyDescent="0.25">
      <c r="A3" s="6"/>
      <c r="B3" s="558"/>
      <c r="C3" s="558"/>
      <c r="D3" s="34"/>
      <c r="E3" s="558"/>
      <c r="F3" s="337"/>
      <c r="G3" s="337"/>
      <c r="H3" s="558"/>
      <c r="I3" s="558"/>
      <c r="J3" s="558"/>
      <c r="K3" s="558"/>
      <c r="L3" s="558"/>
      <c r="M3" s="558"/>
      <c r="N3" s="558"/>
      <c r="O3" s="558"/>
      <c r="P3" s="558"/>
      <c r="Q3" s="558"/>
      <c r="R3" s="558"/>
    </row>
    <row r="4" spans="1:18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O4" s="558"/>
      <c r="P4" s="5" t="s">
        <v>1</v>
      </c>
      <c r="Q4" s="5" t="s">
        <v>0</v>
      </c>
      <c r="R4" s="558"/>
    </row>
    <row r="5" spans="1:18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558"/>
      <c r="P5" s="558"/>
      <c r="Q5" s="558"/>
      <c r="R5" s="558"/>
    </row>
    <row r="6" spans="1:18" x14ac:dyDescent="0.2">
      <c r="A6" s="558"/>
      <c r="B6" s="558"/>
      <c r="C6" s="558"/>
      <c r="D6" s="558"/>
      <c r="E6" s="558"/>
      <c r="F6" s="558"/>
      <c r="G6" s="558"/>
      <c r="H6" s="559"/>
      <c r="I6" s="559"/>
      <c r="J6" s="559"/>
      <c r="K6" s="559"/>
      <c r="L6" s="559"/>
      <c r="M6" s="559"/>
      <c r="N6" s="559"/>
      <c r="O6" s="558"/>
      <c r="P6" s="558"/>
      <c r="Q6" s="558"/>
      <c r="R6" s="558"/>
    </row>
    <row r="7" spans="1:18" ht="15" x14ac:dyDescent="0.25">
      <c r="A7" s="36" t="s">
        <v>38</v>
      </c>
      <c r="B7" s="152"/>
      <c r="C7" s="36"/>
      <c r="D7" s="36"/>
      <c r="E7" s="36"/>
      <c r="F7" s="36"/>
      <c r="G7" s="36"/>
      <c r="H7" s="693" t="s">
        <v>1261</v>
      </c>
      <c r="I7" s="693" t="s">
        <v>1261</v>
      </c>
      <c r="J7" s="36"/>
      <c r="K7" s="36"/>
      <c r="L7" s="36"/>
      <c r="M7" s="36"/>
      <c r="N7" s="36"/>
      <c r="O7" s="36"/>
      <c r="P7" s="36"/>
      <c r="Q7" s="36"/>
      <c r="R7" s="558"/>
    </row>
    <row r="8" spans="1:18" ht="12.75" x14ac:dyDescent="0.2">
      <c r="A8" s="558"/>
      <c r="B8" s="558"/>
      <c r="C8" s="558"/>
      <c r="D8" s="558"/>
      <c r="E8" s="558"/>
      <c r="F8" s="588" t="s">
        <v>1042</v>
      </c>
      <c r="G8" s="610" t="s">
        <v>1034</v>
      </c>
      <c r="H8" s="607">
        <v>4542375.6141068768</v>
      </c>
      <c r="I8" s="607">
        <v>3673545.0902173538</v>
      </c>
      <c r="J8" s="607">
        <v>2455247.5052821003</v>
      </c>
      <c r="K8" s="607">
        <v>1718935.5423290622</v>
      </c>
      <c r="L8" s="607">
        <v>1260423.3356729997</v>
      </c>
      <c r="M8" s="607">
        <v>861284.32962635811</v>
      </c>
      <c r="N8" s="607">
        <v>764795.0246762404</v>
      </c>
      <c r="O8" s="558"/>
      <c r="P8" s="558"/>
      <c r="Q8" s="5"/>
      <c r="R8" s="558"/>
    </row>
    <row r="9" spans="1:18" ht="12.75" x14ac:dyDescent="0.2">
      <c r="A9" s="558"/>
      <c r="B9" s="558"/>
      <c r="C9" s="558"/>
      <c r="D9" s="558"/>
      <c r="E9" s="558"/>
      <c r="F9" s="6"/>
      <c r="G9" s="48"/>
      <c r="H9" s="558"/>
      <c r="I9" s="558"/>
      <c r="J9" s="558"/>
      <c r="K9" s="558"/>
      <c r="L9" s="558"/>
      <c r="M9" s="558"/>
      <c r="N9" s="558"/>
      <c r="O9" s="558"/>
      <c r="P9" s="558"/>
      <c r="Q9" s="5"/>
      <c r="R9" s="558"/>
    </row>
    <row r="10" spans="1:18" ht="12.75" x14ac:dyDescent="0.2">
      <c r="A10" s="558"/>
      <c r="B10" s="558"/>
      <c r="C10" s="558"/>
      <c r="D10" s="558"/>
      <c r="E10" s="558"/>
      <c r="F10" s="431" t="s">
        <v>870</v>
      </c>
      <c r="G10" s="48" t="s">
        <v>869</v>
      </c>
      <c r="H10" s="53">
        <v>4300921.9711998673</v>
      </c>
      <c r="I10" s="53">
        <v>3478274.8352297465</v>
      </c>
      <c r="J10" s="53">
        <v>2324736.8419746426</v>
      </c>
      <c r="K10" s="53">
        <v>1627564.1358498794</v>
      </c>
      <c r="L10" s="53">
        <v>1193424.5157035314</v>
      </c>
      <c r="M10" s="53">
        <v>815502.06575518881</v>
      </c>
      <c r="N10" s="53">
        <v>724141.72770719556</v>
      </c>
      <c r="O10" s="558"/>
      <c r="P10" s="558"/>
      <c r="Q10" s="5"/>
      <c r="R10" s="558"/>
    </row>
    <row r="11" spans="1:18" ht="12.75" x14ac:dyDescent="0.2">
      <c r="A11" s="558"/>
      <c r="B11" s="558"/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"/>
      <c r="R11" s="558"/>
    </row>
    <row r="12" spans="1:18" ht="12.75" x14ac:dyDescent="0.2">
      <c r="A12" s="558"/>
      <c r="B12" s="558"/>
      <c r="C12" s="558"/>
      <c r="D12" s="558"/>
      <c r="E12" s="558"/>
      <c r="F12" s="83" t="s">
        <v>1059</v>
      </c>
      <c r="G12" s="48" t="s">
        <v>869</v>
      </c>
      <c r="H12" s="53">
        <v>4285061.245505752</v>
      </c>
      <c r="I12" s="53">
        <v>3352967.0789613854</v>
      </c>
      <c r="J12" s="53">
        <v>2230843.9657232976</v>
      </c>
      <c r="K12" s="53">
        <v>1552225.1793237058</v>
      </c>
      <c r="L12" s="53">
        <v>1130138.35028146</v>
      </c>
      <c r="M12" s="53">
        <v>746349.50058791577</v>
      </c>
      <c r="N12" s="53">
        <v>659063.3118541335</v>
      </c>
      <c r="O12" s="558"/>
      <c r="P12" s="558"/>
      <c r="Q12" s="5"/>
      <c r="R12" s="558"/>
    </row>
    <row r="13" spans="1:18" ht="12.75" x14ac:dyDescent="0.2">
      <c r="A13" s="558"/>
      <c r="B13" s="558"/>
      <c r="C13" s="558"/>
      <c r="D13" s="558"/>
      <c r="E13" s="558"/>
      <c r="F13" s="558"/>
      <c r="G13" s="558"/>
      <c r="H13" s="558"/>
      <c r="I13" s="558"/>
      <c r="J13" s="558"/>
      <c r="K13" s="558"/>
      <c r="L13" s="558"/>
      <c r="M13" s="558"/>
      <c r="N13" s="558"/>
      <c r="O13" s="558"/>
      <c r="P13" s="558"/>
      <c r="Q13" s="5"/>
      <c r="R13" s="558"/>
    </row>
    <row r="14" spans="1:18" ht="15.75" thickBot="1" x14ac:dyDescent="0.3">
      <c r="A14" s="10" t="s">
        <v>37</v>
      </c>
      <c r="B14" s="10"/>
      <c r="C14" s="10"/>
      <c r="D14" s="10"/>
      <c r="E14" s="10"/>
      <c r="F14" s="10"/>
      <c r="G14" s="5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558"/>
    </row>
    <row r="15" spans="1:18" ht="12.75" x14ac:dyDescent="0.2">
      <c r="A15" s="558"/>
      <c r="B15" s="558"/>
      <c r="C15" s="558"/>
      <c r="D15" s="558"/>
      <c r="E15" s="558"/>
      <c r="F15" s="558"/>
      <c r="G15" s="50"/>
      <c r="H15" s="43" t="s">
        <v>251</v>
      </c>
      <c r="I15" s="43" t="s">
        <v>252</v>
      </c>
      <c r="J15" s="43" t="s">
        <v>253</v>
      </c>
      <c r="K15" s="43" t="s">
        <v>254</v>
      </c>
      <c r="L15" s="43" t="s">
        <v>255</v>
      </c>
      <c r="M15" s="43" t="s">
        <v>256</v>
      </c>
      <c r="N15" s="43" t="s">
        <v>257</v>
      </c>
      <c r="O15" s="558"/>
      <c r="P15" s="5"/>
      <c r="Q15" s="5"/>
      <c r="R15" s="558"/>
    </row>
    <row r="16" spans="1:18" s="558" customFormat="1" outlineLevel="1" x14ac:dyDescent="0.2"/>
    <row r="17" spans="1:14" s="558" customFormat="1" ht="12.75" outlineLevel="1" x14ac:dyDescent="0.2">
      <c r="B17" s="5" t="s">
        <v>1201</v>
      </c>
    </row>
    <row r="18" spans="1:14" s="558" customFormat="1" outlineLevel="2" x14ac:dyDescent="0.2">
      <c r="F18" s="558" t="s">
        <v>749</v>
      </c>
      <c r="H18" s="53">
        <v>662377.56779999996</v>
      </c>
      <c r="I18" s="53">
        <v>417415.57603606005</v>
      </c>
      <c r="J18" s="53">
        <v>156675.28922938663</v>
      </c>
      <c r="K18" s="53">
        <v>64370.638022144114</v>
      </c>
      <c r="L18" s="53">
        <v>2490.6233489969409</v>
      </c>
      <c r="M18" s="53">
        <v>57.769672496687541</v>
      </c>
      <c r="N18" s="53">
        <v>52.095850638359934</v>
      </c>
    </row>
    <row r="19" spans="1:14" s="558" customFormat="1" outlineLevel="2" x14ac:dyDescent="0.2">
      <c r="F19" s="558" t="s">
        <v>1195</v>
      </c>
      <c r="H19" s="53">
        <v>1240904.7953999997</v>
      </c>
      <c r="I19" s="53">
        <v>970085.05557427357</v>
      </c>
      <c r="J19" s="53">
        <v>632372.09501143324</v>
      </c>
      <c r="K19" s="53">
        <v>418635.80995652993</v>
      </c>
      <c r="L19" s="53">
        <v>290390.84555750969</v>
      </c>
      <c r="M19" s="53">
        <v>185206.63891188413</v>
      </c>
      <c r="N19" s="53">
        <v>184016.05759999994</v>
      </c>
    </row>
    <row r="20" spans="1:14" s="558" customFormat="1" outlineLevel="2" x14ac:dyDescent="0.2">
      <c r="F20" s="558" t="s">
        <v>1194</v>
      </c>
      <c r="H20" s="53">
        <v>428596.91759191995</v>
      </c>
      <c r="I20" s="53">
        <v>350360.86924379895</v>
      </c>
      <c r="J20" s="53">
        <v>254010.61183429448</v>
      </c>
      <c r="K20" s="53">
        <v>181225.86674658227</v>
      </c>
      <c r="L20" s="53">
        <v>119268.24673901779</v>
      </c>
      <c r="M20" s="53">
        <v>60498.12751749577</v>
      </c>
      <c r="N20" s="53">
        <v>51836.140208429846</v>
      </c>
    </row>
    <row r="21" spans="1:14" s="558" customFormat="1" outlineLevel="2" x14ac:dyDescent="0.2">
      <c r="F21" s="558" t="s">
        <v>1193</v>
      </c>
      <c r="H21" s="53">
        <v>1953181.9647138321</v>
      </c>
      <c r="I21" s="53">
        <v>1615105.5781072529</v>
      </c>
      <c r="J21" s="53">
        <v>1187785.9696481831</v>
      </c>
      <c r="K21" s="53">
        <v>887992.86459844967</v>
      </c>
      <c r="L21" s="53">
        <v>717988.63463593565</v>
      </c>
      <c r="M21" s="53">
        <v>500586.96448603924</v>
      </c>
      <c r="N21" s="53">
        <v>423159.01819506538</v>
      </c>
    </row>
    <row r="22" spans="1:14" s="558" customFormat="1" ht="4.1500000000000004" customHeight="1" outlineLevel="2" x14ac:dyDescent="0.2">
      <c r="H22" s="53"/>
      <c r="I22" s="53"/>
      <c r="J22" s="53"/>
      <c r="K22" s="53"/>
      <c r="L22" s="53"/>
      <c r="M22" s="53"/>
      <c r="N22" s="53"/>
    </row>
    <row r="23" spans="1:14" s="558" customFormat="1" outlineLevel="2" x14ac:dyDescent="0.2">
      <c r="F23" s="85" t="s">
        <v>1200</v>
      </c>
      <c r="G23" s="87"/>
      <c r="H23" s="88">
        <v>4285061.245505752</v>
      </c>
      <c r="I23" s="88">
        <v>3352967.0789613854</v>
      </c>
      <c r="J23" s="88">
        <v>2230843.9657232976</v>
      </c>
      <c r="K23" s="88">
        <v>1552225.1793237058</v>
      </c>
      <c r="L23" s="88">
        <v>1130138.35028146</v>
      </c>
      <c r="M23" s="88">
        <v>746349.50058791577</v>
      </c>
      <c r="N23" s="88">
        <v>659063.3118541335</v>
      </c>
    </row>
    <row r="24" spans="1:14" s="558" customFormat="1" outlineLevel="1" x14ac:dyDescent="0.2"/>
    <row r="25" spans="1:14" s="558" customFormat="1" ht="12.75" outlineLevel="1" x14ac:dyDescent="0.2">
      <c r="B25" s="5" t="s">
        <v>1202</v>
      </c>
    </row>
    <row r="26" spans="1:14" s="558" customFormat="1" outlineLevel="2" x14ac:dyDescent="0.2">
      <c r="D26" s="79" t="s">
        <v>1195</v>
      </c>
      <c r="G26" s="145" t="s">
        <v>1199</v>
      </c>
    </row>
    <row r="27" spans="1:14" s="558" customFormat="1" ht="4.1500000000000004" customHeight="1" outlineLevel="3" x14ac:dyDescent="0.2"/>
    <row r="28" spans="1:14" s="558" customFormat="1" outlineLevel="3" x14ac:dyDescent="0.2">
      <c r="A28" s="6"/>
      <c r="B28" s="6"/>
      <c r="F28" s="558" t="s">
        <v>164</v>
      </c>
      <c r="G28" s="102">
        <v>133.73259999999999</v>
      </c>
      <c r="H28" s="84">
        <v>290</v>
      </c>
      <c r="I28" s="84">
        <v>193.84649162335086</v>
      </c>
      <c r="J28" s="84">
        <v>67.994382793509089</v>
      </c>
      <c r="K28" s="84">
        <v>1</v>
      </c>
      <c r="L28" s="84">
        <v>1</v>
      </c>
      <c r="M28" s="84">
        <v>1</v>
      </c>
      <c r="N28" s="84">
        <v>1</v>
      </c>
    </row>
    <row r="29" spans="1:14" s="558" customFormat="1" outlineLevel="3" x14ac:dyDescent="0.2">
      <c r="F29" s="558" t="s">
        <v>172</v>
      </c>
      <c r="G29" s="102">
        <v>133.73259999999999</v>
      </c>
      <c r="H29" s="84">
        <v>671</v>
      </c>
      <c r="I29" s="84">
        <v>438.49875554689072</v>
      </c>
      <c r="J29" s="84">
        <v>140.87596149929769</v>
      </c>
      <c r="K29" s="84">
        <v>1</v>
      </c>
      <c r="L29" s="84">
        <v>1</v>
      </c>
      <c r="M29" s="84">
        <v>1</v>
      </c>
      <c r="N29" s="84">
        <v>1</v>
      </c>
    </row>
    <row r="30" spans="1:14" s="558" customFormat="1" outlineLevel="3" x14ac:dyDescent="0.2">
      <c r="F30" s="558" t="s">
        <v>173</v>
      </c>
      <c r="G30" s="102">
        <v>133.73259999999999</v>
      </c>
      <c r="H30" s="84">
        <v>2706</v>
      </c>
      <c r="I30" s="84">
        <v>1804.9846635081342</v>
      </c>
      <c r="J30" s="84">
        <v>628.16356363917748</v>
      </c>
      <c r="K30" s="84">
        <v>1</v>
      </c>
      <c r="L30" s="84">
        <v>1</v>
      </c>
      <c r="M30" s="84">
        <v>1</v>
      </c>
      <c r="N30" s="84">
        <v>1</v>
      </c>
    </row>
    <row r="31" spans="1:14" s="558" customFormat="1" outlineLevel="3" x14ac:dyDescent="0.2">
      <c r="F31" s="558" t="s">
        <v>193</v>
      </c>
      <c r="G31" s="102">
        <v>133.73259999999999</v>
      </c>
      <c r="H31" s="84">
        <v>322</v>
      </c>
      <c r="I31" s="84">
        <v>297.95019606862087</v>
      </c>
      <c r="J31" s="84">
        <v>257.92089400914529</v>
      </c>
      <c r="K31" s="84">
        <v>201.9156887592849</v>
      </c>
      <c r="L31" s="84">
        <v>121.94572011915898</v>
      </c>
      <c r="M31" s="84">
        <v>2.0314708289407806</v>
      </c>
      <c r="N31" s="84">
        <v>1</v>
      </c>
    </row>
    <row r="32" spans="1:14" s="558" customFormat="1" outlineLevel="3" x14ac:dyDescent="0.2">
      <c r="F32" s="558" t="s">
        <v>167</v>
      </c>
      <c r="G32" s="102">
        <v>133.73259999999999</v>
      </c>
      <c r="H32" s="84">
        <v>870</v>
      </c>
      <c r="I32" s="84">
        <v>805.02259135295401</v>
      </c>
      <c r="J32" s="84">
        <v>696.87062181836006</v>
      </c>
      <c r="K32" s="84">
        <v>545.55371139641602</v>
      </c>
      <c r="L32" s="84">
        <v>329.48695848393709</v>
      </c>
      <c r="M32" s="84">
        <v>5.4957514879036564</v>
      </c>
      <c r="N32" s="84">
        <v>1</v>
      </c>
    </row>
    <row r="33" spans="1:14" s="558" customFormat="1" outlineLevel="3" x14ac:dyDescent="0.2">
      <c r="F33" s="558" t="s">
        <v>168</v>
      </c>
      <c r="G33" s="102">
        <v>133.73259999999999</v>
      </c>
      <c r="H33" s="84">
        <v>612</v>
      </c>
      <c r="I33" s="84">
        <v>566.28353924036094</v>
      </c>
      <c r="J33" s="84">
        <v>490.19662353081833</v>
      </c>
      <c r="K33" s="84">
        <v>383.74642755952482</v>
      </c>
      <c r="L33" s="84">
        <v>231.74949683756256</v>
      </c>
      <c r="M33" s="84">
        <v>3.8353363191128116</v>
      </c>
      <c r="N33" s="84">
        <v>1</v>
      </c>
    </row>
    <row r="34" spans="1:14" s="558" customFormat="1" outlineLevel="3" x14ac:dyDescent="0.2">
      <c r="F34" s="558" t="s">
        <v>169</v>
      </c>
      <c r="G34" s="102">
        <v>133.73259999999999</v>
      </c>
      <c r="H34" s="84">
        <v>270</v>
      </c>
      <c r="I34" s="84">
        <v>249.79022812751674</v>
      </c>
      <c r="J34" s="84">
        <v>216.18478556492749</v>
      </c>
      <c r="K34" s="84">
        <v>169.18885840231749</v>
      </c>
      <c r="L34" s="84">
        <v>102.10588330340795</v>
      </c>
      <c r="M34" s="84">
        <v>1.5401420659224885</v>
      </c>
      <c r="N34" s="84">
        <v>1</v>
      </c>
    </row>
    <row r="35" spans="1:14" s="558" customFormat="1" outlineLevel="3" x14ac:dyDescent="0.2">
      <c r="F35" s="558" t="s">
        <v>170</v>
      </c>
      <c r="G35" s="102">
        <v>133.73259999999999</v>
      </c>
      <c r="H35" s="84">
        <v>40</v>
      </c>
      <c r="I35" s="84">
        <v>40</v>
      </c>
      <c r="J35" s="84">
        <v>40</v>
      </c>
      <c r="K35" s="84">
        <v>40</v>
      </c>
      <c r="L35" s="84">
        <v>40</v>
      </c>
      <c r="M35" s="84">
        <v>40</v>
      </c>
      <c r="N35" s="84">
        <v>40</v>
      </c>
    </row>
    <row r="36" spans="1:14" s="558" customFormat="1" outlineLevel="3" x14ac:dyDescent="0.2">
      <c r="F36" s="558" t="s">
        <v>171</v>
      </c>
      <c r="G36" s="102">
        <v>133.73259999999999</v>
      </c>
      <c r="H36" s="84">
        <v>1194</v>
      </c>
      <c r="I36" s="84">
        <v>1194</v>
      </c>
      <c r="J36" s="84">
        <v>1194</v>
      </c>
      <c r="K36" s="84">
        <v>1194</v>
      </c>
      <c r="L36" s="84">
        <v>1194</v>
      </c>
      <c r="M36" s="84">
        <v>1194</v>
      </c>
      <c r="N36" s="84">
        <v>1194</v>
      </c>
    </row>
    <row r="37" spans="1:14" s="558" customFormat="1" outlineLevel="3" x14ac:dyDescent="0.2">
      <c r="F37" s="558" t="s">
        <v>165</v>
      </c>
      <c r="G37" s="102">
        <v>133.73259999999999</v>
      </c>
      <c r="H37" s="84">
        <v>557</v>
      </c>
      <c r="I37" s="84">
        <v>272.79244594516945</v>
      </c>
      <c r="J37" s="84">
        <v>1</v>
      </c>
      <c r="K37" s="84">
        <v>1</v>
      </c>
      <c r="L37" s="84">
        <v>1</v>
      </c>
      <c r="M37" s="84">
        <v>1</v>
      </c>
      <c r="N37" s="84">
        <v>1</v>
      </c>
    </row>
    <row r="38" spans="1:14" s="558" customFormat="1" outlineLevel="3" x14ac:dyDescent="0.2">
      <c r="F38" s="558" t="s">
        <v>166</v>
      </c>
      <c r="G38" s="102">
        <v>133.73259999999999</v>
      </c>
      <c r="H38" s="84">
        <v>1529</v>
      </c>
      <c r="I38" s="84">
        <v>1200.8418451228822</v>
      </c>
      <c r="J38" s="84">
        <v>842.7744716614485</v>
      </c>
      <c r="K38" s="84">
        <v>458.98992190271497</v>
      </c>
      <c r="L38" s="84">
        <v>15.140938804098347</v>
      </c>
      <c r="M38" s="84">
        <v>1</v>
      </c>
      <c r="N38" s="84">
        <v>1</v>
      </c>
    </row>
    <row r="39" spans="1:14" s="558" customFormat="1" outlineLevel="3" x14ac:dyDescent="0.2">
      <c r="F39" s="558" t="s">
        <v>489</v>
      </c>
      <c r="G39" s="102">
        <v>133.73259999999999</v>
      </c>
      <c r="H39" s="84">
        <v>5</v>
      </c>
      <c r="I39" s="84">
        <v>5</v>
      </c>
      <c r="J39" s="84">
        <v>5</v>
      </c>
      <c r="K39" s="84">
        <v>5</v>
      </c>
      <c r="L39" s="84">
        <v>5</v>
      </c>
      <c r="M39" s="84">
        <v>5</v>
      </c>
      <c r="N39" s="84">
        <v>5</v>
      </c>
    </row>
    <row r="40" spans="1:14" s="558" customFormat="1" outlineLevel="3" x14ac:dyDescent="0.2">
      <c r="F40" s="558" t="s">
        <v>486</v>
      </c>
      <c r="G40" s="102">
        <v>133.73259999999999</v>
      </c>
      <c r="H40" s="84">
        <v>126</v>
      </c>
      <c r="I40" s="84">
        <v>126</v>
      </c>
      <c r="J40" s="84">
        <v>126</v>
      </c>
      <c r="K40" s="84">
        <v>126</v>
      </c>
      <c r="L40" s="84">
        <v>126</v>
      </c>
      <c r="M40" s="84">
        <v>126</v>
      </c>
      <c r="N40" s="84">
        <v>126</v>
      </c>
    </row>
    <row r="41" spans="1:14" s="558" customFormat="1" outlineLevel="3" x14ac:dyDescent="0.2">
      <c r="F41" s="558" t="s">
        <v>488</v>
      </c>
      <c r="G41" s="102">
        <v>133.73259999999999</v>
      </c>
      <c r="H41" s="84">
        <v>18</v>
      </c>
      <c r="I41" s="84">
        <v>12.251466408337503</v>
      </c>
      <c r="J41" s="84">
        <v>4.5867549527875067</v>
      </c>
      <c r="K41" s="84">
        <v>1</v>
      </c>
      <c r="L41" s="84">
        <v>1</v>
      </c>
      <c r="M41" s="84">
        <v>1</v>
      </c>
      <c r="N41" s="84">
        <v>1</v>
      </c>
    </row>
    <row r="42" spans="1:14" s="558" customFormat="1" outlineLevel="3" x14ac:dyDescent="0.2">
      <c r="F42" s="558" t="s">
        <v>487</v>
      </c>
      <c r="G42" s="102">
        <v>133.73259999999999</v>
      </c>
      <c r="H42" s="84">
        <v>69</v>
      </c>
      <c r="I42" s="84">
        <v>46.653842205743189</v>
      </c>
      <c r="J42" s="84">
        <v>17.062768103112809</v>
      </c>
      <c r="K42" s="84">
        <v>1</v>
      </c>
      <c r="L42" s="84">
        <v>1</v>
      </c>
      <c r="M42" s="84">
        <v>1</v>
      </c>
      <c r="N42" s="84">
        <v>1</v>
      </c>
    </row>
    <row r="43" spans="1:14" s="558" customFormat="1" ht="4.1500000000000004" customHeight="1" outlineLevel="3" x14ac:dyDescent="0.2">
      <c r="H43" s="44"/>
      <c r="I43" s="44"/>
      <c r="J43" s="44"/>
      <c r="K43" s="44"/>
      <c r="L43" s="44"/>
      <c r="M43" s="44"/>
      <c r="N43" s="44"/>
    </row>
    <row r="44" spans="1:14" s="558" customFormat="1" ht="12.75" outlineLevel="3" thickBot="1" x14ac:dyDescent="0.25">
      <c r="F44" s="104" t="s">
        <v>1317</v>
      </c>
      <c r="G44" s="89"/>
      <c r="H44" s="733">
        <v>9279</v>
      </c>
      <c r="I44" s="733">
        <v>7253.9160651499596</v>
      </c>
      <c r="J44" s="733">
        <v>4728.6308275725842</v>
      </c>
      <c r="K44" s="733">
        <v>3130.3946080202577</v>
      </c>
      <c r="L44" s="733">
        <v>2171.4289975481652</v>
      </c>
      <c r="M44" s="733">
        <v>1384.9027007018797</v>
      </c>
      <c r="N44" s="733">
        <v>1376</v>
      </c>
    </row>
    <row r="45" spans="1:14" s="558" customFormat="1" ht="12.75" outlineLevel="2" thickTop="1" x14ac:dyDescent="0.2">
      <c r="H45" s="44"/>
      <c r="I45" s="44"/>
      <c r="J45" s="44"/>
      <c r="K45" s="44"/>
      <c r="L45" s="44"/>
      <c r="M45" s="44"/>
      <c r="N45" s="44"/>
    </row>
    <row r="46" spans="1:14" s="558" customFormat="1" outlineLevel="2" x14ac:dyDescent="0.2">
      <c r="D46" s="79" t="s">
        <v>1194</v>
      </c>
      <c r="G46" s="145" t="s">
        <v>1199</v>
      </c>
      <c r="H46" s="44"/>
      <c r="I46" s="44"/>
      <c r="J46" s="44"/>
      <c r="K46" s="44"/>
      <c r="L46" s="44"/>
      <c r="M46" s="44"/>
      <c r="N46" s="44"/>
    </row>
    <row r="47" spans="1:14" s="558" customFormat="1" ht="4.1500000000000004" customHeight="1" outlineLevel="3" x14ac:dyDescent="0.2">
      <c r="H47" s="44"/>
      <c r="I47" s="44"/>
      <c r="J47" s="44"/>
      <c r="K47" s="44"/>
      <c r="L47" s="44"/>
      <c r="M47" s="44"/>
      <c r="N47" s="44"/>
    </row>
    <row r="48" spans="1:14" s="558" customFormat="1" outlineLevel="3" x14ac:dyDescent="0.2">
      <c r="A48" s="6"/>
      <c r="B48" s="6"/>
      <c r="F48" s="558" t="s">
        <v>164</v>
      </c>
      <c r="G48" s="780"/>
      <c r="H48" s="784"/>
      <c r="I48" s="784"/>
      <c r="J48" s="784"/>
      <c r="K48" s="784"/>
      <c r="L48" s="784"/>
      <c r="M48" s="784"/>
      <c r="N48" s="784"/>
    </row>
    <row r="49" spans="6:14" s="558" customFormat="1" outlineLevel="3" x14ac:dyDescent="0.2">
      <c r="F49" s="558" t="s">
        <v>172</v>
      </c>
      <c r="G49" s="780"/>
      <c r="H49" s="784"/>
      <c r="I49" s="784"/>
      <c r="J49" s="784"/>
      <c r="K49" s="784"/>
      <c r="L49" s="784"/>
      <c r="M49" s="784"/>
      <c r="N49" s="784"/>
    </row>
    <row r="50" spans="6:14" s="558" customFormat="1" outlineLevel="3" x14ac:dyDescent="0.2">
      <c r="F50" s="558" t="s">
        <v>173</v>
      </c>
      <c r="G50" s="780"/>
      <c r="H50" s="784"/>
      <c r="I50" s="784"/>
      <c r="J50" s="784"/>
      <c r="K50" s="784"/>
      <c r="L50" s="784"/>
      <c r="M50" s="784"/>
      <c r="N50" s="784"/>
    </row>
    <row r="51" spans="6:14" s="558" customFormat="1" outlineLevel="3" x14ac:dyDescent="0.2">
      <c r="F51" s="558" t="s">
        <v>193</v>
      </c>
      <c r="G51" s="780"/>
      <c r="H51" s="784"/>
      <c r="I51" s="784"/>
      <c r="J51" s="784"/>
      <c r="K51" s="784"/>
      <c r="L51" s="784"/>
      <c r="M51" s="784"/>
      <c r="N51" s="784"/>
    </row>
    <row r="52" spans="6:14" s="558" customFormat="1" outlineLevel="3" x14ac:dyDescent="0.2">
      <c r="F52" s="558" t="s">
        <v>167</v>
      </c>
      <c r="G52" s="780"/>
      <c r="H52" s="784"/>
      <c r="I52" s="784"/>
      <c r="J52" s="784"/>
      <c r="K52" s="784"/>
      <c r="L52" s="784"/>
      <c r="M52" s="784"/>
      <c r="N52" s="784"/>
    </row>
    <row r="53" spans="6:14" s="558" customFormat="1" outlineLevel="3" x14ac:dyDescent="0.2">
      <c r="F53" s="558" t="s">
        <v>168</v>
      </c>
      <c r="G53" s="780"/>
      <c r="H53" s="784"/>
      <c r="I53" s="784"/>
      <c r="J53" s="784"/>
      <c r="K53" s="784"/>
      <c r="L53" s="784"/>
      <c r="M53" s="784"/>
      <c r="N53" s="784"/>
    </row>
    <row r="54" spans="6:14" s="558" customFormat="1" outlineLevel="3" x14ac:dyDescent="0.2">
      <c r="F54" s="558" t="s">
        <v>169</v>
      </c>
      <c r="G54" s="780"/>
      <c r="H54" s="784"/>
      <c r="I54" s="784"/>
      <c r="J54" s="784"/>
      <c r="K54" s="784"/>
      <c r="L54" s="784"/>
      <c r="M54" s="784"/>
      <c r="N54" s="784"/>
    </row>
    <row r="55" spans="6:14" s="558" customFormat="1" outlineLevel="3" x14ac:dyDescent="0.2">
      <c r="F55" s="558" t="s">
        <v>170</v>
      </c>
      <c r="G55" s="780"/>
      <c r="H55" s="784"/>
      <c r="I55" s="784"/>
      <c r="J55" s="784"/>
      <c r="K55" s="784"/>
      <c r="L55" s="784"/>
      <c r="M55" s="784"/>
      <c r="N55" s="784"/>
    </row>
    <row r="56" spans="6:14" s="558" customFormat="1" outlineLevel="3" x14ac:dyDescent="0.2">
      <c r="F56" s="558" t="s">
        <v>171</v>
      </c>
      <c r="G56" s="780"/>
      <c r="H56" s="784"/>
      <c r="I56" s="784"/>
      <c r="J56" s="784"/>
      <c r="K56" s="784"/>
      <c r="L56" s="784"/>
      <c r="M56" s="784"/>
      <c r="N56" s="784"/>
    </row>
    <row r="57" spans="6:14" s="558" customFormat="1" outlineLevel="3" x14ac:dyDescent="0.2">
      <c r="F57" s="558" t="s">
        <v>165</v>
      </c>
      <c r="G57" s="780"/>
      <c r="H57" s="784"/>
      <c r="I57" s="784"/>
      <c r="J57" s="784"/>
      <c r="K57" s="784"/>
      <c r="L57" s="784"/>
      <c r="M57" s="784"/>
      <c r="N57" s="784"/>
    </row>
    <row r="58" spans="6:14" s="558" customFormat="1" outlineLevel="3" x14ac:dyDescent="0.2">
      <c r="F58" s="558" t="s">
        <v>166</v>
      </c>
      <c r="G58" s="780"/>
      <c r="H58" s="784"/>
      <c r="I58" s="784"/>
      <c r="J58" s="784"/>
      <c r="K58" s="784"/>
      <c r="L58" s="784"/>
      <c r="M58" s="784"/>
      <c r="N58" s="784"/>
    </row>
    <row r="59" spans="6:14" s="558" customFormat="1" outlineLevel="3" x14ac:dyDescent="0.2">
      <c r="F59" s="558" t="s">
        <v>489</v>
      </c>
      <c r="G59" s="780"/>
      <c r="H59" s="784"/>
      <c r="I59" s="784"/>
      <c r="J59" s="784"/>
      <c r="K59" s="784"/>
      <c r="L59" s="784"/>
      <c r="M59" s="784"/>
      <c r="N59" s="784"/>
    </row>
    <row r="60" spans="6:14" s="558" customFormat="1" outlineLevel="3" x14ac:dyDescent="0.2">
      <c r="F60" s="558" t="s">
        <v>486</v>
      </c>
      <c r="G60" s="780"/>
      <c r="H60" s="784"/>
      <c r="I60" s="784"/>
      <c r="J60" s="784"/>
      <c r="K60" s="784"/>
      <c r="L60" s="784"/>
      <c r="M60" s="784"/>
      <c r="N60" s="784"/>
    </row>
    <row r="61" spans="6:14" s="558" customFormat="1" outlineLevel="3" x14ac:dyDescent="0.2">
      <c r="F61" s="558" t="s">
        <v>488</v>
      </c>
      <c r="G61" s="780"/>
      <c r="H61" s="784"/>
      <c r="I61" s="784"/>
      <c r="J61" s="784"/>
      <c r="K61" s="784"/>
      <c r="L61" s="784"/>
      <c r="M61" s="784"/>
      <c r="N61" s="784"/>
    </row>
    <row r="62" spans="6:14" s="558" customFormat="1" outlineLevel="3" x14ac:dyDescent="0.2">
      <c r="F62" s="558" t="s">
        <v>487</v>
      </c>
      <c r="G62" s="780"/>
      <c r="H62" s="784"/>
      <c r="I62" s="784"/>
      <c r="J62" s="784"/>
      <c r="K62" s="784"/>
      <c r="L62" s="784"/>
      <c r="M62" s="784"/>
      <c r="N62" s="784"/>
    </row>
    <row r="63" spans="6:14" s="558" customFormat="1" ht="4.1500000000000004" customHeight="1" outlineLevel="3" x14ac:dyDescent="0.2">
      <c r="H63" s="44"/>
      <c r="I63" s="44"/>
      <c r="J63" s="44"/>
      <c r="K63" s="44"/>
      <c r="L63" s="44"/>
      <c r="M63" s="44"/>
      <c r="N63" s="44"/>
    </row>
    <row r="64" spans="6:14" s="558" customFormat="1" ht="12.75" outlineLevel="3" thickBot="1" x14ac:dyDescent="0.25">
      <c r="F64" s="104" t="s">
        <v>1318</v>
      </c>
      <c r="G64" s="89"/>
      <c r="H64" s="733">
        <v>2929.07</v>
      </c>
      <c r="I64" s="733">
        <v>2394.397787650541</v>
      </c>
      <c r="J64" s="733">
        <v>1735.9314364315512</v>
      </c>
      <c r="K64" s="733">
        <v>1238.5139223442209</v>
      </c>
      <c r="L64" s="733">
        <v>815.08995780617533</v>
      </c>
      <c r="M64" s="733">
        <v>413.44966119516499</v>
      </c>
      <c r="N64" s="733">
        <v>354.25285849785126</v>
      </c>
    </row>
    <row r="65" spans="1:14" s="558" customFormat="1" ht="12.75" outlineLevel="2" thickTop="1" x14ac:dyDescent="0.2"/>
    <row r="66" spans="1:14" s="558" customFormat="1" outlineLevel="2" x14ac:dyDescent="0.2">
      <c r="D66" s="79" t="s">
        <v>1193</v>
      </c>
      <c r="G66" s="145" t="s">
        <v>1199</v>
      </c>
    </row>
    <row r="67" spans="1:14" s="558" customFormat="1" ht="4.1500000000000004" customHeight="1" outlineLevel="3" x14ac:dyDescent="0.2"/>
    <row r="68" spans="1:14" s="558" customFormat="1" outlineLevel="3" x14ac:dyDescent="0.2">
      <c r="A68" s="6"/>
      <c r="B68" s="6"/>
      <c r="F68" s="558" t="s">
        <v>164</v>
      </c>
      <c r="G68" s="780"/>
      <c r="H68" s="784"/>
      <c r="I68" s="784"/>
      <c r="J68" s="784"/>
      <c r="K68" s="784"/>
      <c r="L68" s="784"/>
      <c r="M68" s="784"/>
      <c r="N68" s="784"/>
    </row>
    <row r="69" spans="1:14" s="558" customFormat="1" outlineLevel="3" x14ac:dyDescent="0.2">
      <c r="F69" s="558" t="s">
        <v>172</v>
      </c>
      <c r="G69" s="780"/>
      <c r="H69" s="784"/>
      <c r="I69" s="784"/>
      <c r="J69" s="784"/>
      <c r="K69" s="784"/>
      <c r="L69" s="784"/>
      <c r="M69" s="784"/>
      <c r="N69" s="784"/>
    </row>
    <row r="70" spans="1:14" s="558" customFormat="1" outlineLevel="3" x14ac:dyDescent="0.2">
      <c r="F70" s="558" t="s">
        <v>173</v>
      </c>
      <c r="G70" s="780"/>
      <c r="H70" s="784"/>
      <c r="I70" s="784"/>
      <c r="J70" s="784"/>
      <c r="K70" s="784"/>
      <c r="L70" s="784"/>
      <c r="M70" s="784"/>
      <c r="N70" s="784"/>
    </row>
    <row r="71" spans="1:14" s="558" customFormat="1" outlineLevel="3" x14ac:dyDescent="0.2">
      <c r="F71" s="558" t="s">
        <v>193</v>
      </c>
      <c r="G71" s="780"/>
      <c r="H71" s="784"/>
      <c r="I71" s="784"/>
      <c r="J71" s="784"/>
      <c r="K71" s="784"/>
      <c r="L71" s="784"/>
      <c r="M71" s="784"/>
      <c r="N71" s="784"/>
    </row>
    <row r="72" spans="1:14" s="558" customFormat="1" outlineLevel="3" x14ac:dyDescent="0.2">
      <c r="F72" s="558" t="s">
        <v>167</v>
      </c>
      <c r="G72" s="780"/>
      <c r="H72" s="784"/>
      <c r="I72" s="784"/>
      <c r="J72" s="784"/>
      <c r="K72" s="784"/>
      <c r="L72" s="784"/>
      <c r="M72" s="784"/>
      <c r="N72" s="784"/>
    </row>
    <row r="73" spans="1:14" s="558" customFormat="1" outlineLevel="3" x14ac:dyDescent="0.2">
      <c r="F73" s="558" t="s">
        <v>168</v>
      </c>
      <c r="G73" s="780"/>
      <c r="H73" s="784"/>
      <c r="I73" s="784"/>
      <c r="J73" s="784"/>
      <c r="K73" s="784"/>
      <c r="L73" s="784"/>
      <c r="M73" s="784"/>
      <c r="N73" s="784"/>
    </row>
    <row r="74" spans="1:14" s="558" customFormat="1" outlineLevel="3" x14ac:dyDescent="0.2">
      <c r="F74" s="558" t="s">
        <v>169</v>
      </c>
      <c r="G74" s="780"/>
      <c r="H74" s="784"/>
      <c r="I74" s="784"/>
      <c r="J74" s="784"/>
      <c r="K74" s="784"/>
      <c r="L74" s="784"/>
      <c r="M74" s="784"/>
      <c r="N74" s="784"/>
    </row>
    <row r="75" spans="1:14" s="558" customFormat="1" outlineLevel="3" x14ac:dyDescent="0.2">
      <c r="F75" s="558" t="s">
        <v>170</v>
      </c>
      <c r="G75" s="780"/>
      <c r="H75" s="784"/>
      <c r="I75" s="784"/>
      <c r="J75" s="784"/>
      <c r="K75" s="784"/>
      <c r="L75" s="784"/>
      <c r="M75" s="784"/>
      <c r="N75" s="784"/>
    </row>
    <row r="76" spans="1:14" s="558" customFormat="1" outlineLevel="3" x14ac:dyDescent="0.2">
      <c r="F76" s="558" t="s">
        <v>171</v>
      </c>
      <c r="G76" s="780"/>
      <c r="H76" s="784"/>
      <c r="I76" s="784"/>
      <c r="J76" s="784"/>
      <c r="K76" s="784"/>
      <c r="L76" s="784"/>
      <c r="M76" s="784"/>
      <c r="N76" s="784"/>
    </row>
    <row r="77" spans="1:14" s="558" customFormat="1" outlineLevel="3" x14ac:dyDescent="0.2">
      <c r="F77" s="558" t="s">
        <v>165</v>
      </c>
      <c r="G77" s="780"/>
      <c r="H77" s="784"/>
      <c r="I77" s="784"/>
      <c r="J77" s="784"/>
      <c r="K77" s="784"/>
      <c r="L77" s="784"/>
      <c r="M77" s="784"/>
      <c r="N77" s="784"/>
    </row>
    <row r="78" spans="1:14" s="558" customFormat="1" outlineLevel="3" x14ac:dyDescent="0.2">
      <c r="F78" s="558" t="s">
        <v>166</v>
      </c>
      <c r="G78" s="780"/>
      <c r="H78" s="784"/>
      <c r="I78" s="784"/>
      <c r="J78" s="784"/>
      <c r="K78" s="784"/>
      <c r="L78" s="784"/>
      <c r="M78" s="784"/>
      <c r="N78" s="784"/>
    </row>
    <row r="79" spans="1:14" s="558" customFormat="1" outlineLevel="3" x14ac:dyDescent="0.2">
      <c r="F79" s="558" t="s">
        <v>489</v>
      </c>
      <c r="G79" s="780"/>
      <c r="H79" s="784"/>
      <c r="I79" s="784"/>
      <c r="J79" s="784"/>
      <c r="K79" s="784"/>
      <c r="L79" s="784"/>
      <c r="M79" s="784"/>
      <c r="N79" s="784"/>
    </row>
    <row r="80" spans="1:14" s="558" customFormat="1" outlineLevel="3" x14ac:dyDescent="0.2">
      <c r="F80" s="558" t="s">
        <v>486</v>
      </c>
      <c r="G80" s="780"/>
      <c r="H80" s="784"/>
      <c r="I80" s="784"/>
      <c r="J80" s="784"/>
      <c r="K80" s="784"/>
      <c r="L80" s="784"/>
      <c r="M80" s="784"/>
      <c r="N80" s="784"/>
    </row>
    <row r="81" spans="1:14" s="558" customFormat="1" outlineLevel="3" x14ac:dyDescent="0.2">
      <c r="F81" s="558" t="s">
        <v>488</v>
      </c>
      <c r="G81" s="780"/>
      <c r="H81" s="784"/>
      <c r="I81" s="784"/>
      <c r="J81" s="784"/>
      <c r="K81" s="784"/>
      <c r="L81" s="784"/>
      <c r="M81" s="784"/>
      <c r="N81" s="784"/>
    </row>
    <row r="82" spans="1:14" s="558" customFormat="1" outlineLevel="3" x14ac:dyDescent="0.2">
      <c r="F82" s="558" t="s">
        <v>487</v>
      </c>
      <c r="G82" s="780"/>
      <c r="H82" s="784"/>
      <c r="I82" s="784"/>
      <c r="J82" s="784"/>
      <c r="K82" s="784"/>
      <c r="L82" s="784"/>
      <c r="M82" s="784"/>
      <c r="N82" s="784"/>
    </row>
    <row r="83" spans="1:14" s="558" customFormat="1" ht="4.1500000000000004" customHeight="1" outlineLevel="3" x14ac:dyDescent="0.2"/>
    <row r="84" spans="1:14" s="558" customFormat="1" ht="12.75" outlineLevel="3" thickBot="1" x14ac:dyDescent="0.25">
      <c r="F84" s="104" t="s">
        <v>1319</v>
      </c>
      <c r="G84" s="89"/>
      <c r="H84" s="105">
        <v>13028.23</v>
      </c>
      <c r="I84" s="105">
        <v>10706.610303047248</v>
      </c>
      <c r="J84" s="105">
        <v>7768.7792008765427</v>
      </c>
      <c r="K84" s="105">
        <v>5743.9332919178332</v>
      </c>
      <c r="L84" s="105">
        <v>4652.5218078462058</v>
      </c>
      <c r="M84" s="105">
        <v>3258.9365329637085</v>
      </c>
      <c r="N84" s="105">
        <v>2757.7387515431719</v>
      </c>
    </row>
    <row r="85" spans="1:14" s="558" customFormat="1" ht="12.75" outlineLevel="2" thickTop="1" x14ac:dyDescent="0.2"/>
    <row r="86" spans="1:14" s="558" customFormat="1" outlineLevel="1" x14ac:dyDescent="0.2"/>
    <row r="87" spans="1:14" s="558" customFormat="1" ht="12.75" outlineLevel="1" x14ac:dyDescent="0.2">
      <c r="C87" s="759" t="s">
        <v>1198</v>
      </c>
    </row>
    <row r="88" spans="1:14" s="558" customFormat="1" outlineLevel="2" x14ac:dyDescent="0.2">
      <c r="E88" s="55" t="s">
        <v>1195</v>
      </c>
      <c r="G88" s="145" t="s">
        <v>186</v>
      </c>
    </row>
    <row r="89" spans="1:14" s="558" customFormat="1" ht="4.1500000000000004" customHeight="1" outlineLevel="3" x14ac:dyDescent="0.2"/>
    <row r="90" spans="1:14" s="558" customFormat="1" outlineLevel="3" x14ac:dyDescent="0.2">
      <c r="A90" s="6"/>
      <c r="B90" s="6"/>
      <c r="F90" s="558" t="s">
        <v>164</v>
      </c>
      <c r="G90" s="149">
        <v>3.40215861098076E-2</v>
      </c>
      <c r="H90" s="84">
        <v>290</v>
      </c>
      <c r="I90" s="84">
        <v>193.84649162335086</v>
      </c>
      <c r="J90" s="84">
        <v>67.994382793509089</v>
      </c>
      <c r="K90" s="84">
        <v>3.40215861098076E-2</v>
      </c>
      <c r="L90" s="84">
        <v>3.40215861098076E-2</v>
      </c>
      <c r="M90" s="84">
        <v>3.40215861098076E-2</v>
      </c>
      <c r="N90" s="84">
        <v>3.40215861098076E-2</v>
      </c>
    </row>
    <row r="91" spans="1:14" s="558" customFormat="1" outlineLevel="3" x14ac:dyDescent="0.2">
      <c r="F91" s="558" t="s">
        <v>172</v>
      </c>
      <c r="G91" s="149">
        <v>4.9480126834304257E-2</v>
      </c>
      <c r="H91" s="84">
        <v>671</v>
      </c>
      <c r="I91" s="84">
        <v>438.49875554689072</v>
      </c>
      <c r="J91" s="84">
        <v>140.87596149929769</v>
      </c>
      <c r="K91" s="84">
        <v>4.9480126834304257E-2</v>
      </c>
      <c r="L91" s="84">
        <v>4.9480126834304257E-2</v>
      </c>
      <c r="M91" s="84">
        <v>4.9480126834304257E-2</v>
      </c>
      <c r="N91" s="84">
        <v>4.9480126834304257E-2</v>
      </c>
    </row>
    <row r="92" spans="1:14" s="558" customFormat="1" outlineLevel="3" x14ac:dyDescent="0.2">
      <c r="F92" s="558" t="s">
        <v>173</v>
      </c>
      <c r="G92" s="149">
        <v>4.5624683864441073E-2</v>
      </c>
      <c r="H92" s="84">
        <v>2706</v>
      </c>
      <c r="I92" s="84">
        <v>1804.9846635081342</v>
      </c>
      <c r="J92" s="84">
        <v>628.16356363917748</v>
      </c>
      <c r="K92" s="84">
        <v>4.5624683864441073E-2</v>
      </c>
      <c r="L92" s="84">
        <v>4.5624683864441073E-2</v>
      </c>
      <c r="M92" s="84">
        <v>4.5624683864441073E-2</v>
      </c>
      <c r="N92" s="84">
        <v>4.5624683864441073E-2</v>
      </c>
    </row>
    <row r="93" spans="1:14" s="558" customFormat="1" outlineLevel="3" x14ac:dyDescent="0.2">
      <c r="F93" s="558" t="s">
        <v>193</v>
      </c>
      <c r="G93" s="149">
        <v>7.2440944881889763E-2</v>
      </c>
      <c r="H93" s="84">
        <v>322</v>
      </c>
      <c r="I93" s="84">
        <v>297.95019606862087</v>
      </c>
      <c r="J93" s="84">
        <v>257.92089400914529</v>
      </c>
      <c r="K93" s="84">
        <v>201.9156887592849</v>
      </c>
      <c r="L93" s="84">
        <v>121.94572011915898</v>
      </c>
      <c r="M93" s="84">
        <v>2.0314708289407806</v>
      </c>
      <c r="N93" s="84">
        <v>7.2440944881889763E-2</v>
      </c>
    </row>
    <row r="94" spans="1:14" s="558" customFormat="1" outlineLevel="3" x14ac:dyDescent="0.2">
      <c r="F94" s="558" t="s">
        <v>167</v>
      </c>
      <c r="G94" s="149">
        <v>6.4616755793226385E-2</v>
      </c>
      <c r="H94" s="84">
        <v>870</v>
      </c>
      <c r="I94" s="84">
        <v>805.02259135295401</v>
      </c>
      <c r="J94" s="84">
        <v>696.87062181836006</v>
      </c>
      <c r="K94" s="84">
        <v>545.55371139641602</v>
      </c>
      <c r="L94" s="84">
        <v>329.48695848393709</v>
      </c>
      <c r="M94" s="84">
        <v>5.4957514879036564</v>
      </c>
      <c r="N94" s="84">
        <v>6.4616755793226385E-2</v>
      </c>
    </row>
    <row r="95" spans="1:14" s="558" customFormat="1" outlineLevel="3" x14ac:dyDescent="0.2">
      <c r="F95" s="558" t="s">
        <v>168</v>
      </c>
      <c r="G95" s="149">
        <v>7.2289156626506021E-2</v>
      </c>
      <c r="H95" s="84">
        <v>612</v>
      </c>
      <c r="I95" s="84">
        <v>566.28353924036094</v>
      </c>
      <c r="J95" s="84">
        <v>490.19662353081833</v>
      </c>
      <c r="K95" s="84">
        <v>383.74642755952482</v>
      </c>
      <c r="L95" s="84">
        <v>231.74949683756256</v>
      </c>
      <c r="M95" s="84">
        <v>3.8353363191128116</v>
      </c>
      <c r="N95" s="84">
        <v>7.2289156626506021E-2</v>
      </c>
    </row>
    <row r="96" spans="1:14" s="558" customFormat="1" outlineLevel="3" x14ac:dyDescent="0.2">
      <c r="F96" s="558" t="s">
        <v>169</v>
      </c>
      <c r="G96" s="149">
        <v>0.10452961672473868</v>
      </c>
      <c r="H96" s="84">
        <v>270</v>
      </c>
      <c r="I96" s="84">
        <v>249.79022812751674</v>
      </c>
      <c r="J96" s="84">
        <v>216.18478556492749</v>
      </c>
      <c r="K96" s="84">
        <v>169.18885840231749</v>
      </c>
      <c r="L96" s="84">
        <v>102.10588330340795</v>
      </c>
      <c r="M96" s="84">
        <v>1.5401420659224885</v>
      </c>
      <c r="N96" s="84">
        <v>0.10452961672473868</v>
      </c>
    </row>
    <row r="97" spans="1:14" s="558" customFormat="1" outlineLevel="3" x14ac:dyDescent="0.2">
      <c r="F97" s="558" t="s">
        <v>170</v>
      </c>
      <c r="G97" s="149">
        <v>3.7453183520599252E-2</v>
      </c>
      <c r="H97" s="84">
        <v>40</v>
      </c>
      <c r="I97" s="84">
        <v>40</v>
      </c>
      <c r="J97" s="84">
        <v>40</v>
      </c>
      <c r="K97" s="84">
        <v>40</v>
      </c>
      <c r="L97" s="84">
        <v>40</v>
      </c>
      <c r="M97" s="84">
        <v>40</v>
      </c>
      <c r="N97" s="84">
        <v>40</v>
      </c>
    </row>
    <row r="98" spans="1:14" s="558" customFormat="1" outlineLevel="3" x14ac:dyDescent="0.2">
      <c r="F98" s="558" t="s">
        <v>171</v>
      </c>
      <c r="G98" s="149">
        <v>5.9604632587859425E-2</v>
      </c>
      <c r="H98" s="84">
        <v>1194</v>
      </c>
      <c r="I98" s="84">
        <v>1194</v>
      </c>
      <c r="J98" s="84">
        <v>1194</v>
      </c>
      <c r="K98" s="84">
        <v>1194</v>
      </c>
      <c r="L98" s="84">
        <v>1194</v>
      </c>
      <c r="M98" s="84">
        <v>1194</v>
      </c>
      <c r="N98" s="84">
        <v>1194</v>
      </c>
    </row>
    <row r="99" spans="1:14" s="558" customFormat="1" outlineLevel="3" x14ac:dyDescent="0.2">
      <c r="F99" s="558" t="s">
        <v>165</v>
      </c>
      <c r="G99" s="149">
        <v>5.1289134438305711E-2</v>
      </c>
      <c r="H99" s="84">
        <v>557</v>
      </c>
      <c r="I99" s="84">
        <v>272.79244594516945</v>
      </c>
      <c r="J99" s="84">
        <v>5.1289134438305711E-2</v>
      </c>
      <c r="K99" s="84">
        <v>5.1289134438305711E-2</v>
      </c>
      <c r="L99" s="84">
        <v>5.1289134438305711E-2</v>
      </c>
      <c r="M99" s="84">
        <v>5.1289134438305711E-2</v>
      </c>
      <c r="N99" s="84">
        <v>5.1289134438305711E-2</v>
      </c>
    </row>
    <row r="100" spans="1:14" s="558" customFormat="1" outlineLevel="3" x14ac:dyDescent="0.2">
      <c r="F100" s="558" t="s">
        <v>166</v>
      </c>
      <c r="G100" s="149">
        <v>0.13495145631067962</v>
      </c>
      <c r="H100" s="84">
        <v>1529</v>
      </c>
      <c r="I100" s="84">
        <v>1200.8418451228822</v>
      </c>
      <c r="J100" s="84">
        <v>842.7744716614485</v>
      </c>
      <c r="K100" s="84">
        <v>458.98992190271497</v>
      </c>
      <c r="L100" s="84">
        <v>15.140938804098347</v>
      </c>
      <c r="M100" s="84">
        <v>0.13495145631067962</v>
      </c>
      <c r="N100" s="84">
        <v>0.13495145631067962</v>
      </c>
    </row>
    <row r="101" spans="1:14" s="558" customFormat="1" outlineLevel="3" x14ac:dyDescent="0.2">
      <c r="F101" s="558" t="s">
        <v>489</v>
      </c>
      <c r="G101" s="149">
        <v>1.8867924528301886E-2</v>
      </c>
      <c r="H101" s="84">
        <v>5</v>
      </c>
      <c r="I101" s="84">
        <v>5</v>
      </c>
      <c r="J101" s="84">
        <v>5</v>
      </c>
      <c r="K101" s="84">
        <v>5</v>
      </c>
      <c r="L101" s="84">
        <v>5</v>
      </c>
      <c r="M101" s="84">
        <v>5</v>
      </c>
      <c r="N101" s="84">
        <v>5</v>
      </c>
    </row>
    <row r="102" spans="1:14" s="558" customFormat="1" outlineLevel="3" x14ac:dyDescent="0.2">
      <c r="F102" s="558" t="s">
        <v>486</v>
      </c>
      <c r="G102" s="149">
        <v>2.930914166085136E-2</v>
      </c>
      <c r="H102" s="84">
        <v>126</v>
      </c>
      <c r="I102" s="84">
        <v>126</v>
      </c>
      <c r="J102" s="84">
        <v>126</v>
      </c>
      <c r="K102" s="84">
        <v>126</v>
      </c>
      <c r="L102" s="84">
        <v>126</v>
      </c>
      <c r="M102" s="84">
        <v>126</v>
      </c>
      <c r="N102" s="84">
        <v>126</v>
      </c>
    </row>
    <row r="103" spans="1:14" s="558" customFormat="1" outlineLevel="3" x14ac:dyDescent="0.2">
      <c r="F103" s="558" t="s">
        <v>488</v>
      </c>
      <c r="G103" s="149">
        <v>5.1873198847262249E-2</v>
      </c>
      <c r="H103" s="84">
        <v>18</v>
      </c>
      <c r="I103" s="84">
        <v>12.251466408337503</v>
      </c>
      <c r="J103" s="84">
        <v>4.5867549527875067</v>
      </c>
      <c r="K103" s="84">
        <v>5.1873198847262249E-2</v>
      </c>
      <c r="L103" s="84">
        <v>5.1873198847262249E-2</v>
      </c>
      <c r="M103" s="84">
        <v>5.1873198847262249E-2</v>
      </c>
      <c r="N103" s="84">
        <v>5.1873198847262249E-2</v>
      </c>
    </row>
    <row r="104" spans="1:14" s="558" customFormat="1" outlineLevel="3" x14ac:dyDescent="0.2">
      <c r="F104" s="558" t="s">
        <v>487</v>
      </c>
      <c r="G104" s="149">
        <v>5.1685393258426963E-2</v>
      </c>
      <c r="H104" s="84">
        <v>69</v>
      </c>
      <c r="I104" s="84">
        <v>46.653842205743189</v>
      </c>
      <c r="J104" s="84">
        <v>17.062768103112809</v>
      </c>
      <c r="K104" s="84">
        <v>5.1685393258426963E-2</v>
      </c>
      <c r="L104" s="84">
        <v>5.1685393258426963E-2</v>
      </c>
      <c r="M104" s="84">
        <v>5.1685393258426963E-2</v>
      </c>
      <c r="N104" s="84">
        <v>5.1685393258426963E-2</v>
      </c>
    </row>
    <row r="105" spans="1:14" s="558" customFormat="1" ht="4.1500000000000004" customHeight="1" outlineLevel="3" x14ac:dyDescent="0.2">
      <c r="H105" s="44"/>
      <c r="I105" s="44"/>
      <c r="J105" s="44"/>
      <c r="K105" s="44"/>
      <c r="L105" s="44"/>
      <c r="M105" s="44"/>
      <c r="N105" s="44"/>
    </row>
    <row r="106" spans="1:14" s="558" customFormat="1" ht="12.75" outlineLevel="3" thickBot="1" x14ac:dyDescent="0.25">
      <c r="F106" s="104" t="s">
        <v>1317</v>
      </c>
      <c r="G106" s="89"/>
      <c r="H106" s="733">
        <v>9279</v>
      </c>
      <c r="I106" s="733">
        <v>7253.9160651499596</v>
      </c>
      <c r="J106" s="733">
        <v>4727.6821167070229</v>
      </c>
      <c r="K106" s="733">
        <v>3124.678582143611</v>
      </c>
      <c r="L106" s="733">
        <v>2165.7129716715176</v>
      </c>
      <c r="M106" s="733">
        <v>1378.3216262815431</v>
      </c>
      <c r="N106" s="733">
        <v>1365.7328020536897</v>
      </c>
    </row>
    <row r="107" spans="1:14" s="558" customFormat="1" ht="12.75" outlineLevel="2" thickTop="1" x14ac:dyDescent="0.2">
      <c r="H107" s="44"/>
      <c r="I107" s="44"/>
      <c r="J107" s="44"/>
      <c r="K107" s="44"/>
      <c r="L107" s="44"/>
      <c r="M107" s="44"/>
      <c r="N107" s="44"/>
    </row>
    <row r="108" spans="1:14" s="558" customFormat="1" outlineLevel="2" x14ac:dyDescent="0.2">
      <c r="E108" s="55" t="s">
        <v>1194</v>
      </c>
      <c r="G108" s="145" t="s">
        <v>186</v>
      </c>
      <c r="H108" s="44"/>
      <c r="I108" s="44"/>
      <c r="J108" s="44"/>
      <c r="K108" s="44"/>
      <c r="L108" s="44"/>
      <c r="M108" s="44"/>
      <c r="N108" s="44"/>
    </row>
    <row r="109" spans="1:14" s="558" customFormat="1" ht="4.1500000000000004" customHeight="1" outlineLevel="3" x14ac:dyDescent="0.2">
      <c r="H109" s="44"/>
      <c r="I109" s="44"/>
      <c r="J109" s="44"/>
      <c r="K109" s="44"/>
      <c r="L109" s="44"/>
      <c r="M109" s="44"/>
      <c r="N109" s="44"/>
    </row>
    <row r="110" spans="1:14" s="558" customFormat="1" outlineLevel="3" x14ac:dyDescent="0.2">
      <c r="A110" s="6"/>
      <c r="B110" s="6"/>
      <c r="F110" s="558" t="s">
        <v>164</v>
      </c>
      <c r="G110" s="149">
        <v>1.1966213045518537E-2</v>
      </c>
      <c r="H110" s="84">
        <v>102</v>
      </c>
      <c r="I110" s="84">
        <v>68.180490157178582</v>
      </c>
      <c r="J110" s="84">
        <v>23.915265672199755</v>
      </c>
      <c r="K110" s="84">
        <v>1.1966213045518537E-2</v>
      </c>
      <c r="L110" s="84">
        <v>1.1966213045518537E-2</v>
      </c>
      <c r="M110" s="84">
        <v>1.1966213045518537E-2</v>
      </c>
      <c r="N110" s="84">
        <v>1.1966213045518537E-2</v>
      </c>
    </row>
    <row r="111" spans="1:14" s="558" customFormat="1" outlineLevel="3" x14ac:dyDescent="0.2">
      <c r="F111" s="558" t="s">
        <v>172</v>
      </c>
      <c r="G111" s="149">
        <v>7.0053830838433745E-3</v>
      </c>
      <c r="H111" s="84">
        <v>95</v>
      </c>
      <c r="I111" s="84">
        <v>62.082536180260234</v>
      </c>
      <c r="J111" s="84">
        <v>19.945180838201608</v>
      </c>
      <c r="K111" s="84">
        <v>7.0053830838433745E-3</v>
      </c>
      <c r="L111" s="84">
        <v>7.0053830838433745E-3</v>
      </c>
      <c r="M111" s="84">
        <v>7.0053830838433745E-3</v>
      </c>
      <c r="N111" s="84">
        <v>7.0053830838433745E-3</v>
      </c>
    </row>
    <row r="112" spans="1:14" s="558" customFormat="1" outlineLevel="3" x14ac:dyDescent="0.2">
      <c r="F112" s="558" t="s">
        <v>173</v>
      </c>
      <c r="G112" s="149">
        <v>8.244815376833586E-3</v>
      </c>
      <c r="H112" s="84">
        <v>489</v>
      </c>
      <c r="I112" s="84">
        <v>326.17793808406412</v>
      </c>
      <c r="J112" s="84">
        <v>113.51514509222386</v>
      </c>
      <c r="K112" s="84">
        <v>8.244815376833586E-3</v>
      </c>
      <c r="L112" s="84">
        <v>8.244815376833586E-3</v>
      </c>
      <c r="M112" s="84">
        <v>8.244815376833586E-3</v>
      </c>
      <c r="N112" s="84">
        <v>8.244815376833586E-3</v>
      </c>
    </row>
    <row r="113" spans="5:14" s="558" customFormat="1" outlineLevel="3" x14ac:dyDescent="0.2">
      <c r="F113" s="558" t="s">
        <v>193</v>
      </c>
      <c r="G113" s="149">
        <v>2.8571428571428571E-2</v>
      </c>
      <c r="H113" s="84">
        <v>127</v>
      </c>
      <c r="I113" s="84">
        <v>117.51451832520139</v>
      </c>
      <c r="J113" s="84">
        <v>101.72656378621569</v>
      </c>
      <c r="K113" s="84">
        <v>79.637554262202428</v>
      </c>
      <c r="L113" s="84">
        <v>48.096603897929164</v>
      </c>
      <c r="M113" s="84">
        <v>0.80123228346422093</v>
      </c>
      <c r="N113" s="84">
        <v>2.8571428571428571E-2</v>
      </c>
    </row>
    <row r="114" spans="5:14" s="558" customFormat="1" outlineLevel="3" x14ac:dyDescent="0.2">
      <c r="F114" s="558" t="s">
        <v>167</v>
      </c>
      <c r="G114" s="149">
        <v>2.9783125371360665E-2</v>
      </c>
      <c r="H114" s="84">
        <v>401</v>
      </c>
      <c r="I114" s="84">
        <v>371.05064268107418</v>
      </c>
      <c r="J114" s="84">
        <v>321.20128660823258</v>
      </c>
      <c r="K114" s="84">
        <v>251.45636582754346</v>
      </c>
      <c r="L114" s="84">
        <v>151.86697741615947</v>
      </c>
      <c r="M114" s="84">
        <v>2.5330992490222597</v>
      </c>
      <c r="N114" s="84">
        <v>2.9783125371360665E-2</v>
      </c>
    </row>
    <row r="115" spans="5:14" s="558" customFormat="1" outlineLevel="3" x14ac:dyDescent="0.2">
      <c r="F115" s="558" t="s">
        <v>168</v>
      </c>
      <c r="G115" s="149">
        <v>3.3782187573824708E-2</v>
      </c>
      <c r="H115" s="84">
        <v>286</v>
      </c>
      <c r="I115" s="84">
        <v>264.63577160578956</v>
      </c>
      <c r="J115" s="84">
        <v>229.07881426440201</v>
      </c>
      <c r="K115" s="84">
        <v>179.33248085298055</v>
      </c>
      <c r="L115" s="84">
        <v>108.30123545023348</v>
      </c>
      <c r="M115" s="84">
        <v>1.7923303713501049</v>
      </c>
      <c r="N115" s="84">
        <v>3.3782187573824708E-2</v>
      </c>
    </row>
    <row r="116" spans="5:14" s="558" customFormat="1" outlineLevel="3" x14ac:dyDescent="0.2">
      <c r="F116" s="558" t="s">
        <v>169</v>
      </c>
      <c r="G116" s="149">
        <v>4.1424699961285325E-2</v>
      </c>
      <c r="H116" s="84">
        <v>107</v>
      </c>
      <c r="I116" s="84">
        <v>98.990942257941811</v>
      </c>
      <c r="J116" s="84">
        <v>85.673229834989783</v>
      </c>
      <c r="K116" s="84">
        <v>67.04891795943692</v>
      </c>
      <c r="L116" s="84">
        <v>40.46418338320241</v>
      </c>
      <c r="M116" s="84">
        <v>0.61035259649520834</v>
      </c>
      <c r="N116" s="84">
        <v>4.1424699961285325E-2</v>
      </c>
    </row>
    <row r="117" spans="5:14" s="558" customFormat="1" outlineLevel="3" x14ac:dyDescent="0.2">
      <c r="F117" s="558" t="s">
        <v>170</v>
      </c>
      <c r="G117" s="149">
        <v>2.0599250936329586E-2</v>
      </c>
      <c r="H117" s="84">
        <v>21.999999999999996</v>
      </c>
      <c r="I117" s="84">
        <v>21.999999999999996</v>
      </c>
      <c r="J117" s="84">
        <v>21.999999999999996</v>
      </c>
      <c r="K117" s="84">
        <v>21.999999999999996</v>
      </c>
      <c r="L117" s="84">
        <v>21.999999999999996</v>
      </c>
      <c r="M117" s="84">
        <v>21.999999999999996</v>
      </c>
      <c r="N117" s="84">
        <v>21.999999999999996</v>
      </c>
    </row>
    <row r="118" spans="5:14" s="558" customFormat="1" outlineLevel="3" x14ac:dyDescent="0.2">
      <c r="F118" s="558" t="s">
        <v>171</v>
      </c>
      <c r="G118" s="149">
        <v>8.3366613418530359E-3</v>
      </c>
      <c r="H118" s="84">
        <v>167.00000000000003</v>
      </c>
      <c r="I118" s="84">
        <v>167.00000000000003</v>
      </c>
      <c r="J118" s="84">
        <v>167.00000000000003</v>
      </c>
      <c r="K118" s="84">
        <v>167.00000000000003</v>
      </c>
      <c r="L118" s="84">
        <v>167.00000000000003</v>
      </c>
      <c r="M118" s="84">
        <v>167.00000000000003</v>
      </c>
      <c r="N118" s="84">
        <v>167.00000000000003</v>
      </c>
    </row>
    <row r="119" spans="5:14" s="558" customFormat="1" outlineLevel="3" x14ac:dyDescent="0.2">
      <c r="F119" s="558" t="s">
        <v>165</v>
      </c>
      <c r="G119" s="149">
        <v>1.2983425414364641E-2</v>
      </c>
      <c r="H119" s="84">
        <v>141</v>
      </c>
      <c r="I119" s="84">
        <v>69.055179314665864</v>
      </c>
      <c r="J119" s="84">
        <v>1.2983425414364641E-2</v>
      </c>
      <c r="K119" s="84">
        <v>1.2983425414364641E-2</v>
      </c>
      <c r="L119" s="84">
        <v>1.2983425414364641E-2</v>
      </c>
      <c r="M119" s="84">
        <v>1.2983425414364641E-2</v>
      </c>
      <c r="N119" s="84">
        <v>1.2983425414364641E-2</v>
      </c>
    </row>
    <row r="120" spans="5:14" s="558" customFormat="1" outlineLevel="3" x14ac:dyDescent="0.2">
      <c r="F120" s="558" t="s">
        <v>166</v>
      </c>
      <c r="G120" s="149">
        <v>4.2806707855251543E-2</v>
      </c>
      <c r="H120" s="84">
        <v>485</v>
      </c>
      <c r="I120" s="84">
        <v>380.90797572570165</v>
      </c>
      <c r="J120" s="84">
        <v>267.3287238429055</v>
      </c>
      <c r="K120" s="84">
        <v>145.59196345507962</v>
      </c>
      <c r="L120" s="84">
        <v>4.8027176716727906</v>
      </c>
      <c r="M120" s="84">
        <v>4.2806707855251543E-2</v>
      </c>
      <c r="N120" s="84">
        <v>4.2806707855251543E-2</v>
      </c>
    </row>
    <row r="121" spans="5:14" s="558" customFormat="1" outlineLevel="3" x14ac:dyDescent="0.2">
      <c r="F121" s="558" t="s">
        <v>489</v>
      </c>
      <c r="G121" s="149">
        <v>3.0188679245283019E-2</v>
      </c>
      <c r="H121" s="84">
        <v>8</v>
      </c>
      <c r="I121" s="84">
        <v>8</v>
      </c>
      <c r="J121" s="84">
        <v>8</v>
      </c>
      <c r="K121" s="84">
        <v>8</v>
      </c>
      <c r="L121" s="84">
        <v>8</v>
      </c>
      <c r="M121" s="84">
        <v>8</v>
      </c>
      <c r="N121" s="84">
        <v>8</v>
      </c>
    </row>
    <row r="122" spans="5:14" s="558" customFormat="1" outlineLevel="3" x14ac:dyDescent="0.2">
      <c r="F122" s="558" t="s">
        <v>486</v>
      </c>
      <c r="G122" s="149">
        <v>6.7457548267038847E-3</v>
      </c>
      <c r="H122" s="84">
        <v>29</v>
      </c>
      <c r="I122" s="84">
        <v>29</v>
      </c>
      <c r="J122" s="84">
        <v>29</v>
      </c>
      <c r="K122" s="84">
        <v>29</v>
      </c>
      <c r="L122" s="84">
        <v>29</v>
      </c>
      <c r="M122" s="84">
        <v>29</v>
      </c>
      <c r="N122" s="84">
        <v>29</v>
      </c>
    </row>
    <row r="123" spans="5:14" s="558" customFormat="1" outlineLevel="3" x14ac:dyDescent="0.2">
      <c r="F123" s="558" t="s">
        <v>488</v>
      </c>
      <c r="G123" s="149">
        <v>8.6455331412103754E-3</v>
      </c>
      <c r="H123" s="84">
        <v>3.0000000000000004</v>
      </c>
      <c r="I123" s="84">
        <v>2.0419110680562507</v>
      </c>
      <c r="J123" s="84">
        <v>0.76445915879791781</v>
      </c>
      <c r="K123" s="84">
        <v>8.6455331412103754E-3</v>
      </c>
      <c r="L123" s="84">
        <v>8.6455331412103754E-3</v>
      </c>
      <c r="M123" s="84">
        <v>8.6455331412103754E-3</v>
      </c>
      <c r="N123" s="84">
        <v>8.6455331412103754E-3</v>
      </c>
    </row>
    <row r="124" spans="5:14" s="558" customFormat="1" outlineLevel="3" x14ac:dyDescent="0.2">
      <c r="F124" s="558" t="s">
        <v>487</v>
      </c>
      <c r="G124" s="149">
        <v>1.1985018726591761E-2</v>
      </c>
      <c r="H124" s="84">
        <v>16</v>
      </c>
      <c r="I124" s="84">
        <v>10.818282250607117</v>
      </c>
      <c r="J124" s="84">
        <v>3.9565839079681875</v>
      </c>
      <c r="K124" s="84">
        <v>1.1985018726591761E-2</v>
      </c>
      <c r="L124" s="84">
        <v>1.1985018726591761E-2</v>
      </c>
      <c r="M124" s="84">
        <v>1.1985018726591761E-2</v>
      </c>
      <c r="N124" s="84">
        <v>1.1985018726591761E-2</v>
      </c>
    </row>
    <row r="125" spans="5:14" s="558" customFormat="1" ht="4.1500000000000004" customHeight="1" outlineLevel="3" x14ac:dyDescent="0.2">
      <c r="H125" s="44"/>
      <c r="I125" s="44"/>
      <c r="J125" s="44"/>
      <c r="K125" s="44"/>
      <c r="L125" s="44"/>
      <c r="M125" s="44"/>
      <c r="N125" s="44"/>
    </row>
    <row r="126" spans="5:14" s="558" customFormat="1" ht="12.75" outlineLevel="3" thickBot="1" x14ac:dyDescent="0.25">
      <c r="F126" s="104" t="s">
        <v>1318</v>
      </c>
      <c r="G126" s="89"/>
      <c r="H126" s="733">
        <v>2478</v>
      </c>
      <c r="I126" s="733">
        <v>1997.4561876505404</v>
      </c>
      <c r="J126" s="733">
        <v>1393.1182364315514</v>
      </c>
      <c r="K126" s="733">
        <v>949.12811274603143</v>
      </c>
      <c r="L126" s="733">
        <v>579.59254820798571</v>
      </c>
      <c r="M126" s="733">
        <v>231.84065159697545</v>
      </c>
      <c r="N126" s="733">
        <v>226.23719853812156</v>
      </c>
    </row>
    <row r="127" spans="5:14" s="558" customFormat="1" ht="12.75" outlineLevel="2" thickTop="1" x14ac:dyDescent="0.2"/>
    <row r="128" spans="5:14" s="558" customFormat="1" outlineLevel="2" x14ac:dyDescent="0.2">
      <c r="E128" s="55" t="s">
        <v>1193</v>
      </c>
      <c r="G128" s="145" t="s">
        <v>186</v>
      </c>
    </row>
    <row r="129" spans="1:14" s="558" customFormat="1" ht="4.1500000000000004" customHeight="1" outlineLevel="3" x14ac:dyDescent="0.2"/>
    <row r="130" spans="1:14" s="558" customFormat="1" outlineLevel="3" x14ac:dyDescent="0.2">
      <c r="A130" s="6"/>
      <c r="B130" s="6"/>
      <c r="F130" s="558" t="s">
        <v>164</v>
      </c>
      <c r="G130" s="149">
        <v>0.16271703425621775</v>
      </c>
      <c r="H130" s="37">
        <v>1387.0000000000002</v>
      </c>
      <c r="I130" s="37">
        <v>927.12097890202654</v>
      </c>
      <c r="J130" s="37">
        <v>325.20072046412804</v>
      </c>
      <c r="K130" s="37">
        <v>0.16271703425621775</v>
      </c>
      <c r="L130" s="37">
        <v>0.16271703425621775</v>
      </c>
      <c r="M130" s="37">
        <v>0.16271703425621775</v>
      </c>
      <c r="N130" s="37">
        <v>0.16271703425621775</v>
      </c>
    </row>
    <row r="131" spans="1:14" s="558" customFormat="1" outlineLevel="3" x14ac:dyDescent="0.2">
      <c r="F131" s="558" t="s">
        <v>172</v>
      </c>
      <c r="G131" s="149">
        <v>0.10515448713221739</v>
      </c>
      <c r="H131" s="37">
        <v>1426</v>
      </c>
      <c r="I131" s="37">
        <v>931.89154308474838</v>
      </c>
      <c r="J131" s="37">
        <v>299.3876618450052</v>
      </c>
      <c r="K131" s="37">
        <v>0.10515448713221739</v>
      </c>
      <c r="L131" s="37">
        <v>0.10515448713221739</v>
      </c>
      <c r="M131" s="37">
        <v>0.10515448713221739</v>
      </c>
      <c r="N131" s="37">
        <v>0.10515448713221739</v>
      </c>
    </row>
    <row r="132" spans="1:14" s="558" customFormat="1" outlineLevel="3" x14ac:dyDescent="0.2">
      <c r="F132" s="558" t="s">
        <v>173</v>
      </c>
      <c r="G132" s="149">
        <v>3.3350193896476144E-2</v>
      </c>
      <c r="H132" s="37">
        <v>1978</v>
      </c>
      <c r="I132" s="37">
        <v>1319.3864243972985</v>
      </c>
      <c r="J132" s="37">
        <v>459.16760121149042</v>
      </c>
      <c r="K132" s="37">
        <v>3.3350193896476144E-2</v>
      </c>
      <c r="L132" s="37">
        <v>3.3350193896476144E-2</v>
      </c>
      <c r="M132" s="37">
        <v>3.3350193896476144E-2</v>
      </c>
      <c r="N132" s="37">
        <v>3.3350193896476144E-2</v>
      </c>
    </row>
    <row r="133" spans="1:14" s="558" customFormat="1" outlineLevel="3" x14ac:dyDescent="0.2">
      <c r="F133" s="558" t="s">
        <v>193</v>
      </c>
      <c r="G133" s="149">
        <v>7.8515185601799778E-2</v>
      </c>
      <c r="H133" s="37">
        <v>349</v>
      </c>
      <c r="I133" s="37">
        <v>322.93359760232511</v>
      </c>
      <c r="J133" s="37">
        <v>279.54780127078175</v>
      </c>
      <c r="K133" s="37">
        <v>218.84650738195788</v>
      </c>
      <c r="L133" s="37">
        <v>132.17098236517543</v>
      </c>
      <c r="M133" s="37">
        <v>2.2018115506221507</v>
      </c>
      <c r="N133" s="37">
        <v>7.8515185601799778E-2</v>
      </c>
    </row>
    <row r="134" spans="1:14" s="558" customFormat="1" outlineLevel="3" x14ac:dyDescent="0.2">
      <c r="F134" s="558" t="s">
        <v>167</v>
      </c>
      <c r="G134" s="149">
        <v>7.9545454545454544E-2</v>
      </c>
      <c r="H134" s="37">
        <v>1071</v>
      </c>
      <c r="I134" s="37">
        <v>991.01056935518818</v>
      </c>
      <c r="J134" s="37">
        <v>857.87176547984313</v>
      </c>
      <c r="K134" s="37">
        <v>671.59543092593276</v>
      </c>
      <c r="L134" s="37">
        <v>405.60980751298456</v>
      </c>
      <c r="M134" s="37">
        <v>6.765459590281397</v>
      </c>
      <c r="N134" s="37">
        <v>7.9545454545454544E-2</v>
      </c>
    </row>
    <row r="135" spans="1:14" s="558" customFormat="1" outlineLevel="3" x14ac:dyDescent="0.2">
      <c r="F135" s="558" t="s">
        <v>168</v>
      </c>
      <c r="G135" s="149">
        <v>8.5046066619418853E-2</v>
      </c>
      <c r="H135" s="37">
        <v>720</v>
      </c>
      <c r="I135" s="37">
        <v>666.21592851807168</v>
      </c>
      <c r="J135" s="37">
        <v>576.70191003625689</v>
      </c>
      <c r="K135" s="37">
        <v>451.46638536414684</v>
      </c>
      <c r="L135" s="37">
        <v>272.64646686772068</v>
      </c>
      <c r="M135" s="37">
        <v>4.5121603754268378</v>
      </c>
      <c r="N135" s="37">
        <v>8.5046066619418853E-2</v>
      </c>
    </row>
    <row r="136" spans="1:14" s="558" customFormat="1" outlineLevel="3" x14ac:dyDescent="0.2">
      <c r="F136" s="558" t="s">
        <v>169</v>
      </c>
      <c r="G136" s="149">
        <v>0.11459543166860241</v>
      </c>
      <c r="H136" s="37">
        <v>296</v>
      </c>
      <c r="I136" s="37">
        <v>273.84410194720357</v>
      </c>
      <c r="J136" s="37">
        <v>237.00257973043904</v>
      </c>
      <c r="K136" s="37">
        <v>185.48111884105919</v>
      </c>
      <c r="L136" s="37">
        <v>111.93830169558798</v>
      </c>
      <c r="M136" s="37">
        <v>1.6884520426409504</v>
      </c>
      <c r="N136" s="37">
        <v>0.11459543166860241</v>
      </c>
    </row>
    <row r="137" spans="1:14" s="558" customFormat="1" outlineLevel="3" x14ac:dyDescent="0.2">
      <c r="F137" s="558" t="s">
        <v>170</v>
      </c>
      <c r="G137" s="149">
        <v>2.7153558052434457E-2</v>
      </c>
      <c r="H137" s="37">
        <v>29</v>
      </c>
      <c r="I137" s="37">
        <v>29</v>
      </c>
      <c r="J137" s="37">
        <v>29</v>
      </c>
      <c r="K137" s="37">
        <v>29</v>
      </c>
      <c r="L137" s="37">
        <v>29</v>
      </c>
      <c r="M137" s="37">
        <v>29</v>
      </c>
      <c r="N137" s="37">
        <v>29</v>
      </c>
    </row>
    <row r="138" spans="1:14" s="558" customFormat="1" outlineLevel="3" x14ac:dyDescent="0.2">
      <c r="F138" s="558" t="s">
        <v>171</v>
      </c>
      <c r="G138" s="149">
        <v>6.6793130990415339E-2</v>
      </c>
      <c r="H138" s="37">
        <v>1338</v>
      </c>
      <c r="I138" s="37">
        <v>1338</v>
      </c>
      <c r="J138" s="37">
        <v>1338</v>
      </c>
      <c r="K138" s="37">
        <v>1338</v>
      </c>
      <c r="L138" s="37">
        <v>1338</v>
      </c>
      <c r="M138" s="37">
        <v>1338</v>
      </c>
      <c r="N138" s="37">
        <v>1338</v>
      </c>
    </row>
    <row r="139" spans="1:14" s="558" customFormat="1" outlineLevel="3" x14ac:dyDescent="0.2">
      <c r="F139" s="558" t="s">
        <v>165</v>
      </c>
      <c r="G139" s="149">
        <v>0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</row>
    <row r="140" spans="1:14" s="558" customFormat="1" outlineLevel="3" x14ac:dyDescent="0.2">
      <c r="F140" s="558" t="s">
        <v>166</v>
      </c>
      <c r="G140" s="149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</row>
    <row r="141" spans="1:14" s="558" customFormat="1" outlineLevel="3" x14ac:dyDescent="0.2">
      <c r="F141" s="558" t="s">
        <v>489</v>
      </c>
      <c r="G141" s="149">
        <v>0.36981132075471695</v>
      </c>
      <c r="H141" s="37">
        <v>98</v>
      </c>
      <c r="I141" s="37">
        <v>98</v>
      </c>
      <c r="J141" s="37">
        <v>98</v>
      </c>
      <c r="K141" s="37">
        <v>98</v>
      </c>
      <c r="L141" s="37">
        <v>98</v>
      </c>
      <c r="M141" s="37">
        <v>98</v>
      </c>
      <c r="N141" s="37">
        <v>98</v>
      </c>
    </row>
    <row r="142" spans="1:14" s="558" customFormat="1" outlineLevel="3" x14ac:dyDescent="0.2">
      <c r="F142" s="558" t="s">
        <v>486</v>
      </c>
      <c r="G142" s="149">
        <v>3.6520120958362406E-2</v>
      </c>
      <c r="H142" s="37">
        <v>156.99999999999997</v>
      </c>
      <c r="I142" s="37">
        <v>156.99999999999997</v>
      </c>
      <c r="J142" s="37">
        <v>156.99999999999997</v>
      </c>
      <c r="K142" s="37">
        <v>156.99999999999997</v>
      </c>
      <c r="L142" s="37">
        <v>156.99999999999997</v>
      </c>
      <c r="M142" s="37">
        <v>156.99999999999997</v>
      </c>
      <c r="N142" s="37">
        <v>156.99999999999997</v>
      </c>
    </row>
    <row r="143" spans="1:14" s="558" customFormat="1" outlineLevel="3" x14ac:dyDescent="0.2">
      <c r="F143" s="558" t="s">
        <v>488</v>
      </c>
      <c r="G143" s="149">
        <v>0.10951008645533142</v>
      </c>
      <c r="H143" s="37">
        <v>38</v>
      </c>
      <c r="I143" s="37">
        <v>25.86420686204584</v>
      </c>
      <c r="J143" s="37">
        <v>9.683149344773625</v>
      </c>
      <c r="K143" s="37">
        <v>0.10951008645533142</v>
      </c>
      <c r="L143" s="37">
        <v>0.10951008645533142</v>
      </c>
      <c r="M143" s="37">
        <v>0.10951008645533142</v>
      </c>
      <c r="N143" s="37">
        <v>0.10951008645533142</v>
      </c>
    </row>
    <row r="144" spans="1:14" s="558" customFormat="1" outlineLevel="3" x14ac:dyDescent="0.2">
      <c r="F144" s="558" t="s">
        <v>487</v>
      </c>
      <c r="G144" s="149">
        <v>6.5917602996254682E-2</v>
      </c>
      <c r="H144" s="37">
        <v>88</v>
      </c>
      <c r="I144" s="37">
        <v>59.500552378339144</v>
      </c>
      <c r="J144" s="37">
        <v>21.76121149382503</v>
      </c>
      <c r="K144" s="37">
        <v>6.5917602996254682E-2</v>
      </c>
      <c r="L144" s="37">
        <v>6.5917602996254682E-2</v>
      </c>
      <c r="M144" s="37">
        <v>6.5917602996254682E-2</v>
      </c>
      <c r="N144" s="37">
        <v>6.5917602996254682E-2</v>
      </c>
    </row>
    <row r="145" spans="1:14" s="558" customFormat="1" ht="4.1500000000000004" customHeight="1" outlineLevel="3" x14ac:dyDescent="0.2"/>
    <row r="146" spans="1:14" s="558" customFormat="1" ht="12.75" outlineLevel="3" thickBot="1" x14ac:dyDescent="0.25">
      <c r="F146" s="104" t="s">
        <v>1319</v>
      </c>
      <c r="G146" s="89"/>
      <c r="H146" s="105">
        <v>8975</v>
      </c>
      <c r="I146" s="105">
        <v>7139.7679030472473</v>
      </c>
      <c r="J146" s="105">
        <v>4688.3244008765423</v>
      </c>
      <c r="K146" s="105">
        <v>3149.8660919178333</v>
      </c>
      <c r="L146" s="105">
        <v>2544.8422078462054</v>
      </c>
      <c r="M146" s="105">
        <v>1637.6445329637079</v>
      </c>
      <c r="N146" s="105">
        <v>1622.8343515431718</v>
      </c>
    </row>
    <row r="147" spans="1:14" s="558" customFormat="1" ht="12.75" outlineLevel="2" thickTop="1" x14ac:dyDescent="0.2"/>
    <row r="148" spans="1:14" s="558" customFormat="1" outlineLevel="2" x14ac:dyDescent="0.2">
      <c r="E148" s="431" t="s">
        <v>1196</v>
      </c>
    </row>
    <row r="149" spans="1:14" s="558" customFormat="1" ht="4.1500000000000004" customHeight="1" outlineLevel="3" x14ac:dyDescent="0.2"/>
    <row r="150" spans="1:14" s="558" customFormat="1" outlineLevel="3" x14ac:dyDescent="0.2">
      <c r="A150" s="6"/>
      <c r="B150" s="6"/>
      <c r="F150" s="558" t="s">
        <v>164</v>
      </c>
      <c r="G150" s="48" t="s">
        <v>443</v>
      </c>
      <c r="H150" s="37">
        <v>8524</v>
      </c>
      <c r="I150" s="37">
        <v>5697.7499813704926</v>
      </c>
      <c r="J150" s="37">
        <v>1998.5659273512813</v>
      </c>
      <c r="K150" s="37">
        <v>1</v>
      </c>
      <c r="L150" s="37">
        <v>1</v>
      </c>
      <c r="M150" s="37">
        <v>1</v>
      </c>
      <c r="N150" s="37">
        <v>1</v>
      </c>
    </row>
    <row r="151" spans="1:14" s="558" customFormat="1" outlineLevel="3" x14ac:dyDescent="0.2">
      <c r="F151" s="558" t="s">
        <v>172</v>
      </c>
      <c r="G151" s="48" t="s">
        <v>443</v>
      </c>
      <c r="H151" s="37">
        <v>13561</v>
      </c>
      <c r="I151" s="37">
        <v>8862.118664636937</v>
      </c>
      <c r="J151" s="37">
        <v>2847.1220773352843</v>
      </c>
      <c r="K151" s="37">
        <v>1</v>
      </c>
      <c r="L151" s="37">
        <v>1</v>
      </c>
      <c r="M151" s="37">
        <v>1</v>
      </c>
      <c r="N151" s="37">
        <v>1</v>
      </c>
    </row>
    <row r="152" spans="1:14" s="558" customFormat="1" outlineLevel="3" x14ac:dyDescent="0.2">
      <c r="F152" s="558" t="s">
        <v>173</v>
      </c>
      <c r="G152" s="48" t="s">
        <v>443</v>
      </c>
      <c r="H152" s="37">
        <v>59310</v>
      </c>
      <c r="I152" s="37">
        <v>39561.581815472076</v>
      </c>
      <c r="J152" s="37">
        <v>13768.0639170139</v>
      </c>
      <c r="K152" s="37">
        <v>1</v>
      </c>
      <c r="L152" s="37">
        <v>1</v>
      </c>
      <c r="M152" s="37">
        <v>1</v>
      </c>
      <c r="N152" s="37">
        <v>1</v>
      </c>
    </row>
    <row r="153" spans="1:14" s="558" customFormat="1" outlineLevel="3" x14ac:dyDescent="0.2">
      <c r="F153" s="558" t="s">
        <v>193</v>
      </c>
      <c r="G153" s="48" t="s">
        <v>443</v>
      </c>
      <c r="H153" s="37">
        <v>4445</v>
      </c>
      <c r="I153" s="37">
        <v>4113.008141382049</v>
      </c>
      <c r="J153" s="37">
        <v>3560.4297325175494</v>
      </c>
      <c r="K153" s="37">
        <v>2787.3143991770853</v>
      </c>
      <c r="L153" s="37">
        <v>1683.3811364275207</v>
      </c>
      <c r="M153" s="37">
        <v>28.043129921247733</v>
      </c>
      <c r="N153" s="37">
        <v>1</v>
      </c>
    </row>
    <row r="154" spans="1:14" s="558" customFormat="1" outlineLevel="3" x14ac:dyDescent="0.2">
      <c r="F154" s="558" t="s">
        <v>167</v>
      </c>
      <c r="G154" s="48" t="s">
        <v>443</v>
      </c>
      <c r="H154" s="37">
        <v>13464</v>
      </c>
      <c r="I154" s="37">
        <v>12458.418586179509</v>
      </c>
      <c r="J154" s="37">
        <v>10784.673623175171</v>
      </c>
      <c r="K154" s="37">
        <v>8442.9139887831552</v>
      </c>
      <c r="L154" s="37">
        <v>5099.0947230203774</v>
      </c>
      <c r="M154" s="37">
        <v>85.051491992108993</v>
      </c>
      <c r="N154" s="37">
        <v>1</v>
      </c>
    </row>
    <row r="155" spans="1:14" s="558" customFormat="1" outlineLevel="3" x14ac:dyDescent="0.2">
      <c r="F155" s="558" t="s">
        <v>168</v>
      </c>
      <c r="G155" s="48" t="s">
        <v>443</v>
      </c>
      <c r="H155" s="37">
        <v>8466</v>
      </c>
      <c r="I155" s="37">
        <v>7833.5889594916598</v>
      </c>
      <c r="J155" s="37">
        <v>6781.0532921763206</v>
      </c>
      <c r="K155" s="37">
        <v>5308.49224790676</v>
      </c>
      <c r="L155" s="37">
        <v>3205.8680395862821</v>
      </c>
      <c r="M155" s="37">
        <v>53.055485747727232</v>
      </c>
      <c r="N155" s="37">
        <v>1</v>
      </c>
    </row>
    <row r="156" spans="1:14" s="558" customFormat="1" outlineLevel="3" x14ac:dyDescent="0.2">
      <c r="F156" s="558" t="s">
        <v>169</v>
      </c>
      <c r="G156" s="48" t="s">
        <v>443</v>
      </c>
      <c r="H156" s="37">
        <v>2583</v>
      </c>
      <c r="I156" s="37">
        <v>2389.6598490865767</v>
      </c>
      <c r="J156" s="37">
        <v>2068.167781904473</v>
      </c>
      <c r="K156" s="37">
        <v>1618.5734120488373</v>
      </c>
      <c r="L156" s="37">
        <v>976.81295026926944</v>
      </c>
      <c r="M156" s="37">
        <v>14.734025763991806</v>
      </c>
      <c r="N156" s="37">
        <v>1</v>
      </c>
    </row>
    <row r="157" spans="1:14" s="558" customFormat="1" outlineLevel="3" x14ac:dyDescent="0.2">
      <c r="F157" s="558" t="s">
        <v>170</v>
      </c>
      <c r="G157" s="48" t="s">
        <v>443</v>
      </c>
      <c r="H157" s="37">
        <v>1068</v>
      </c>
      <c r="I157" s="37">
        <v>1068</v>
      </c>
      <c r="J157" s="37">
        <v>1068</v>
      </c>
      <c r="K157" s="37">
        <v>1068</v>
      </c>
      <c r="L157" s="37">
        <v>1068</v>
      </c>
      <c r="M157" s="37">
        <v>1068</v>
      </c>
      <c r="N157" s="37">
        <v>1068</v>
      </c>
    </row>
    <row r="158" spans="1:14" s="558" customFormat="1" outlineLevel="3" x14ac:dyDescent="0.2">
      <c r="F158" s="558" t="s">
        <v>171</v>
      </c>
      <c r="G158" s="48" t="s">
        <v>443</v>
      </c>
      <c r="H158" s="37">
        <v>20032</v>
      </c>
      <c r="I158" s="37">
        <v>20032</v>
      </c>
      <c r="J158" s="37">
        <v>20032</v>
      </c>
      <c r="K158" s="37">
        <v>20032</v>
      </c>
      <c r="L158" s="37">
        <v>20032</v>
      </c>
      <c r="M158" s="37">
        <v>20032</v>
      </c>
      <c r="N158" s="37">
        <v>20032</v>
      </c>
    </row>
    <row r="159" spans="1:14" s="558" customFormat="1" outlineLevel="3" x14ac:dyDescent="0.2">
      <c r="F159" s="558" t="s">
        <v>165</v>
      </c>
      <c r="G159" s="48" t="s">
        <v>443</v>
      </c>
      <c r="H159" s="37">
        <v>10860</v>
      </c>
      <c r="I159" s="37">
        <v>5318.7180663636263</v>
      </c>
      <c r="J159" s="37">
        <v>1</v>
      </c>
      <c r="K159" s="37">
        <v>1</v>
      </c>
      <c r="L159" s="37">
        <v>1</v>
      </c>
      <c r="M159" s="37">
        <v>1</v>
      </c>
      <c r="N159" s="37">
        <v>1</v>
      </c>
    </row>
    <row r="160" spans="1:14" s="558" customFormat="1" outlineLevel="3" x14ac:dyDescent="0.2">
      <c r="F160" s="558" t="s">
        <v>166</v>
      </c>
      <c r="G160" s="48" t="s">
        <v>443</v>
      </c>
      <c r="H160" s="37">
        <v>11330</v>
      </c>
      <c r="I160" s="37">
        <v>8898.3244638602064</v>
      </c>
      <c r="J160" s="37">
        <v>6245.019466268287</v>
      </c>
      <c r="K160" s="37">
        <v>3401.1483421568087</v>
      </c>
      <c r="L160" s="37">
        <v>112.1954458145417</v>
      </c>
      <c r="M160" s="37">
        <v>1</v>
      </c>
      <c r="N160" s="37">
        <v>1</v>
      </c>
    </row>
    <row r="161" spans="1:14" s="558" customFormat="1" outlineLevel="3" x14ac:dyDescent="0.2">
      <c r="F161" s="558" t="s">
        <v>489</v>
      </c>
      <c r="G161" s="48" t="s">
        <v>443</v>
      </c>
      <c r="H161" s="37">
        <v>265</v>
      </c>
      <c r="I161" s="37">
        <v>265</v>
      </c>
      <c r="J161" s="37">
        <v>265</v>
      </c>
      <c r="K161" s="37">
        <v>265</v>
      </c>
      <c r="L161" s="37">
        <v>265</v>
      </c>
      <c r="M161" s="37">
        <v>265</v>
      </c>
      <c r="N161" s="37">
        <v>265</v>
      </c>
    </row>
    <row r="162" spans="1:14" s="558" customFormat="1" outlineLevel="3" x14ac:dyDescent="0.2">
      <c r="F162" s="558" t="s">
        <v>486</v>
      </c>
      <c r="G162" s="48" t="s">
        <v>443</v>
      </c>
      <c r="H162" s="37">
        <v>4299</v>
      </c>
      <c r="I162" s="37">
        <v>4299</v>
      </c>
      <c r="J162" s="37">
        <v>4299</v>
      </c>
      <c r="K162" s="37">
        <v>4299</v>
      </c>
      <c r="L162" s="37">
        <v>4299</v>
      </c>
      <c r="M162" s="37">
        <v>4299</v>
      </c>
      <c r="N162" s="37">
        <v>4299</v>
      </c>
    </row>
    <row r="163" spans="1:14" s="558" customFormat="1" outlineLevel="3" x14ac:dyDescent="0.2">
      <c r="F163" s="558" t="s">
        <v>488</v>
      </c>
      <c r="G163" s="48" t="s">
        <v>443</v>
      </c>
      <c r="H163" s="37">
        <v>347</v>
      </c>
      <c r="I163" s="37">
        <v>236.18104687183964</v>
      </c>
      <c r="J163" s="37">
        <v>88.422442700959152</v>
      </c>
      <c r="K163" s="37">
        <v>1</v>
      </c>
      <c r="L163" s="37">
        <v>1</v>
      </c>
      <c r="M163" s="37">
        <v>1</v>
      </c>
      <c r="N163" s="37">
        <v>1</v>
      </c>
    </row>
    <row r="164" spans="1:14" s="558" customFormat="1" outlineLevel="3" x14ac:dyDescent="0.2">
      <c r="F164" s="558" t="s">
        <v>487</v>
      </c>
      <c r="G164" s="48" t="s">
        <v>443</v>
      </c>
      <c r="H164" s="37">
        <v>1335</v>
      </c>
      <c r="I164" s="37">
        <v>902.65042528503136</v>
      </c>
      <c r="J164" s="37">
        <v>330.12746982109564</v>
      </c>
      <c r="K164" s="37">
        <v>1</v>
      </c>
      <c r="L164" s="37">
        <v>1</v>
      </c>
      <c r="M164" s="37">
        <v>1</v>
      </c>
      <c r="N164" s="37">
        <v>1</v>
      </c>
    </row>
    <row r="165" spans="1:14" s="558" customFormat="1" ht="4.1500000000000004" customHeight="1" outlineLevel="3" x14ac:dyDescent="0.2"/>
    <row r="166" spans="1:14" s="558" customFormat="1" ht="12.75" outlineLevel="3" thickBot="1" x14ac:dyDescent="0.25">
      <c r="F166" s="104" t="s">
        <v>47</v>
      </c>
      <c r="G166" s="89"/>
      <c r="H166" s="105">
        <v>159889</v>
      </c>
      <c r="I166" s="105">
        <v>121936.00000000001</v>
      </c>
      <c r="J166" s="105">
        <v>74136.645730264325</v>
      </c>
      <c r="K166" s="105">
        <v>47228.442390072654</v>
      </c>
      <c r="L166" s="105">
        <v>36747.352295117991</v>
      </c>
      <c r="M166" s="105">
        <v>25851.884133425076</v>
      </c>
      <c r="N166" s="105">
        <v>25675</v>
      </c>
    </row>
    <row r="167" spans="1:14" s="558" customFormat="1" ht="12.75" outlineLevel="2" thickTop="1" x14ac:dyDescent="0.2"/>
    <row r="168" spans="1:14" s="558" customFormat="1" outlineLevel="1" x14ac:dyDescent="0.2"/>
    <row r="169" spans="1:14" s="558" customFormat="1" ht="12.75" outlineLevel="1" x14ac:dyDescent="0.2">
      <c r="C169" s="759" t="s">
        <v>710</v>
      </c>
    </row>
    <row r="170" spans="1:14" s="558" customFormat="1" outlineLevel="2" x14ac:dyDescent="0.2">
      <c r="E170" s="55" t="s">
        <v>1194</v>
      </c>
      <c r="G170" s="145" t="s">
        <v>186</v>
      </c>
    </row>
    <row r="171" spans="1:14" s="558" customFormat="1" ht="4.1500000000000004" customHeight="1" outlineLevel="3" x14ac:dyDescent="0.2"/>
    <row r="172" spans="1:14" s="558" customFormat="1" outlineLevel="3" x14ac:dyDescent="0.2">
      <c r="A172" s="6"/>
      <c r="B172" s="6"/>
      <c r="F172" s="558" t="s">
        <v>164</v>
      </c>
      <c r="G172" s="149">
        <v>7.246376811594203E-3</v>
      </c>
      <c r="H172" s="84">
        <v>3</v>
      </c>
      <c r="I172" s="84">
        <v>2.64</v>
      </c>
      <c r="J172" s="84">
        <v>2.2799999999999998</v>
      </c>
      <c r="K172" s="84">
        <v>1.92</v>
      </c>
      <c r="L172" s="84">
        <v>1.56</v>
      </c>
      <c r="M172" s="84">
        <v>1.2000000000000002</v>
      </c>
      <c r="N172" s="84">
        <v>0.84000000000000008</v>
      </c>
    </row>
    <row r="173" spans="1:14" s="558" customFormat="1" outlineLevel="3" x14ac:dyDescent="0.2">
      <c r="F173" s="558" t="s">
        <v>172</v>
      </c>
      <c r="G173" s="149">
        <v>3.7593984962406013E-3</v>
      </c>
      <c r="H173" s="84">
        <v>1</v>
      </c>
      <c r="I173" s="84">
        <v>0.88</v>
      </c>
      <c r="J173" s="84">
        <v>0.7599999999999999</v>
      </c>
      <c r="K173" s="84">
        <v>0.64</v>
      </c>
      <c r="L173" s="84">
        <v>0.51999999999999991</v>
      </c>
      <c r="M173" s="84">
        <v>0.4</v>
      </c>
      <c r="N173" s="84">
        <v>0.28000000000000003</v>
      </c>
    </row>
    <row r="174" spans="1:14" s="558" customFormat="1" outlineLevel="3" x14ac:dyDescent="0.2">
      <c r="F174" s="558" t="s">
        <v>173</v>
      </c>
      <c r="G174" s="149">
        <v>1.0499522748965956E-2</v>
      </c>
      <c r="H174" s="84">
        <v>33</v>
      </c>
      <c r="I174" s="84">
        <v>29.040000000000003</v>
      </c>
      <c r="J174" s="84">
        <v>25.08</v>
      </c>
      <c r="K174" s="84">
        <v>21.12</v>
      </c>
      <c r="L174" s="84">
        <v>17.16</v>
      </c>
      <c r="M174" s="84">
        <v>13.200000000000001</v>
      </c>
      <c r="N174" s="84">
        <v>9.24</v>
      </c>
    </row>
    <row r="175" spans="1:14" s="558" customFormat="1" outlineLevel="3" x14ac:dyDescent="0.2">
      <c r="F175" s="558" t="s">
        <v>193</v>
      </c>
      <c r="G175" s="149">
        <v>1.393188854489164E-2</v>
      </c>
      <c r="H175" s="84">
        <v>9</v>
      </c>
      <c r="I175" s="84">
        <v>7.92</v>
      </c>
      <c r="J175" s="84">
        <v>6.84</v>
      </c>
      <c r="K175" s="84">
        <v>5.76</v>
      </c>
      <c r="L175" s="84">
        <v>4.68</v>
      </c>
      <c r="M175" s="84">
        <v>3.6000000000000005</v>
      </c>
      <c r="N175" s="84">
        <v>2.5200000000000005</v>
      </c>
    </row>
    <row r="176" spans="1:14" s="558" customFormat="1" outlineLevel="3" x14ac:dyDescent="0.2">
      <c r="F176" s="558" t="s">
        <v>167</v>
      </c>
      <c r="G176" s="149">
        <v>1.8856065367693273E-2</v>
      </c>
      <c r="H176" s="84">
        <v>59.999999999999993</v>
      </c>
      <c r="I176" s="84">
        <v>52.8</v>
      </c>
      <c r="J176" s="84">
        <v>45.6</v>
      </c>
      <c r="K176" s="84">
        <v>38.4</v>
      </c>
      <c r="L176" s="84">
        <v>31.2</v>
      </c>
      <c r="M176" s="84">
        <v>24.000000000000004</v>
      </c>
      <c r="N176" s="84">
        <v>16.8</v>
      </c>
    </row>
    <row r="177" spans="1:14" s="558" customFormat="1" outlineLevel="3" x14ac:dyDescent="0.2">
      <c r="F177" s="558" t="s">
        <v>168</v>
      </c>
      <c r="G177" s="149">
        <v>1.7361111111111112E-2</v>
      </c>
      <c r="H177" s="84">
        <v>75</v>
      </c>
      <c r="I177" s="84">
        <v>66</v>
      </c>
      <c r="J177" s="84">
        <v>57</v>
      </c>
      <c r="K177" s="84">
        <v>48.000000000000007</v>
      </c>
      <c r="L177" s="84">
        <v>39</v>
      </c>
      <c r="M177" s="84">
        <v>30</v>
      </c>
      <c r="N177" s="84">
        <v>21.000000000000004</v>
      </c>
    </row>
    <row r="178" spans="1:14" s="558" customFormat="1" outlineLevel="3" x14ac:dyDescent="0.2">
      <c r="F178" s="558" t="s">
        <v>169</v>
      </c>
      <c r="G178" s="149">
        <v>2.395330112721417E-2</v>
      </c>
      <c r="H178" s="84">
        <v>238</v>
      </c>
      <c r="I178" s="84">
        <v>209.44</v>
      </c>
      <c r="J178" s="84">
        <v>180.88</v>
      </c>
      <c r="K178" s="84">
        <v>152.32</v>
      </c>
      <c r="L178" s="84">
        <v>123.76</v>
      </c>
      <c r="M178" s="84">
        <v>95.2</v>
      </c>
      <c r="N178" s="84">
        <v>66.64</v>
      </c>
    </row>
    <row r="179" spans="1:14" s="558" customFormat="1" outlineLevel="3" x14ac:dyDescent="0.2">
      <c r="F179" s="558" t="s">
        <v>170</v>
      </c>
      <c r="G179" s="149">
        <v>1.3888888888888888E-2</v>
      </c>
      <c r="H179" s="84">
        <v>1</v>
      </c>
      <c r="I179" s="84">
        <v>0.87999999999999989</v>
      </c>
      <c r="J179" s="84">
        <v>0.7599999999999999</v>
      </c>
      <c r="K179" s="84">
        <v>0.6399999999999999</v>
      </c>
      <c r="L179" s="84">
        <v>0.51999999999999991</v>
      </c>
      <c r="M179" s="84">
        <v>0.39999999999999997</v>
      </c>
      <c r="N179" s="84">
        <v>0.28000000000000003</v>
      </c>
    </row>
    <row r="180" spans="1:14" s="558" customFormat="1" outlineLevel="3" x14ac:dyDescent="0.2">
      <c r="F180" s="558" t="s">
        <v>171</v>
      </c>
      <c r="G180" s="149">
        <v>1.2121212121212121E-2</v>
      </c>
      <c r="H180" s="84">
        <v>4</v>
      </c>
      <c r="I180" s="84">
        <v>3.5199999999999996</v>
      </c>
      <c r="J180" s="84">
        <v>3.04</v>
      </c>
      <c r="K180" s="84">
        <v>2.56</v>
      </c>
      <c r="L180" s="84">
        <v>2.08</v>
      </c>
      <c r="M180" s="84">
        <v>1.6</v>
      </c>
      <c r="N180" s="84">
        <v>1.1200000000000001</v>
      </c>
    </row>
    <row r="181" spans="1:14" s="558" customFormat="1" outlineLevel="3" x14ac:dyDescent="0.2">
      <c r="F181" s="558" t="s">
        <v>165</v>
      </c>
      <c r="G181" s="149">
        <v>1.1764705882352941E-2</v>
      </c>
      <c r="H181" s="84">
        <v>3</v>
      </c>
      <c r="I181" s="84">
        <v>2.64</v>
      </c>
      <c r="J181" s="84">
        <v>2.2800000000000002</v>
      </c>
      <c r="K181" s="84">
        <v>1.9200000000000002</v>
      </c>
      <c r="L181" s="84">
        <v>1.5599999999999998</v>
      </c>
      <c r="M181" s="84">
        <v>1.2</v>
      </c>
      <c r="N181" s="84">
        <v>0.84000000000000008</v>
      </c>
    </row>
    <row r="182" spans="1:14" s="558" customFormat="1" outlineLevel="3" x14ac:dyDescent="0.2">
      <c r="F182" s="558" t="s">
        <v>166</v>
      </c>
      <c r="G182" s="149">
        <v>3.8135593220338986E-2</v>
      </c>
      <c r="H182" s="84">
        <v>9</v>
      </c>
      <c r="I182" s="84">
        <v>7.9200000000000008</v>
      </c>
      <c r="J182" s="84">
        <v>6.8400000000000007</v>
      </c>
      <c r="K182" s="84">
        <v>5.76</v>
      </c>
      <c r="L182" s="84">
        <v>4.6800000000000006</v>
      </c>
      <c r="M182" s="84">
        <v>3.6000000000000005</v>
      </c>
      <c r="N182" s="84">
        <v>2.5200000000000005</v>
      </c>
    </row>
    <row r="183" spans="1:14" s="558" customFormat="1" outlineLevel="3" x14ac:dyDescent="0.2">
      <c r="F183" s="558" t="s">
        <v>489</v>
      </c>
      <c r="G183" s="149">
        <v>7.0000000000000007E-2</v>
      </c>
      <c r="H183" s="84">
        <v>7.0000000000000007E-2</v>
      </c>
      <c r="I183" s="84">
        <v>6.1600000000000009E-2</v>
      </c>
      <c r="J183" s="84">
        <v>5.3200000000000004E-2</v>
      </c>
      <c r="K183" s="84">
        <v>4.4800000000000006E-2</v>
      </c>
      <c r="L183" s="84">
        <v>3.6400000000000002E-2</v>
      </c>
      <c r="M183" s="84">
        <v>2.8000000000000004E-2</v>
      </c>
      <c r="N183" s="84">
        <v>1.9600000000000003E-2</v>
      </c>
    </row>
    <row r="184" spans="1:14" s="558" customFormat="1" outlineLevel="3" x14ac:dyDescent="0.2">
      <c r="F184" s="558" t="s">
        <v>486</v>
      </c>
      <c r="G184" s="149">
        <v>0</v>
      </c>
      <c r="H184" s="84">
        <v>0</v>
      </c>
      <c r="I184" s="84">
        <v>0</v>
      </c>
      <c r="J184" s="84">
        <v>0</v>
      </c>
      <c r="K184" s="84">
        <v>0</v>
      </c>
      <c r="L184" s="84">
        <v>0</v>
      </c>
      <c r="M184" s="84">
        <v>0</v>
      </c>
      <c r="N184" s="84">
        <v>0</v>
      </c>
    </row>
    <row r="185" spans="1:14" s="558" customFormat="1" outlineLevel="3" x14ac:dyDescent="0.2">
      <c r="F185" s="558" t="s">
        <v>488</v>
      </c>
      <c r="G185" s="149">
        <v>5.2336448598130844E-3</v>
      </c>
      <c r="H185" s="84">
        <v>14</v>
      </c>
      <c r="I185" s="84">
        <v>12.32</v>
      </c>
      <c r="J185" s="84">
        <v>10.64</v>
      </c>
      <c r="K185" s="84">
        <v>8.9600000000000009</v>
      </c>
      <c r="L185" s="84">
        <v>7.28</v>
      </c>
      <c r="M185" s="84">
        <v>5.6000000000000005</v>
      </c>
      <c r="N185" s="84">
        <v>3.9200000000000008</v>
      </c>
    </row>
    <row r="186" spans="1:14" s="558" customFormat="1" outlineLevel="3" x14ac:dyDescent="0.2">
      <c r="F186" s="558" t="s">
        <v>487</v>
      </c>
      <c r="G186" s="149">
        <v>3.3333333333333333E-2</v>
      </c>
      <c r="H186" s="84">
        <v>1</v>
      </c>
      <c r="I186" s="84">
        <v>0.87999999999999989</v>
      </c>
      <c r="J186" s="84">
        <v>0.76</v>
      </c>
      <c r="K186" s="84">
        <v>0.64</v>
      </c>
      <c r="L186" s="84">
        <v>0.52</v>
      </c>
      <c r="M186" s="84">
        <v>0.4</v>
      </c>
      <c r="N186" s="84">
        <v>0.28000000000000003</v>
      </c>
    </row>
    <row r="187" spans="1:14" s="558" customFormat="1" ht="4.1500000000000004" customHeight="1" outlineLevel="3" x14ac:dyDescent="0.2">
      <c r="H187" s="44"/>
      <c r="I187" s="44"/>
      <c r="J187" s="44"/>
      <c r="K187" s="44"/>
      <c r="L187" s="44"/>
      <c r="M187" s="44"/>
      <c r="N187" s="44"/>
    </row>
    <row r="188" spans="1:14" s="558" customFormat="1" ht="12.75" outlineLevel="3" thickBot="1" x14ac:dyDescent="0.25">
      <c r="F188" s="104" t="s">
        <v>1318</v>
      </c>
      <c r="G188" s="89"/>
      <c r="H188" s="733">
        <v>451.07</v>
      </c>
      <c r="I188" s="733">
        <v>396.94159999999999</v>
      </c>
      <c r="J188" s="733">
        <v>342.81319999999994</v>
      </c>
      <c r="K188" s="733">
        <v>288.68479999999994</v>
      </c>
      <c r="L188" s="733">
        <v>234.55640000000002</v>
      </c>
      <c r="M188" s="733">
        <v>180.428</v>
      </c>
      <c r="N188" s="733">
        <v>126.29960000000001</v>
      </c>
    </row>
    <row r="189" spans="1:14" s="558" customFormat="1" ht="12.75" outlineLevel="2" thickTop="1" x14ac:dyDescent="0.2">
      <c r="H189" s="44"/>
      <c r="I189" s="44"/>
      <c r="J189" s="44"/>
      <c r="K189" s="44"/>
      <c r="L189" s="44"/>
      <c r="M189" s="44"/>
      <c r="N189" s="44"/>
    </row>
    <row r="190" spans="1:14" s="558" customFormat="1" outlineLevel="2" x14ac:dyDescent="0.2">
      <c r="E190" s="55" t="s">
        <v>1193</v>
      </c>
      <c r="G190" s="145" t="s">
        <v>186</v>
      </c>
      <c r="H190" s="44"/>
      <c r="I190" s="44"/>
      <c r="J190" s="44"/>
      <c r="K190" s="44"/>
      <c r="L190" s="44"/>
      <c r="M190" s="44"/>
      <c r="N190" s="44"/>
    </row>
    <row r="191" spans="1:14" s="558" customFormat="1" ht="4.1500000000000004" customHeight="1" outlineLevel="3" x14ac:dyDescent="0.2">
      <c r="H191" s="44"/>
      <c r="I191" s="44"/>
      <c r="J191" s="44"/>
      <c r="K191" s="44"/>
      <c r="L191" s="44"/>
      <c r="M191" s="44"/>
      <c r="N191" s="44"/>
    </row>
    <row r="192" spans="1:14" s="558" customFormat="1" outlineLevel="3" x14ac:dyDescent="0.2">
      <c r="A192" s="6"/>
      <c r="B192" s="6"/>
      <c r="F192" s="558" t="s">
        <v>164</v>
      </c>
      <c r="G192" s="149">
        <v>0.23671497584541062</v>
      </c>
      <c r="H192" s="84">
        <v>98</v>
      </c>
      <c r="I192" s="84">
        <v>86.24</v>
      </c>
      <c r="J192" s="84">
        <v>74.47999999999999</v>
      </c>
      <c r="K192" s="84">
        <v>62.719999999999992</v>
      </c>
      <c r="L192" s="84">
        <v>50.96</v>
      </c>
      <c r="M192" s="84">
        <v>39.200000000000003</v>
      </c>
      <c r="N192" s="84">
        <v>27.440000000000005</v>
      </c>
    </row>
    <row r="193" spans="6:14" s="558" customFormat="1" outlineLevel="3" x14ac:dyDescent="0.2">
      <c r="F193" s="558" t="s">
        <v>172</v>
      </c>
      <c r="G193" s="149">
        <v>4.1353383458646614E-2</v>
      </c>
      <c r="H193" s="84">
        <v>11</v>
      </c>
      <c r="I193" s="84">
        <v>9.68</v>
      </c>
      <c r="J193" s="84">
        <v>8.36</v>
      </c>
      <c r="K193" s="84">
        <v>7.04</v>
      </c>
      <c r="L193" s="84">
        <v>5.72</v>
      </c>
      <c r="M193" s="84">
        <v>4.4000000000000004</v>
      </c>
      <c r="N193" s="84">
        <v>3.08</v>
      </c>
    </row>
    <row r="194" spans="6:14" s="558" customFormat="1" outlineLevel="3" x14ac:dyDescent="0.2">
      <c r="F194" s="558" t="s">
        <v>173</v>
      </c>
      <c r="G194" s="149">
        <v>7.7632834871142226E-2</v>
      </c>
      <c r="H194" s="84">
        <v>244.00000000000003</v>
      </c>
      <c r="I194" s="84">
        <v>214.72000000000003</v>
      </c>
      <c r="J194" s="84">
        <v>185.44</v>
      </c>
      <c r="K194" s="84">
        <v>156.16</v>
      </c>
      <c r="L194" s="84">
        <v>126.88000000000002</v>
      </c>
      <c r="M194" s="84">
        <v>97.600000000000009</v>
      </c>
      <c r="N194" s="84">
        <v>68.320000000000007</v>
      </c>
    </row>
    <row r="195" spans="6:14" s="558" customFormat="1" outlineLevel="3" x14ac:dyDescent="0.2">
      <c r="F195" s="558" t="s">
        <v>193</v>
      </c>
      <c r="G195" s="149">
        <v>9.2879256965944276E-2</v>
      </c>
      <c r="H195" s="84">
        <v>60</v>
      </c>
      <c r="I195" s="84">
        <v>52.800000000000004</v>
      </c>
      <c r="J195" s="84">
        <v>45.6</v>
      </c>
      <c r="K195" s="84">
        <v>38.4</v>
      </c>
      <c r="L195" s="84">
        <v>31.200000000000003</v>
      </c>
      <c r="M195" s="84">
        <v>24.000000000000004</v>
      </c>
      <c r="N195" s="84">
        <v>16.800000000000004</v>
      </c>
    </row>
    <row r="196" spans="6:14" s="558" customFormat="1" outlineLevel="3" x14ac:dyDescent="0.2">
      <c r="F196" s="558" t="s">
        <v>167</v>
      </c>
      <c r="G196" s="149">
        <v>0.18133249528598366</v>
      </c>
      <c r="H196" s="84">
        <v>577</v>
      </c>
      <c r="I196" s="84">
        <v>507.76</v>
      </c>
      <c r="J196" s="84">
        <v>438.52000000000004</v>
      </c>
      <c r="K196" s="84">
        <v>369.28000000000003</v>
      </c>
      <c r="L196" s="84">
        <v>300.04000000000002</v>
      </c>
      <c r="M196" s="84">
        <v>230.80000000000004</v>
      </c>
      <c r="N196" s="84">
        <v>161.56</v>
      </c>
    </row>
    <row r="197" spans="6:14" s="558" customFormat="1" outlineLevel="3" x14ac:dyDescent="0.2">
      <c r="F197" s="558" t="s">
        <v>168</v>
      </c>
      <c r="G197" s="149">
        <v>0.17754629629629629</v>
      </c>
      <c r="H197" s="84">
        <v>767</v>
      </c>
      <c r="I197" s="84">
        <v>674.95999999999992</v>
      </c>
      <c r="J197" s="84">
        <v>582.91999999999996</v>
      </c>
      <c r="K197" s="84">
        <v>490.88</v>
      </c>
      <c r="L197" s="84">
        <v>398.84</v>
      </c>
      <c r="M197" s="84">
        <v>306.79999999999995</v>
      </c>
      <c r="N197" s="84">
        <v>214.76000000000002</v>
      </c>
    </row>
    <row r="198" spans="6:14" s="558" customFormat="1" outlineLevel="3" x14ac:dyDescent="0.2">
      <c r="F198" s="558" t="s">
        <v>169</v>
      </c>
      <c r="G198" s="149">
        <v>0.19907407407407407</v>
      </c>
      <c r="H198" s="84">
        <v>1978</v>
      </c>
      <c r="I198" s="84">
        <v>1740.64</v>
      </c>
      <c r="J198" s="84">
        <v>1503.28</v>
      </c>
      <c r="K198" s="84">
        <v>1265.92</v>
      </c>
      <c r="L198" s="84">
        <v>1028.56</v>
      </c>
      <c r="M198" s="84">
        <v>791.2</v>
      </c>
      <c r="N198" s="84">
        <v>553.84</v>
      </c>
    </row>
    <row r="199" spans="6:14" s="558" customFormat="1" outlineLevel="3" x14ac:dyDescent="0.2">
      <c r="F199" s="558" t="s">
        <v>170</v>
      </c>
      <c r="G199" s="149">
        <v>5.5555555555555552E-2</v>
      </c>
      <c r="H199" s="84">
        <v>4</v>
      </c>
      <c r="I199" s="84">
        <v>3.5199999999999996</v>
      </c>
      <c r="J199" s="84">
        <v>3.0399999999999996</v>
      </c>
      <c r="K199" s="84">
        <v>2.5599999999999996</v>
      </c>
      <c r="L199" s="84">
        <v>2.0799999999999996</v>
      </c>
      <c r="M199" s="84">
        <v>1.5999999999999999</v>
      </c>
      <c r="N199" s="84">
        <v>1.1200000000000001</v>
      </c>
    </row>
    <row r="200" spans="6:14" s="558" customFormat="1" outlineLevel="3" x14ac:dyDescent="0.2">
      <c r="F200" s="558" t="s">
        <v>171</v>
      </c>
      <c r="G200" s="149">
        <v>0.12424242424242424</v>
      </c>
      <c r="H200" s="84">
        <v>41</v>
      </c>
      <c r="I200" s="84">
        <v>36.08</v>
      </c>
      <c r="J200" s="84">
        <v>31.16</v>
      </c>
      <c r="K200" s="84">
        <v>26.240000000000002</v>
      </c>
      <c r="L200" s="84">
        <v>21.319999999999997</v>
      </c>
      <c r="M200" s="84">
        <v>16.399999999999999</v>
      </c>
      <c r="N200" s="84">
        <v>11.48</v>
      </c>
    </row>
    <row r="201" spans="6:14" s="558" customFormat="1" outlineLevel="3" x14ac:dyDescent="0.2">
      <c r="F201" s="558" t="s">
        <v>165</v>
      </c>
      <c r="G201" s="149">
        <v>0.12549019607843137</v>
      </c>
      <c r="H201" s="84">
        <v>32</v>
      </c>
      <c r="I201" s="84">
        <v>28.16</v>
      </c>
      <c r="J201" s="84">
        <v>24.32</v>
      </c>
      <c r="K201" s="84">
        <v>20.48</v>
      </c>
      <c r="L201" s="84">
        <v>16.64</v>
      </c>
      <c r="M201" s="84">
        <v>12.8</v>
      </c>
      <c r="N201" s="84">
        <v>8.9600000000000009</v>
      </c>
    </row>
    <row r="202" spans="6:14" s="558" customFormat="1" outlineLevel="3" x14ac:dyDescent="0.2">
      <c r="F202" s="558" t="s">
        <v>166</v>
      </c>
      <c r="G202" s="149">
        <v>0.25</v>
      </c>
      <c r="H202" s="84">
        <v>59</v>
      </c>
      <c r="I202" s="84">
        <v>51.92</v>
      </c>
      <c r="J202" s="84">
        <v>44.84</v>
      </c>
      <c r="K202" s="84">
        <v>37.76</v>
      </c>
      <c r="L202" s="84">
        <v>30.68</v>
      </c>
      <c r="M202" s="84">
        <v>23.6</v>
      </c>
      <c r="N202" s="84">
        <v>16.520000000000003</v>
      </c>
    </row>
    <row r="203" spans="6:14" s="558" customFormat="1" outlineLevel="3" x14ac:dyDescent="0.2">
      <c r="F203" s="558" t="s">
        <v>489</v>
      </c>
      <c r="G203" s="149">
        <v>0.23</v>
      </c>
      <c r="H203" s="84">
        <v>0.23</v>
      </c>
      <c r="I203" s="84">
        <v>0.2024</v>
      </c>
      <c r="J203" s="84">
        <v>0.17480000000000001</v>
      </c>
      <c r="K203" s="84">
        <v>0.1472</v>
      </c>
      <c r="L203" s="84">
        <v>0.11960000000000001</v>
      </c>
      <c r="M203" s="84">
        <v>9.2000000000000012E-2</v>
      </c>
      <c r="N203" s="84">
        <v>6.4400000000000013E-2</v>
      </c>
    </row>
    <row r="204" spans="6:14" s="558" customFormat="1" outlineLevel="3" x14ac:dyDescent="0.2">
      <c r="F204" s="558" t="s">
        <v>486</v>
      </c>
      <c r="G204" s="149">
        <v>8.6956521739130432E-2</v>
      </c>
      <c r="H204" s="84">
        <v>2</v>
      </c>
      <c r="I204" s="84">
        <v>1.7599999999999998</v>
      </c>
      <c r="J204" s="84">
        <v>1.52</v>
      </c>
      <c r="K204" s="84">
        <v>1.28</v>
      </c>
      <c r="L204" s="84">
        <v>1.04</v>
      </c>
      <c r="M204" s="84">
        <v>0.8</v>
      </c>
      <c r="N204" s="84">
        <v>0.56000000000000005</v>
      </c>
    </row>
    <row r="205" spans="6:14" s="558" customFormat="1" outlineLevel="3" x14ac:dyDescent="0.2">
      <c r="F205" s="558" t="s">
        <v>488</v>
      </c>
      <c r="G205" s="149">
        <v>6.5794392523364484E-2</v>
      </c>
      <c r="H205" s="84">
        <v>176</v>
      </c>
      <c r="I205" s="84">
        <v>154.88</v>
      </c>
      <c r="J205" s="84">
        <v>133.76</v>
      </c>
      <c r="K205" s="84">
        <v>112.64</v>
      </c>
      <c r="L205" s="84">
        <v>91.52</v>
      </c>
      <c r="M205" s="84">
        <v>70.399999999999991</v>
      </c>
      <c r="N205" s="84">
        <v>49.280000000000008</v>
      </c>
    </row>
    <row r="206" spans="6:14" s="558" customFormat="1" outlineLevel="3" x14ac:dyDescent="0.2">
      <c r="F206" s="558" t="s">
        <v>487</v>
      </c>
      <c r="G206" s="149">
        <v>0.13333333333333333</v>
      </c>
      <c r="H206" s="84">
        <v>4</v>
      </c>
      <c r="I206" s="84">
        <v>3.5199999999999996</v>
      </c>
      <c r="J206" s="84">
        <v>3.04</v>
      </c>
      <c r="K206" s="84">
        <v>2.56</v>
      </c>
      <c r="L206" s="84">
        <v>2.08</v>
      </c>
      <c r="M206" s="84">
        <v>1.6</v>
      </c>
      <c r="N206" s="84">
        <v>1.1200000000000001</v>
      </c>
    </row>
    <row r="207" spans="6:14" s="558" customFormat="1" ht="4.1500000000000004" customHeight="1" outlineLevel="3" x14ac:dyDescent="0.2">
      <c r="H207" s="44"/>
      <c r="I207" s="44"/>
      <c r="J207" s="44"/>
      <c r="K207" s="44"/>
      <c r="L207" s="44"/>
      <c r="M207" s="44"/>
      <c r="N207" s="44"/>
    </row>
    <row r="208" spans="6:14" s="558" customFormat="1" ht="12.75" outlineLevel="3" thickBot="1" x14ac:dyDescent="0.25">
      <c r="F208" s="104" t="s">
        <v>1319</v>
      </c>
      <c r="G208" s="89"/>
      <c r="H208" s="733">
        <v>4053.23</v>
      </c>
      <c r="I208" s="733">
        <v>3566.8424000000005</v>
      </c>
      <c r="J208" s="733">
        <v>3080.4548000000004</v>
      </c>
      <c r="K208" s="733">
        <v>2594.0672</v>
      </c>
      <c r="L208" s="733">
        <v>2107.6795999999999</v>
      </c>
      <c r="M208" s="733">
        <v>1621.2919999999999</v>
      </c>
      <c r="N208" s="733">
        <v>1134.9043999999999</v>
      </c>
    </row>
    <row r="209" spans="1:14" s="558" customFormat="1" ht="12.75" outlineLevel="2" thickTop="1" x14ac:dyDescent="0.2"/>
    <row r="210" spans="1:14" s="558" customFormat="1" outlineLevel="2" x14ac:dyDescent="0.2">
      <c r="E210" s="431" t="s">
        <v>1197</v>
      </c>
    </row>
    <row r="211" spans="1:14" s="558" customFormat="1" ht="4.1500000000000004" customHeight="1" outlineLevel="3" x14ac:dyDescent="0.2"/>
    <row r="212" spans="1:14" s="558" customFormat="1" outlineLevel="3" x14ac:dyDescent="0.2">
      <c r="A212" s="6"/>
      <c r="B212" s="6"/>
      <c r="F212" s="558" t="s">
        <v>164</v>
      </c>
      <c r="G212" s="48" t="s">
        <v>443</v>
      </c>
      <c r="H212" s="37">
        <v>414</v>
      </c>
      <c r="I212" s="37">
        <v>364.32</v>
      </c>
      <c r="J212" s="37">
        <v>314.64</v>
      </c>
      <c r="K212" s="37">
        <v>264.95999999999998</v>
      </c>
      <c r="L212" s="37">
        <v>215.28</v>
      </c>
      <c r="M212" s="37">
        <v>165.60000000000002</v>
      </c>
      <c r="N212" s="37">
        <v>115.92000000000002</v>
      </c>
    </row>
    <row r="213" spans="1:14" s="558" customFormat="1" outlineLevel="3" x14ac:dyDescent="0.2">
      <c r="F213" s="558" t="s">
        <v>172</v>
      </c>
      <c r="G213" s="48" t="s">
        <v>443</v>
      </c>
      <c r="H213" s="37">
        <v>266</v>
      </c>
      <c r="I213" s="37">
        <v>234.08</v>
      </c>
      <c r="J213" s="37">
        <v>202.16</v>
      </c>
      <c r="K213" s="37">
        <v>170.24</v>
      </c>
      <c r="L213" s="37">
        <v>138.32</v>
      </c>
      <c r="M213" s="37">
        <v>106.4</v>
      </c>
      <c r="N213" s="37">
        <v>74.48</v>
      </c>
    </row>
    <row r="214" spans="1:14" s="558" customFormat="1" outlineLevel="3" x14ac:dyDescent="0.2">
      <c r="F214" s="558" t="s">
        <v>173</v>
      </c>
      <c r="G214" s="48" t="s">
        <v>443</v>
      </c>
      <c r="H214" s="37">
        <v>3143</v>
      </c>
      <c r="I214" s="37">
        <v>2765.84</v>
      </c>
      <c r="J214" s="37">
        <v>2388.6799999999998</v>
      </c>
      <c r="K214" s="37">
        <v>2011.52</v>
      </c>
      <c r="L214" s="37">
        <v>1634.3600000000001</v>
      </c>
      <c r="M214" s="37">
        <v>1257.2</v>
      </c>
      <c r="N214" s="37">
        <v>880.04000000000008</v>
      </c>
    </row>
    <row r="215" spans="1:14" s="558" customFormat="1" outlineLevel="3" x14ac:dyDescent="0.2">
      <c r="F215" s="558" t="s">
        <v>193</v>
      </c>
      <c r="G215" s="48" t="s">
        <v>443</v>
      </c>
      <c r="H215" s="37">
        <v>646</v>
      </c>
      <c r="I215" s="37">
        <v>568.48</v>
      </c>
      <c r="J215" s="37">
        <v>490.96</v>
      </c>
      <c r="K215" s="37">
        <v>413.44</v>
      </c>
      <c r="L215" s="37">
        <v>335.92</v>
      </c>
      <c r="M215" s="37">
        <v>258.40000000000003</v>
      </c>
      <c r="N215" s="37">
        <v>180.88000000000002</v>
      </c>
    </row>
    <row r="216" spans="1:14" s="558" customFormat="1" outlineLevel="3" x14ac:dyDescent="0.2">
      <c r="F216" s="558" t="s">
        <v>167</v>
      </c>
      <c r="G216" s="48" t="s">
        <v>443</v>
      </c>
      <c r="H216" s="37">
        <v>3182</v>
      </c>
      <c r="I216" s="37">
        <v>2800.16</v>
      </c>
      <c r="J216" s="37">
        <v>2418.3200000000002</v>
      </c>
      <c r="K216" s="37">
        <v>2036.48</v>
      </c>
      <c r="L216" s="37">
        <v>1654.64</v>
      </c>
      <c r="M216" s="37">
        <v>1272.8000000000002</v>
      </c>
      <c r="N216" s="37">
        <v>890.96</v>
      </c>
    </row>
    <row r="217" spans="1:14" s="558" customFormat="1" outlineLevel="3" x14ac:dyDescent="0.2">
      <c r="F217" s="558" t="s">
        <v>168</v>
      </c>
      <c r="G217" s="48" t="s">
        <v>443</v>
      </c>
      <c r="H217" s="37">
        <v>4320</v>
      </c>
      <c r="I217" s="37">
        <v>3801.6</v>
      </c>
      <c r="J217" s="37">
        <v>3283.2</v>
      </c>
      <c r="K217" s="37">
        <v>2764.8</v>
      </c>
      <c r="L217" s="37">
        <v>2246.4</v>
      </c>
      <c r="M217" s="37">
        <v>1728</v>
      </c>
      <c r="N217" s="37">
        <v>1209.6000000000001</v>
      </c>
    </row>
    <row r="218" spans="1:14" s="558" customFormat="1" outlineLevel="3" x14ac:dyDescent="0.2">
      <c r="F218" s="558" t="s">
        <v>169</v>
      </c>
      <c r="G218" s="48" t="s">
        <v>443</v>
      </c>
      <c r="H218" s="37">
        <v>9936</v>
      </c>
      <c r="I218" s="37">
        <v>8743.68</v>
      </c>
      <c r="J218" s="37">
        <v>7551.36</v>
      </c>
      <c r="K218" s="37">
        <v>6359.04</v>
      </c>
      <c r="L218" s="37">
        <v>5166.72</v>
      </c>
      <c r="M218" s="37">
        <v>3974.4</v>
      </c>
      <c r="N218" s="37">
        <v>2782.0800000000004</v>
      </c>
    </row>
    <row r="219" spans="1:14" s="558" customFormat="1" outlineLevel="3" x14ac:dyDescent="0.2">
      <c r="F219" s="558" t="s">
        <v>170</v>
      </c>
      <c r="G219" s="48" t="s">
        <v>443</v>
      </c>
      <c r="H219" s="37">
        <v>72</v>
      </c>
      <c r="I219" s="37">
        <v>63.36</v>
      </c>
      <c r="J219" s="37">
        <v>54.72</v>
      </c>
      <c r="K219" s="37">
        <v>46.08</v>
      </c>
      <c r="L219" s="37">
        <v>37.44</v>
      </c>
      <c r="M219" s="37">
        <v>28.8</v>
      </c>
      <c r="N219" s="37">
        <v>20.160000000000004</v>
      </c>
    </row>
    <row r="220" spans="1:14" s="558" customFormat="1" outlineLevel="3" x14ac:dyDescent="0.2">
      <c r="F220" s="558" t="s">
        <v>171</v>
      </c>
      <c r="G220" s="48" t="s">
        <v>443</v>
      </c>
      <c r="H220" s="37">
        <v>330</v>
      </c>
      <c r="I220" s="37">
        <v>290.39999999999998</v>
      </c>
      <c r="J220" s="37">
        <v>250.8</v>
      </c>
      <c r="K220" s="37">
        <v>211.20000000000002</v>
      </c>
      <c r="L220" s="37">
        <v>171.6</v>
      </c>
      <c r="M220" s="37">
        <v>132</v>
      </c>
      <c r="N220" s="37">
        <v>92.4</v>
      </c>
    </row>
    <row r="221" spans="1:14" s="558" customFormat="1" outlineLevel="3" x14ac:dyDescent="0.2">
      <c r="F221" s="558" t="s">
        <v>165</v>
      </c>
      <c r="G221" s="48" t="s">
        <v>443</v>
      </c>
      <c r="H221" s="37">
        <v>255</v>
      </c>
      <c r="I221" s="37">
        <v>224.4</v>
      </c>
      <c r="J221" s="37">
        <v>193.8</v>
      </c>
      <c r="K221" s="37">
        <v>163.20000000000002</v>
      </c>
      <c r="L221" s="37">
        <v>132.6</v>
      </c>
      <c r="M221" s="37">
        <v>102</v>
      </c>
      <c r="N221" s="37">
        <v>71.400000000000006</v>
      </c>
    </row>
    <row r="222" spans="1:14" s="558" customFormat="1" outlineLevel="3" x14ac:dyDescent="0.2">
      <c r="F222" s="558" t="s">
        <v>166</v>
      </c>
      <c r="G222" s="48" t="s">
        <v>443</v>
      </c>
      <c r="H222" s="37">
        <v>236</v>
      </c>
      <c r="I222" s="37">
        <v>207.68</v>
      </c>
      <c r="J222" s="37">
        <v>179.36</v>
      </c>
      <c r="K222" s="37">
        <v>151.04</v>
      </c>
      <c r="L222" s="37">
        <v>122.72</v>
      </c>
      <c r="M222" s="37">
        <v>94.4</v>
      </c>
      <c r="N222" s="37">
        <v>66.080000000000013</v>
      </c>
    </row>
    <row r="223" spans="1:14" s="558" customFormat="1" outlineLevel="3" x14ac:dyDescent="0.2">
      <c r="F223" s="558" t="s">
        <v>489</v>
      </c>
      <c r="G223" s="48" t="s">
        <v>443</v>
      </c>
      <c r="H223" s="37">
        <v>1</v>
      </c>
      <c r="I223" s="37">
        <v>0.88</v>
      </c>
      <c r="J223" s="37">
        <v>0.76</v>
      </c>
      <c r="K223" s="37">
        <v>0.64</v>
      </c>
      <c r="L223" s="37">
        <v>0.52</v>
      </c>
      <c r="M223" s="37">
        <v>0.4</v>
      </c>
      <c r="N223" s="37">
        <v>0.28000000000000003</v>
      </c>
    </row>
    <row r="224" spans="1:14" s="558" customFormat="1" outlineLevel="3" x14ac:dyDescent="0.2">
      <c r="F224" s="558" t="s">
        <v>486</v>
      </c>
      <c r="G224" s="48" t="s">
        <v>443</v>
      </c>
      <c r="H224" s="37">
        <v>23</v>
      </c>
      <c r="I224" s="37">
        <v>20.239999999999998</v>
      </c>
      <c r="J224" s="37">
        <v>17.48</v>
      </c>
      <c r="K224" s="37">
        <v>14.72</v>
      </c>
      <c r="L224" s="37">
        <v>11.96</v>
      </c>
      <c r="M224" s="37">
        <v>9.2000000000000011</v>
      </c>
      <c r="N224" s="37">
        <v>6.44</v>
      </c>
    </row>
    <row r="225" spans="1:18" s="558" customFormat="1" outlineLevel="3" x14ac:dyDescent="0.2">
      <c r="F225" s="558" t="s">
        <v>488</v>
      </c>
      <c r="G225" s="48" t="s">
        <v>443</v>
      </c>
      <c r="H225" s="37">
        <v>2675</v>
      </c>
      <c r="I225" s="37">
        <v>2354</v>
      </c>
      <c r="J225" s="37">
        <v>2033</v>
      </c>
      <c r="K225" s="37">
        <v>1712</v>
      </c>
      <c r="L225" s="37">
        <v>1391</v>
      </c>
      <c r="M225" s="37">
        <v>1070</v>
      </c>
      <c r="N225" s="37">
        <v>749.00000000000011</v>
      </c>
    </row>
    <row r="226" spans="1:18" s="558" customFormat="1" outlineLevel="3" x14ac:dyDescent="0.2">
      <c r="F226" s="558" t="s">
        <v>487</v>
      </c>
      <c r="G226" s="48" t="s">
        <v>443</v>
      </c>
      <c r="H226" s="37">
        <v>30</v>
      </c>
      <c r="I226" s="37">
        <v>26.4</v>
      </c>
      <c r="J226" s="37">
        <v>22.8</v>
      </c>
      <c r="K226" s="37">
        <v>19.2</v>
      </c>
      <c r="L226" s="37">
        <v>15.600000000000001</v>
      </c>
      <c r="M226" s="37">
        <v>12</v>
      </c>
      <c r="N226" s="37">
        <v>8.4</v>
      </c>
    </row>
    <row r="227" spans="1:18" s="558" customFormat="1" ht="4.1500000000000004" customHeight="1" outlineLevel="3" x14ac:dyDescent="0.2"/>
    <row r="228" spans="1:18" s="558" customFormat="1" ht="12.75" outlineLevel="3" thickBot="1" x14ac:dyDescent="0.25">
      <c r="F228" s="104" t="s">
        <v>47</v>
      </c>
      <c r="G228" s="89"/>
      <c r="H228" s="105">
        <v>25529</v>
      </c>
      <c r="I228" s="105">
        <v>22465.520000000008</v>
      </c>
      <c r="J228" s="105">
        <v>19402.039999999997</v>
      </c>
      <c r="K228" s="105">
        <v>16338.560000000001</v>
      </c>
      <c r="L228" s="105">
        <v>13275.08</v>
      </c>
      <c r="M228" s="105">
        <v>10211.6</v>
      </c>
      <c r="N228" s="105">
        <v>7148.119999999999</v>
      </c>
    </row>
    <row r="229" spans="1:18" s="558" customFormat="1" ht="12.75" outlineLevel="2" thickTop="1" x14ac:dyDescent="0.2"/>
    <row r="230" spans="1:18" s="558" customFormat="1" outlineLevel="1" x14ac:dyDescent="0.2"/>
    <row r="231" spans="1:18" ht="12.75" x14ac:dyDescent="0.2">
      <c r="A231" s="227" t="s">
        <v>523</v>
      </c>
      <c r="B231" s="80" t="s">
        <v>522</v>
      </c>
      <c r="C231" s="558"/>
      <c r="D231" s="558"/>
      <c r="E231" s="558"/>
      <c r="F231" s="558"/>
      <c r="G231" s="50"/>
      <c r="H231" s="558"/>
      <c r="I231" s="558"/>
      <c r="J231" s="558"/>
      <c r="K231" s="558"/>
      <c r="L231" s="558"/>
      <c r="M231" s="558"/>
      <c r="N231" s="558"/>
      <c r="O231" s="558"/>
      <c r="P231" s="558"/>
      <c r="Q231" s="558"/>
      <c r="R231" s="558"/>
    </row>
    <row r="232" spans="1:18" ht="15.75" thickBot="1" x14ac:dyDescent="0.3">
      <c r="A232" s="10" t="s">
        <v>31</v>
      </c>
      <c r="B232" s="10"/>
      <c r="C232" s="10"/>
      <c r="D232" s="10"/>
      <c r="E232" s="10"/>
      <c r="F232" s="10"/>
      <c r="G232" s="51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558"/>
    </row>
    <row r="233" spans="1:18" x14ac:dyDescent="0.2">
      <c r="A233" s="558"/>
      <c r="B233" s="558"/>
      <c r="C233" s="558"/>
      <c r="D233" s="558"/>
      <c r="E233" s="558"/>
      <c r="F233" s="558"/>
      <c r="G233" s="50"/>
      <c r="H233" s="558"/>
      <c r="I233" s="558"/>
      <c r="J233" s="558"/>
      <c r="K233" s="558"/>
      <c r="L233" s="558"/>
      <c r="M233" s="558"/>
      <c r="N233" s="558"/>
      <c r="O233" s="558"/>
      <c r="P233" s="558"/>
      <c r="Q233" s="558"/>
      <c r="R233" s="558"/>
    </row>
    <row r="234" spans="1:18" ht="12.75" x14ac:dyDescent="0.2">
      <c r="A234" s="558"/>
      <c r="B234" s="558"/>
      <c r="C234" s="558"/>
      <c r="D234" s="558"/>
      <c r="E234" s="558"/>
      <c r="F234" s="558"/>
      <c r="G234" s="558"/>
      <c r="H234" s="604" t="s">
        <v>251</v>
      </c>
      <c r="I234" s="604" t="s">
        <v>252</v>
      </c>
      <c r="J234" s="604" t="s">
        <v>253</v>
      </c>
      <c r="K234" s="604" t="s">
        <v>254</v>
      </c>
      <c r="L234" s="604" t="s">
        <v>255</v>
      </c>
      <c r="M234" s="604" t="s">
        <v>256</v>
      </c>
      <c r="N234" s="604" t="s">
        <v>257</v>
      </c>
      <c r="O234" s="558"/>
      <c r="P234" s="558"/>
      <c r="Q234" s="558"/>
      <c r="R234" s="558"/>
    </row>
    <row r="235" spans="1:18" x14ac:dyDescent="0.2">
      <c r="F235" t="s">
        <v>1205</v>
      </c>
      <c r="H235" s="558"/>
      <c r="I235" s="42">
        <v>-0.12</v>
      </c>
      <c r="J235" s="42">
        <v>-0.24</v>
      </c>
      <c r="K235" s="42">
        <v>-0.36</v>
      </c>
      <c r="L235" s="42">
        <v>-0.48</v>
      </c>
      <c r="M235" s="42">
        <v>-0.6</v>
      </c>
      <c r="N235" s="42">
        <v>-0.72</v>
      </c>
      <c r="P235" s="7" t="s">
        <v>289</v>
      </c>
      <c r="Q235" s="417"/>
    </row>
    <row r="237" spans="1:18" x14ac:dyDescent="0.2">
      <c r="A237" s="558"/>
      <c r="B237" s="558"/>
      <c r="C237" s="558"/>
      <c r="D237" s="558"/>
      <c r="E237" s="558"/>
      <c r="F237" s="558"/>
      <c r="G237" s="558"/>
      <c r="H237" s="558"/>
      <c r="I237" s="558"/>
      <c r="J237" s="558"/>
      <c r="K237" s="558"/>
      <c r="L237" s="558"/>
      <c r="M237" s="558"/>
      <c r="N237" s="558"/>
      <c r="O237" s="558"/>
      <c r="P237" s="558"/>
      <c r="Q237" s="558"/>
      <c r="R237" s="558"/>
    </row>
    <row r="238" spans="1:18" ht="12.75" x14ac:dyDescent="0.2">
      <c r="A238" s="431"/>
      <c r="B238" s="431"/>
      <c r="C238" s="431"/>
      <c r="D238" s="431"/>
      <c r="E238" s="431"/>
      <c r="F238" s="431"/>
      <c r="G238" s="431"/>
      <c r="H238" s="604" t="s">
        <v>251</v>
      </c>
      <c r="I238" s="604" t="s">
        <v>252</v>
      </c>
      <c r="J238" s="604" t="s">
        <v>253</v>
      </c>
      <c r="K238" s="604" t="s">
        <v>254</v>
      </c>
      <c r="L238" s="604" t="s">
        <v>255</v>
      </c>
      <c r="M238" s="604" t="s">
        <v>256</v>
      </c>
      <c r="N238" s="604" t="s">
        <v>257</v>
      </c>
      <c r="O238" s="431"/>
      <c r="P238" s="431"/>
      <c r="Q238" s="431"/>
      <c r="R238" s="431"/>
    </row>
    <row r="239" spans="1:18" x14ac:dyDescent="0.2">
      <c r="A239" s="431"/>
      <c r="B239" s="431"/>
      <c r="C239" s="431"/>
      <c r="D239" s="431"/>
      <c r="E239" s="431"/>
      <c r="F239" s="431" t="s">
        <v>1024</v>
      </c>
      <c r="G239" s="431"/>
      <c r="H239" s="496">
        <v>1.0037014</v>
      </c>
      <c r="I239" s="496">
        <v>1.0373722000000001</v>
      </c>
      <c r="J239" s="496">
        <v>1.0420885</v>
      </c>
      <c r="K239" s="496">
        <v>1.0485361000000002</v>
      </c>
      <c r="L239" s="496">
        <v>1.0559986000000001</v>
      </c>
      <c r="M239" s="496">
        <v>1.0926544</v>
      </c>
      <c r="N239" s="496">
        <v>1.0987437999999998</v>
      </c>
      <c r="O239" s="431"/>
      <c r="P239" s="7" t="s">
        <v>1250</v>
      </c>
      <c r="Q239" s="417" t="s">
        <v>1252</v>
      </c>
      <c r="R239" s="431"/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1">
    <tabColor theme="5" tint="0.59999389629810485"/>
  </sheetPr>
  <dimension ref="A1:T111"/>
  <sheetViews>
    <sheetView showGridLines="0" zoomScaleNormal="100" workbookViewId="0">
      <selection activeCell="I68" sqref="I68"/>
    </sheetView>
  </sheetViews>
  <sheetFormatPr defaultColWidth="9.1640625" defaultRowHeight="12" outlineLevelRow="2" x14ac:dyDescent="0.2"/>
  <cols>
    <col min="1" max="1" width="10.33203125" style="558" customWidth="1"/>
    <col min="2" max="2" width="6.83203125" style="558" bestFit="1" customWidth="1"/>
    <col min="3" max="5" width="2.5" style="558" customWidth="1"/>
    <col min="6" max="6" width="34.1640625" style="558" customWidth="1"/>
    <col min="7" max="7" width="15.5" style="558" bestFit="1" customWidth="1"/>
    <col min="8" max="9" width="15.5" style="558" customWidth="1"/>
    <col min="10" max="15" width="16.33203125" style="558" customWidth="1"/>
    <col min="16" max="16" width="16.5" style="558" customWidth="1"/>
    <col min="17" max="17" width="7.83203125" style="558" customWidth="1"/>
    <col min="18" max="18" width="30" style="558" customWidth="1"/>
    <col min="19" max="19" width="61.1640625" style="558" customWidth="1"/>
    <col min="20" max="16384" width="9.1640625" style="558"/>
  </cols>
  <sheetData>
    <row r="1" spans="1:20" ht="18.75" x14ac:dyDescent="0.3">
      <c r="A1" s="31" t="s">
        <v>19</v>
      </c>
      <c r="B1" s="31"/>
      <c r="C1" s="31"/>
      <c r="D1" s="33"/>
      <c r="E1" s="31"/>
      <c r="F1" s="32"/>
      <c r="G1" s="32"/>
      <c r="H1" s="32"/>
      <c r="I1" s="32"/>
      <c r="J1" s="31"/>
      <c r="K1" s="31"/>
      <c r="L1" s="31"/>
      <c r="M1" s="31"/>
      <c r="N1" s="31"/>
      <c r="O1" s="31"/>
      <c r="P1" s="31"/>
    </row>
    <row r="2" spans="1:20" ht="16.5" thickBot="1" x14ac:dyDescent="0.3">
      <c r="A2" s="394" t="s">
        <v>1320</v>
      </c>
      <c r="B2" s="4"/>
      <c r="C2" s="4"/>
      <c r="D2" s="4"/>
      <c r="E2" s="4"/>
      <c r="F2" s="4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 thickTop="1" x14ac:dyDescent="0.25">
      <c r="A3" s="6"/>
      <c r="D3" s="34"/>
      <c r="F3" s="337"/>
      <c r="G3" s="337"/>
      <c r="H3" s="337"/>
      <c r="I3" s="337"/>
    </row>
    <row r="4" spans="1:20" ht="15" x14ac:dyDescent="0.25">
      <c r="A4" s="1"/>
      <c r="B4" s="1"/>
      <c r="C4" s="1"/>
      <c r="D4" s="35"/>
      <c r="E4" s="1"/>
      <c r="F4" s="2"/>
      <c r="G4" s="2" t="s">
        <v>56</v>
      </c>
      <c r="H4" s="3" t="s">
        <v>860</v>
      </c>
      <c r="I4" s="3" t="s">
        <v>861</v>
      </c>
      <c r="J4" s="3" t="s">
        <v>251</v>
      </c>
      <c r="K4" s="3" t="s">
        <v>252</v>
      </c>
      <c r="L4" s="3" t="s">
        <v>253</v>
      </c>
      <c r="M4" s="3" t="s">
        <v>254</v>
      </c>
      <c r="N4" s="3" t="s">
        <v>255</v>
      </c>
      <c r="O4" s="3" t="s">
        <v>256</v>
      </c>
      <c r="P4" s="3" t="s">
        <v>257</v>
      </c>
      <c r="R4" s="5" t="s">
        <v>1</v>
      </c>
      <c r="S4" s="5" t="s">
        <v>0</v>
      </c>
    </row>
    <row r="5" spans="1:20" ht="15" hidden="1" x14ac:dyDescent="0.25">
      <c r="A5" s="1"/>
      <c r="B5" s="1"/>
      <c r="C5" s="1"/>
      <c r="D5" s="35"/>
      <c r="E5" s="1"/>
      <c r="F5" s="2"/>
      <c r="G5" s="2"/>
      <c r="H5" s="2">
        <v>-2</v>
      </c>
      <c r="I5" s="2">
        <v>-1</v>
      </c>
      <c r="J5" s="3">
        <v>0</v>
      </c>
      <c r="K5" s="3">
        <v>1</v>
      </c>
      <c r="L5" s="3">
        <v>2</v>
      </c>
      <c r="M5" s="3">
        <v>3</v>
      </c>
      <c r="N5" s="3">
        <v>4</v>
      </c>
      <c r="O5" s="3">
        <v>5</v>
      </c>
      <c r="P5" s="3">
        <v>6</v>
      </c>
    </row>
    <row r="6" spans="1:20" x14ac:dyDescent="0.2">
      <c r="J6" s="559"/>
      <c r="K6" s="559"/>
      <c r="L6" s="559"/>
      <c r="M6" s="559"/>
      <c r="N6" s="559"/>
      <c r="O6" s="559"/>
      <c r="P6" s="559"/>
    </row>
    <row r="7" spans="1:20" ht="15" x14ac:dyDescent="0.25">
      <c r="A7" s="36" t="s">
        <v>38</v>
      </c>
      <c r="B7" s="152"/>
      <c r="C7" s="36"/>
      <c r="D7" s="36"/>
      <c r="E7" s="36"/>
      <c r="F7" s="36"/>
      <c r="G7" s="36"/>
      <c r="H7" s="36"/>
      <c r="I7" s="36"/>
      <c r="J7" s="693" t="s">
        <v>1261</v>
      </c>
      <c r="K7" s="693" t="s">
        <v>1261</v>
      </c>
      <c r="L7" s="36"/>
      <c r="M7" s="36"/>
      <c r="N7" s="36"/>
      <c r="O7" s="36"/>
      <c r="P7" s="36"/>
      <c r="Q7" s="36"/>
      <c r="R7" s="36"/>
      <c r="S7" s="36"/>
    </row>
    <row r="8" spans="1:20" ht="15" x14ac:dyDescent="0.25">
      <c r="A8" s="36"/>
      <c r="B8" s="152"/>
      <c r="C8" s="36"/>
      <c r="D8" s="36"/>
      <c r="E8" s="36"/>
      <c r="F8" s="558" t="s">
        <v>1214</v>
      </c>
      <c r="G8" s="48"/>
      <c r="H8" s="48"/>
      <c r="I8" s="48"/>
      <c r="J8" s="53">
        <v>155336.13924314937</v>
      </c>
      <c r="K8" s="53">
        <v>278547.87544849043</v>
      </c>
      <c r="L8" s="53">
        <v>350798.57761082635</v>
      </c>
      <c r="M8" s="53">
        <v>386760.43175386084</v>
      </c>
      <c r="N8" s="53">
        <v>424489.99585793575</v>
      </c>
      <c r="O8" s="53">
        <v>449837.64377712138</v>
      </c>
      <c r="P8" s="53">
        <v>462580.22752132273</v>
      </c>
      <c r="Q8" s="36"/>
      <c r="R8" s="36"/>
      <c r="S8" s="36"/>
    </row>
    <row r="9" spans="1:20" ht="15" x14ac:dyDescent="0.25">
      <c r="A9" s="36"/>
      <c r="B9" s="152"/>
      <c r="C9" s="36"/>
      <c r="D9" s="36"/>
      <c r="E9" s="36"/>
      <c r="F9" s="558" t="s">
        <v>1216</v>
      </c>
      <c r="G9" s="48"/>
      <c r="H9" s="48"/>
      <c r="I9" s="48"/>
      <c r="J9" s="53">
        <v>0</v>
      </c>
      <c r="K9" s="53">
        <v>27521.7294095367</v>
      </c>
      <c r="L9" s="53">
        <v>397872.78708273184</v>
      </c>
      <c r="M9" s="53">
        <v>1096148.7605675361</v>
      </c>
      <c r="N9" s="53">
        <v>1708320.4159647643</v>
      </c>
      <c r="O9" s="53">
        <v>2281318.6414323607</v>
      </c>
      <c r="P9" s="53">
        <v>1761514.0180146501</v>
      </c>
      <c r="Q9" s="36"/>
      <c r="R9" s="36"/>
      <c r="S9" s="36"/>
    </row>
    <row r="10" spans="1:20" ht="12.75" x14ac:dyDescent="0.2">
      <c r="F10" s="588" t="s">
        <v>1042</v>
      </c>
      <c r="G10" s="610" t="s">
        <v>1034</v>
      </c>
      <c r="H10" s="610"/>
      <c r="I10" s="610"/>
      <c r="J10" s="607">
        <v>155336.13924314937</v>
      </c>
      <c r="K10" s="607">
        <v>306069.60485802713</v>
      </c>
      <c r="L10" s="607">
        <v>748671.36469355819</v>
      </c>
      <c r="M10" s="607">
        <v>1482909.1923213969</v>
      </c>
      <c r="N10" s="607">
        <v>2132810.4118226999</v>
      </c>
      <c r="O10" s="607">
        <v>2731156.2852094821</v>
      </c>
      <c r="P10" s="607">
        <v>2224094.245535973</v>
      </c>
      <c r="S10" s="5"/>
    </row>
    <row r="11" spans="1:20" ht="12.75" x14ac:dyDescent="0.2">
      <c r="F11" s="6"/>
      <c r="G11" s="48"/>
      <c r="H11" s="48"/>
      <c r="I11" s="48"/>
      <c r="S11" s="5"/>
    </row>
    <row r="12" spans="1:20" ht="12.75" x14ac:dyDescent="0.2">
      <c r="F12" s="558" t="s">
        <v>1214</v>
      </c>
      <c r="G12" s="48"/>
      <c r="H12" s="48"/>
      <c r="I12" s="48"/>
      <c r="J12" s="53">
        <v>147079.12135610188</v>
      </c>
      <c r="K12" s="53">
        <v>263741.43825246172</v>
      </c>
      <c r="L12" s="53">
        <v>332151.59601210506</v>
      </c>
      <c r="M12" s="53">
        <v>366201.86876553367</v>
      </c>
      <c r="N12" s="53">
        <v>401925.88742992049</v>
      </c>
      <c r="O12" s="53">
        <v>425926.16066036304</v>
      </c>
      <c r="P12" s="53">
        <v>437991.40207833092</v>
      </c>
      <c r="S12" s="5"/>
    </row>
    <row r="13" spans="1:20" ht="12.75" x14ac:dyDescent="0.2">
      <c r="F13" s="558" t="s">
        <v>1216</v>
      </c>
      <c r="G13" s="48"/>
      <c r="H13" s="48"/>
      <c r="I13" s="48"/>
      <c r="J13" s="53">
        <v>0</v>
      </c>
      <c r="K13" s="53">
        <v>26058.789664000004</v>
      </c>
      <c r="L13" s="53">
        <v>376723.53787570004</v>
      </c>
      <c r="M13" s="53">
        <v>1037882.088259532</v>
      </c>
      <c r="N13" s="53">
        <v>1617513.2650972526</v>
      </c>
      <c r="O13" s="53">
        <v>2160053.3072986449</v>
      </c>
      <c r="P13" s="53">
        <v>1667879.3182860527</v>
      </c>
      <c r="S13" s="5"/>
    </row>
    <row r="14" spans="1:20" ht="12.75" x14ac:dyDescent="0.2">
      <c r="F14" s="85" t="s">
        <v>870</v>
      </c>
      <c r="G14" s="726" t="s">
        <v>869</v>
      </c>
      <c r="H14" s="726"/>
      <c r="I14" s="726"/>
      <c r="J14" s="88">
        <v>147079.12135610188</v>
      </c>
      <c r="K14" s="88">
        <v>289800.22791646171</v>
      </c>
      <c r="L14" s="88">
        <v>708875.13388780504</v>
      </c>
      <c r="M14" s="88">
        <v>1404083.9570250656</v>
      </c>
      <c r="N14" s="88">
        <v>2019439.152527173</v>
      </c>
      <c r="O14" s="88">
        <v>2585979.4679590082</v>
      </c>
      <c r="P14" s="88">
        <v>2105870.7203643834</v>
      </c>
      <c r="Q14" s="573"/>
      <c r="S14" s="5"/>
    </row>
    <row r="15" spans="1:20" ht="12.75" x14ac:dyDescent="0.2">
      <c r="S15" s="5"/>
    </row>
    <row r="16" spans="1:20" ht="12.75" x14ac:dyDescent="0.2">
      <c r="F16" s="558" t="s">
        <v>1214</v>
      </c>
      <c r="J16" s="573">
        <v>146536.73030256</v>
      </c>
      <c r="K16" s="573">
        <v>254239.93264178635</v>
      </c>
      <c r="L16" s="573">
        <v>318736.45665613341</v>
      </c>
      <c r="M16" s="573">
        <v>349250.60640786099</v>
      </c>
      <c r="N16" s="573">
        <v>380612.14042321692</v>
      </c>
      <c r="O16" s="573">
        <v>389808.67203789507</v>
      </c>
      <c r="P16" s="573">
        <v>398629.23647744907</v>
      </c>
      <c r="S16" s="5"/>
    </row>
    <row r="17" spans="1:19" ht="12.75" x14ac:dyDescent="0.2">
      <c r="F17" s="558" t="s">
        <v>1216</v>
      </c>
      <c r="J17" s="573">
        <v>0</v>
      </c>
      <c r="K17" s="573">
        <v>25120</v>
      </c>
      <c r="L17" s="573">
        <v>361508.20000000007</v>
      </c>
      <c r="M17" s="573">
        <v>989839.15600000019</v>
      </c>
      <c r="N17" s="573">
        <v>1531738.0772069702</v>
      </c>
      <c r="O17" s="573">
        <v>1976886.1108312425</v>
      </c>
      <c r="P17" s="573">
        <v>1517987.4674023672</v>
      </c>
      <c r="S17" s="5"/>
    </row>
    <row r="18" spans="1:19" ht="12.75" x14ac:dyDescent="0.2">
      <c r="F18" s="85" t="s">
        <v>1217</v>
      </c>
      <c r="G18" s="726" t="s">
        <v>869</v>
      </c>
      <c r="H18" s="726"/>
      <c r="I18" s="726"/>
      <c r="J18" s="88">
        <v>146536.73030256</v>
      </c>
      <c r="K18" s="88">
        <v>279359.93264178635</v>
      </c>
      <c r="L18" s="88">
        <v>680244.65665613348</v>
      </c>
      <c r="M18" s="88">
        <v>1339089.7624078612</v>
      </c>
      <c r="N18" s="88">
        <v>1912350.217630187</v>
      </c>
      <c r="O18" s="88">
        <v>2366694.7828691378</v>
      </c>
      <c r="P18" s="88">
        <v>1916616.7038798162</v>
      </c>
      <c r="S18" s="5"/>
    </row>
    <row r="19" spans="1:19" ht="12.75" x14ac:dyDescent="0.2">
      <c r="S19" s="5"/>
    </row>
    <row r="20" spans="1:19" ht="15.75" thickBot="1" x14ac:dyDescent="0.3">
      <c r="A20" s="10" t="s">
        <v>37</v>
      </c>
      <c r="B20" s="10"/>
      <c r="C20" s="10"/>
      <c r="D20" s="10"/>
      <c r="E20" s="10"/>
      <c r="F20" s="10"/>
      <c r="G20" s="51"/>
      <c r="H20" s="51"/>
      <c r="I20" s="51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2.75" x14ac:dyDescent="0.2">
      <c r="G21" s="50"/>
      <c r="H21" s="43" t="s">
        <v>860</v>
      </c>
      <c r="I21" s="43" t="s">
        <v>861</v>
      </c>
      <c r="J21" s="43" t="s">
        <v>251</v>
      </c>
      <c r="K21" s="43" t="s">
        <v>252</v>
      </c>
      <c r="L21" s="43" t="s">
        <v>253</v>
      </c>
      <c r="M21" s="43" t="s">
        <v>254</v>
      </c>
      <c r="N21" s="43" t="s">
        <v>255</v>
      </c>
      <c r="O21" s="43" t="s">
        <v>256</v>
      </c>
      <c r="P21" s="43" t="s">
        <v>257</v>
      </c>
      <c r="R21" s="5"/>
      <c r="S21" s="5"/>
    </row>
    <row r="22" spans="1:19" outlineLevel="1" x14ac:dyDescent="0.2"/>
    <row r="23" spans="1:19" ht="12.75" outlineLevel="1" x14ac:dyDescent="0.2">
      <c r="B23" s="5" t="s">
        <v>231</v>
      </c>
    </row>
    <row r="24" spans="1:19" ht="12.75" outlineLevel="2" x14ac:dyDescent="0.2">
      <c r="B24" s="5"/>
      <c r="C24" s="38" t="s">
        <v>1214</v>
      </c>
    </row>
    <row r="25" spans="1:19" outlineLevel="2" x14ac:dyDescent="0.2">
      <c r="F25" s="558" t="s">
        <v>829</v>
      </c>
      <c r="G25" s="48" t="s">
        <v>42</v>
      </c>
      <c r="H25" s="48"/>
      <c r="I25" s="48"/>
      <c r="J25" s="775"/>
      <c r="K25" s="775"/>
      <c r="L25" s="775"/>
      <c r="M25" s="775"/>
      <c r="N25" s="775"/>
      <c r="O25" s="775"/>
      <c r="P25" s="775"/>
    </row>
    <row r="26" spans="1:19" outlineLevel="2" x14ac:dyDescent="0.2">
      <c r="F26" s="558" t="s">
        <v>195</v>
      </c>
      <c r="G26" s="48" t="s">
        <v>42</v>
      </c>
      <c r="H26" s="48"/>
      <c r="I26" s="48"/>
      <c r="J26" s="775"/>
      <c r="K26" s="775"/>
      <c r="L26" s="775"/>
      <c r="M26" s="775"/>
      <c r="N26" s="775"/>
      <c r="O26" s="775"/>
      <c r="P26" s="775"/>
    </row>
    <row r="27" spans="1:19" outlineLevel="2" x14ac:dyDescent="0.2">
      <c r="F27" s="558" t="s">
        <v>1218</v>
      </c>
      <c r="G27" s="48" t="s">
        <v>42</v>
      </c>
      <c r="H27" s="48"/>
      <c r="I27" s="48"/>
      <c r="J27" s="775"/>
      <c r="K27" s="775"/>
      <c r="L27" s="775"/>
      <c r="M27" s="775"/>
      <c r="N27" s="775"/>
      <c r="O27" s="775"/>
      <c r="P27" s="775"/>
    </row>
    <row r="28" spans="1:19" ht="4.1500000000000004" customHeight="1" outlineLevel="2" x14ac:dyDescent="0.2">
      <c r="G28" s="61"/>
      <c r="H28" s="61"/>
      <c r="I28" s="61"/>
      <c r="J28" s="53"/>
      <c r="K28" s="53"/>
      <c r="L28" s="53"/>
      <c r="M28" s="53"/>
      <c r="N28" s="53"/>
      <c r="O28" s="53"/>
      <c r="P28" s="53"/>
    </row>
    <row r="29" spans="1:19" outlineLevel="2" x14ac:dyDescent="0.2">
      <c r="F29" s="85" t="s">
        <v>1200</v>
      </c>
      <c r="G29" s="87"/>
      <c r="H29" s="87"/>
      <c r="I29" s="87"/>
      <c r="J29" s="88">
        <v>146536.73030256</v>
      </c>
      <c r="K29" s="88">
        <v>254239.93264178635</v>
      </c>
      <c r="L29" s="88">
        <v>318736.45665613341</v>
      </c>
      <c r="M29" s="88">
        <v>349250.60640786099</v>
      </c>
      <c r="N29" s="88">
        <v>380612.14042321692</v>
      </c>
      <c r="O29" s="88">
        <v>389808.67203789507</v>
      </c>
      <c r="P29" s="88">
        <v>398629.23647744907</v>
      </c>
    </row>
    <row r="30" spans="1:19" outlineLevel="2" x14ac:dyDescent="0.2">
      <c r="G30" s="61"/>
      <c r="H30" s="61"/>
      <c r="I30" s="61"/>
    </row>
    <row r="31" spans="1:19" ht="12.75" outlineLevel="2" x14ac:dyDescent="0.2">
      <c r="B31" s="5"/>
      <c r="C31" s="38" t="s">
        <v>1213</v>
      </c>
    </row>
    <row r="32" spans="1:19" outlineLevel="2" x14ac:dyDescent="0.2">
      <c r="F32" s="558" t="s">
        <v>24</v>
      </c>
      <c r="G32" s="48" t="s">
        <v>42</v>
      </c>
      <c r="H32" s="48"/>
      <c r="I32" s="48"/>
      <c r="J32" s="53">
        <v>0</v>
      </c>
      <c r="K32" s="53">
        <v>0</v>
      </c>
      <c r="L32" s="53">
        <v>284860.80000000005</v>
      </c>
      <c r="M32" s="53">
        <v>869181.51600000018</v>
      </c>
      <c r="N32" s="53">
        <v>1368257.6376000002</v>
      </c>
      <c r="O32" s="53">
        <v>1853868.1851430407</v>
      </c>
      <c r="P32" s="53">
        <v>1395023.2773042095</v>
      </c>
    </row>
    <row r="33" spans="2:16" outlineLevel="2" x14ac:dyDescent="0.2">
      <c r="F33" s="558" t="s">
        <v>1203</v>
      </c>
      <c r="G33" s="48" t="s">
        <v>42</v>
      </c>
      <c r="H33" s="48"/>
      <c r="I33" s="48"/>
      <c r="J33" s="53">
        <v>0</v>
      </c>
      <c r="K33" s="53">
        <v>25120</v>
      </c>
      <c r="L33" s="53">
        <v>76647.400000000009</v>
      </c>
      <c r="M33" s="53">
        <v>120657.64</v>
      </c>
      <c r="N33" s="53">
        <v>163480.43960697006</v>
      </c>
      <c r="O33" s="53">
        <v>123017.92568820188</v>
      </c>
      <c r="P33" s="53">
        <v>122964.19009815763</v>
      </c>
    </row>
    <row r="34" spans="2:16" ht="4.1500000000000004" customHeight="1" outlineLevel="2" x14ac:dyDescent="0.2">
      <c r="G34" s="61"/>
      <c r="H34" s="61"/>
      <c r="I34" s="61"/>
      <c r="J34" s="53"/>
      <c r="K34" s="53"/>
      <c r="L34" s="53"/>
      <c r="M34" s="53"/>
      <c r="N34" s="53"/>
      <c r="O34" s="53"/>
      <c r="P34" s="53"/>
    </row>
    <row r="35" spans="2:16" outlineLevel="2" x14ac:dyDescent="0.2">
      <c r="F35" s="85" t="s">
        <v>1220</v>
      </c>
      <c r="G35" s="87"/>
      <c r="H35" s="87"/>
      <c r="I35" s="87"/>
      <c r="J35" s="88">
        <v>0</v>
      </c>
      <c r="K35" s="88">
        <v>25120</v>
      </c>
      <c r="L35" s="88">
        <v>361508.20000000007</v>
      </c>
      <c r="M35" s="88">
        <v>989839.15600000019</v>
      </c>
      <c r="N35" s="88">
        <v>1531738.0772069702</v>
      </c>
      <c r="O35" s="88">
        <v>1976886.1108312425</v>
      </c>
      <c r="P35" s="88">
        <v>1517987.4674023672</v>
      </c>
    </row>
    <row r="36" spans="2:16" outlineLevel="1" x14ac:dyDescent="0.2">
      <c r="G36" s="61"/>
      <c r="H36" s="61"/>
      <c r="I36" s="61"/>
    </row>
    <row r="37" spans="2:16" outlineLevel="1" x14ac:dyDescent="0.2">
      <c r="G37" s="61"/>
      <c r="H37" s="61"/>
      <c r="I37" s="61"/>
    </row>
    <row r="38" spans="2:16" ht="12.75" outlineLevel="1" x14ac:dyDescent="0.2">
      <c r="B38" s="5" t="s">
        <v>1215</v>
      </c>
      <c r="G38" s="61"/>
      <c r="H38" s="61"/>
      <c r="I38" s="61"/>
    </row>
    <row r="39" spans="2:16" ht="12.75" outlineLevel="2" x14ac:dyDescent="0.2">
      <c r="B39" s="5"/>
      <c r="C39" s="38" t="s">
        <v>1214</v>
      </c>
      <c r="G39" s="61"/>
      <c r="H39" s="61"/>
      <c r="I39" s="61"/>
    </row>
    <row r="40" spans="2:16" outlineLevel="2" x14ac:dyDescent="0.2">
      <c r="F40" s="558" t="s">
        <v>829</v>
      </c>
      <c r="G40" s="48" t="s">
        <v>444</v>
      </c>
      <c r="H40" s="48"/>
      <c r="I40" s="48"/>
      <c r="J40" s="37">
        <v>354.18</v>
      </c>
      <c r="K40" s="37">
        <v>614.49917134867849</v>
      </c>
      <c r="L40" s="37">
        <v>770.38758804963686</v>
      </c>
      <c r="M40" s="37">
        <v>844.14043852441011</v>
      </c>
      <c r="N40" s="37">
        <v>919.94142094447932</v>
      </c>
      <c r="O40" s="37">
        <v>942.169483223209</v>
      </c>
      <c r="P40" s="37">
        <v>963.48883098503518</v>
      </c>
    </row>
    <row r="41" spans="2:16" outlineLevel="2" x14ac:dyDescent="0.2">
      <c r="F41" s="558" t="s">
        <v>195</v>
      </c>
      <c r="G41" s="48" t="s">
        <v>444</v>
      </c>
      <c r="H41" s="48"/>
      <c r="I41" s="48"/>
      <c r="J41" s="37">
        <v>354.18</v>
      </c>
      <c r="K41" s="37">
        <v>614.49917134867849</v>
      </c>
      <c r="L41" s="37">
        <v>770.38758804963686</v>
      </c>
      <c r="M41" s="37">
        <v>844.14043852441011</v>
      </c>
      <c r="N41" s="37">
        <v>919.94142094447932</v>
      </c>
      <c r="O41" s="37">
        <v>942.169483223209</v>
      </c>
      <c r="P41" s="37">
        <v>963.48883098503518</v>
      </c>
    </row>
    <row r="42" spans="2:16" outlineLevel="2" x14ac:dyDescent="0.2">
      <c r="F42" s="558" t="s">
        <v>1218</v>
      </c>
      <c r="G42" s="48" t="s">
        <v>444</v>
      </c>
      <c r="H42" s="48"/>
      <c r="I42" s="48"/>
      <c r="J42" s="37">
        <v>177.09</v>
      </c>
      <c r="K42" s="37">
        <v>307.24958567433924</v>
      </c>
      <c r="L42" s="37">
        <v>385.19379402481843</v>
      </c>
      <c r="M42" s="37">
        <v>422.07021926220506</v>
      </c>
      <c r="N42" s="37">
        <v>459.97071047223966</v>
      </c>
      <c r="O42" s="37">
        <v>471.0847416116045</v>
      </c>
      <c r="P42" s="37">
        <v>481.74441549251759</v>
      </c>
    </row>
    <row r="43" spans="2:16" ht="4.1500000000000004" customHeight="1" outlineLevel="2" x14ac:dyDescent="0.2">
      <c r="G43" s="61"/>
      <c r="H43" s="61"/>
      <c r="I43" s="61"/>
      <c r="J43" s="37"/>
      <c r="K43" s="37"/>
      <c r="L43" s="37"/>
      <c r="M43" s="37"/>
      <c r="N43" s="37"/>
      <c r="O43" s="37"/>
      <c r="P43" s="37"/>
    </row>
    <row r="44" spans="2:16" outlineLevel="2" x14ac:dyDescent="0.2">
      <c r="F44" s="85" t="s">
        <v>1211</v>
      </c>
      <c r="G44" s="87"/>
      <c r="H44" s="87"/>
      <c r="I44" s="87"/>
      <c r="J44" s="138">
        <v>885.45</v>
      </c>
      <c r="K44" s="138">
        <v>1536.2479283716962</v>
      </c>
      <c r="L44" s="138">
        <v>1925.9689701240923</v>
      </c>
      <c r="M44" s="138">
        <v>2110.3510963110252</v>
      </c>
      <c r="N44" s="138">
        <v>2299.8535523611981</v>
      </c>
      <c r="O44" s="138">
        <v>2355.4237080580224</v>
      </c>
      <c r="P44" s="138">
        <v>2408.722077462588</v>
      </c>
    </row>
    <row r="45" spans="2:16" outlineLevel="2" x14ac:dyDescent="0.2"/>
    <row r="46" spans="2:16" outlineLevel="2" x14ac:dyDescent="0.2">
      <c r="C46" s="38" t="s">
        <v>1213</v>
      </c>
    </row>
    <row r="47" spans="2:16" outlineLevel="2" x14ac:dyDescent="0.2">
      <c r="F47" s="558" t="s">
        <v>24</v>
      </c>
      <c r="G47" s="48" t="s">
        <v>443</v>
      </c>
      <c r="H47" s="48"/>
      <c r="I47" s="48"/>
      <c r="J47" s="37">
        <v>0</v>
      </c>
      <c r="K47" s="37">
        <v>0</v>
      </c>
      <c r="L47" s="37">
        <v>8000</v>
      </c>
      <c r="M47" s="37">
        <v>24410</v>
      </c>
      <c r="N47" s="37">
        <v>38426</v>
      </c>
      <c r="O47" s="37">
        <v>52063.834269735686</v>
      </c>
      <c r="P47" s="37">
        <v>39177.683340191681</v>
      </c>
    </row>
    <row r="48" spans="2:16" outlineLevel="2" x14ac:dyDescent="0.2">
      <c r="F48" s="558" t="s">
        <v>1203</v>
      </c>
      <c r="G48" s="48" t="s">
        <v>443</v>
      </c>
      <c r="H48" s="48"/>
      <c r="I48" s="48"/>
      <c r="J48" s="37">
        <v>0</v>
      </c>
      <c r="K48" s="37">
        <v>2000</v>
      </c>
      <c r="L48" s="37">
        <v>6102.5</v>
      </c>
      <c r="M48" s="37">
        <v>9606.5</v>
      </c>
      <c r="N48" s="37">
        <v>13015.958567433921</v>
      </c>
      <c r="O48" s="37">
        <v>9794.4208350479203</v>
      </c>
      <c r="P48" s="37">
        <v>9790.1425237386647</v>
      </c>
    </row>
    <row r="49" spans="2:16" ht="4.1500000000000004" customHeight="1" outlineLevel="2" x14ac:dyDescent="0.2"/>
    <row r="50" spans="2:16" outlineLevel="2" x14ac:dyDescent="0.2">
      <c r="F50" s="85" t="s">
        <v>1219</v>
      </c>
      <c r="G50" s="87"/>
      <c r="H50" s="87"/>
      <c r="I50" s="87"/>
      <c r="J50" s="138">
        <v>0</v>
      </c>
      <c r="K50" s="138">
        <v>2000</v>
      </c>
      <c r="L50" s="138">
        <v>14102.5</v>
      </c>
      <c r="M50" s="138">
        <v>34016.5</v>
      </c>
      <c r="N50" s="138">
        <v>51441.958567433918</v>
      </c>
      <c r="O50" s="138">
        <v>61858.255104783602</v>
      </c>
      <c r="P50" s="138">
        <v>48967.825863930346</v>
      </c>
    </row>
    <row r="51" spans="2:16" outlineLevel="1" x14ac:dyDescent="0.2"/>
    <row r="52" spans="2:16" outlineLevel="1" x14ac:dyDescent="0.2"/>
    <row r="53" spans="2:16" ht="12.75" outlineLevel="1" x14ac:dyDescent="0.2">
      <c r="B53" s="5" t="s">
        <v>631</v>
      </c>
    </row>
    <row r="54" spans="2:16" outlineLevel="2" x14ac:dyDescent="0.2"/>
    <row r="55" spans="2:16" outlineLevel="2" x14ac:dyDescent="0.2">
      <c r="C55" s="38" t="s">
        <v>24</v>
      </c>
    </row>
    <row r="56" spans="2:16" outlineLevel="2" x14ac:dyDescent="0.2">
      <c r="F56" s="558" t="s">
        <v>645</v>
      </c>
      <c r="G56" s="736">
        <v>5</v>
      </c>
      <c r="J56" s="37"/>
      <c r="K56" s="37"/>
      <c r="L56" s="37">
        <v>8000</v>
      </c>
      <c r="M56" s="37">
        <v>24410</v>
      </c>
      <c r="N56" s="37">
        <v>38426</v>
      </c>
      <c r="O56" s="37">
        <v>52063.834269735686</v>
      </c>
      <c r="P56" s="37">
        <v>39177.683340191681</v>
      </c>
    </row>
    <row r="57" spans="2:16" ht="4.1500000000000004" customHeight="1" outlineLevel="2" x14ac:dyDescent="0.2"/>
    <row r="58" spans="2:16" outlineLevel="2" x14ac:dyDescent="0.2">
      <c r="F58" s="558" t="s">
        <v>1018</v>
      </c>
      <c r="G58" s="737">
        <v>35.607600000000005</v>
      </c>
      <c r="J58" s="53">
        <v>0</v>
      </c>
      <c r="K58" s="53">
        <v>0</v>
      </c>
      <c r="L58" s="53">
        <v>284860.80000000005</v>
      </c>
      <c r="M58" s="53">
        <v>869181.51600000018</v>
      </c>
      <c r="N58" s="53">
        <v>1368257.6376000002</v>
      </c>
      <c r="O58" s="53">
        <v>1853868.1851430407</v>
      </c>
      <c r="P58" s="53">
        <v>1395023.2773042095</v>
      </c>
    </row>
    <row r="59" spans="2:16" outlineLevel="2" x14ac:dyDescent="0.2"/>
    <row r="60" spans="2:16" outlineLevel="2" x14ac:dyDescent="0.2">
      <c r="C60" s="38" t="s">
        <v>829</v>
      </c>
    </row>
    <row r="61" spans="2:16" outlineLevel="2" x14ac:dyDescent="0.2">
      <c r="F61" s="558" t="s">
        <v>1206</v>
      </c>
      <c r="G61" s="738">
        <v>5.0000000000000001E-3</v>
      </c>
      <c r="J61" s="37">
        <v>354.18</v>
      </c>
      <c r="K61" s="37">
        <v>614.49917134867849</v>
      </c>
      <c r="L61" s="37">
        <v>770.38758804963686</v>
      </c>
      <c r="M61" s="37">
        <v>844.14043852441011</v>
      </c>
      <c r="N61" s="37">
        <v>919.94142094447932</v>
      </c>
      <c r="O61" s="37">
        <v>942.169483223209</v>
      </c>
      <c r="P61" s="37">
        <v>963.48883098503518</v>
      </c>
    </row>
    <row r="62" spans="2:16" ht="4.1500000000000004" customHeight="1" outlineLevel="2" x14ac:dyDescent="0.2"/>
    <row r="63" spans="2:16" outlineLevel="2" x14ac:dyDescent="0.2">
      <c r="F63" s="558" t="s">
        <v>1019</v>
      </c>
      <c r="G63" s="737">
        <v>133.73259999999999</v>
      </c>
      <c r="J63" s="53">
        <v>47365.412268</v>
      </c>
      <c r="K63" s="53">
        <v>82178.57188230427</v>
      </c>
      <c r="L63" s="53">
        <v>103025.93515760686</v>
      </c>
      <c r="M63" s="53">
        <v>112889.09560900951</v>
      </c>
      <c r="N63" s="53">
        <v>123026.15807059966</v>
      </c>
      <c r="O63" s="53">
        <v>125998.77463209612</v>
      </c>
      <c r="P63" s="53">
        <v>128849.86643858931</v>
      </c>
    </row>
    <row r="64" spans="2:16" outlineLevel="2" x14ac:dyDescent="0.2">
      <c r="F64" s="558" t="s">
        <v>830</v>
      </c>
      <c r="G64" s="785"/>
      <c r="H64" s="83"/>
      <c r="I64" s="83"/>
      <c r="J64" s="775"/>
      <c r="K64" s="775"/>
      <c r="L64" s="775"/>
      <c r="M64" s="775"/>
      <c r="N64" s="775"/>
      <c r="O64" s="775"/>
      <c r="P64" s="775"/>
    </row>
    <row r="65" spans="3:16" ht="4.1500000000000004" customHeight="1" outlineLevel="2" x14ac:dyDescent="0.2"/>
    <row r="66" spans="3:16" outlineLevel="2" x14ac:dyDescent="0.2">
      <c r="F66" s="739" t="s">
        <v>1207</v>
      </c>
      <c r="G66" s="740"/>
      <c r="H66" s="740"/>
      <c r="I66" s="740"/>
      <c r="J66" s="786"/>
      <c r="K66" s="786"/>
      <c r="L66" s="786"/>
      <c r="M66" s="786"/>
      <c r="N66" s="786"/>
      <c r="O66" s="786"/>
      <c r="P66" s="786"/>
    </row>
    <row r="67" spans="3:16" outlineLevel="2" x14ac:dyDescent="0.2"/>
    <row r="68" spans="3:16" outlineLevel="2" x14ac:dyDescent="0.2">
      <c r="C68" s="38" t="s">
        <v>195</v>
      </c>
    </row>
    <row r="69" spans="3:16" outlineLevel="2" x14ac:dyDescent="0.2">
      <c r="F69" s="558" t="s">
        <v>716</v>
      </c>
      <c r="G69" s="738">
        <v>5.0000000000000001E-3</v>
      </c>
      <c r="J69" s="37">
        <v>354.18</v>
      </c>
      <c r="K69" s="37">
        <v>614.49917134867849</v>
      </c>
      <c r="L69" s="37">
        <v>770.38758804963686</v>
      </c>
      <c r="M69" s="37">
        <v>844.14043852441011</v>
      </c>
      <c r="N69" s="37">
        <v>919.94142094447932</v>
      </c>
      <c r="O69" s="37">
        <v>942.169483223209</v>
      </c>
      <c r="P69" s="37">
        <v>963.48883098503518</v>
      </c>
    </row>
    <row r="70" spans="3:16" ht="4.1500000000000004" customHeight="1" outlineLevel="2" x14ac:dyDescent="0.2"/>
    <row r="71" spans="3:16" outlineLevel="2" x14ac:dyDescent="0.2">
      <c r="F71" s="558" t="s">
        <v>1020</v>
      </c>
      <c r="G71" s="737">
        <v>133.73259999999999</v>
      </c>
      <c r="J71" s="53">
        <v>47365.412268</v>
      </c>
      <c r="K71" s="53">
        <v>82178.57188230427</v>
      </c>
      <c r="L71" s="53">
        <v>103025.93515760686</v>
      </c>
      <c r="M71" s="53">
        <v>112889.09560900951</v>
      </c>
      <c r="N71" s="53">
        <v>123026.15807059966</v>
      </c>
      <c r="O71" s="53">
        <v>125998.77463209612</v>
      </c>
      <c r="P71" s="53">
        <v>128849.86643858931</v>
      </c>
    </row>
    <row r="72" spans="3:16" outlineLevel="2" x14ac:dyDescent="0.2">
      <c r="F72" s="558" t="s">
        <v>634</v>
      </c>
      <c r="G72" s="785"/>
      <c r="H72" s="83"/>
      <c r="I72" s="83"/>
      <c r="J72" s="775"/>
      <c r="K72" s="775"/>
      <c r="L72" s="775"/>
      <c r="M72" s="775"/>
      <c r="N72" s="775"/>
      <c r="O72" s="775"/>
      <c r="P72" s="775"/>
    </row>
    <row r="73" spans="3:16" ht="4.1500000000000004" customHeight="1" outlineLevel="2" x14ac:dyDescent="0.2"/>
    <row r="74" spans="3:16" outlineLevel="2" x14ac:dyDescent="0.2">
      <c r="F74" s="739" t="s">
        <v>1208</v>
      </c>
      <c r="G74" s="740"/>
      <c r="H74" s="740"/>
      <c r="I74" s="740"/>
      <c r="J74" s="786"/>
      <c r="K74" s="786"/>
      <c r="L74" s="786"/>
      <c r="M74" s="786"/>
      <c r="N74" s="786"/>
      <c r="O74" s="786"/>
      <c r="P74" s="786"/>
    </row>
    <row r="75" spans="3:16" outlineLevel="2" x14ac:dyDescent="0.2"/>
    <row r="76" spans="3:16" outlineLevel="2" x14ac:dyDescent="0.2">
      <c r="C76" s="38" t="s">
        <v>1209</v>
      </c>
    </row>
    <row r="77" spans="3:16" outlineLevel="2" x14ac:dyDescent="0.2">
      <c r="F77" s="558" t="s">
        <v>1004</v>
      </c>
      <c r="G77" s="551">
        <v>2.5000000000000001E-3</v>
      </c>
      <c r="J77" s="37">
        <v>177.09</v>
      </c>
      <c r="K77" s="37">
        <v>307.24958567433924</v>
      </c>
      <c r="L77" s="37">
        <v>385.19379402481843</v>
      </c>
      <c r="M77" s="37">
        <v>422.07021926220506</v>
      </c>
      <c r="N77" s="37">
        <v>459.97071047223966</v>
      </c>
      <c r="O77" s="37">
        <v>471.0847416116045</v>
      </c>
      <c r="P77" s="37">
        <v>481.74441549251759</v>
      </c>
    </row>
    <row r="78" spans="3:16" ht="4.1500000000000004" customHeight="1" outlineLevel="2" x14ac:dyDescent="0.2"/>
    <row r="79" spans="3:16" outlineLevel="2" x14ac:dyDescent="0.2">
      <c r="F79" s="558" t="s">
        <v>1022</v>
      </c>
      <c r="G79" s="737">
        <v>133.73259999999999</v>
      </c>
      <c r="J79" s="53">
        <v>23682.706134</v>
      </c>
      <c r="K79" s="53">
        <v>41089.285941152135</v>
      </c>
      <c r="L79" s="53">
        <v>51512.967578803429</v>
      </c>
      <c r="M79" s="53">
        <v>56444.547804504757</v>
      </c>
      <c r="N79" s="53">
        <v>61513.07903529983</v>
      </c>
      <c r="O79" s="53">
        <v>62999.387316048058</v>
      </c>
      <c r="P79" s="53">
        <v>64424.933219294653</v>
      </c>
    </row>
    <row r="80" spans="3:16" outlineLevel="2" x14ac:dyDescent="0.2">
      <c r="F80" s="558" t="s">
        <v>1006</v>
      </c>
      <c r="G80" s="785"/>
      <c r="H80" s="83"/>
      <c r="I80" s="83"/>
      <c r="J80" s="775"/>
      <c r="K80" s="775"/>
      <c r="L80" s="775"/>
      <c r="M80" s="775"/>
      <c r="N80" s="775"/>
      <c r="O80" s="775"/>
      <c r="P80" s="775"/>
    </row>
    <row r="81" spans="1:16" ht="4.1500000000000004" customHeight="1" outlineLevel="2" x14ac:dyDescent="0.2"/>
    <row r="82" spans="1:16" outlineLevel="2" x14ac:dyDescent="0.2">
      <c r="F82" s="739" t="s">
        <v>1210</v>
      </c>
      <c r="G82" s="740"/>
      <c r="H82" s="740"/>
      <c r="I82" s="740"/>
      <c r="J82" s="786"/>
      <c r="K82" s="786"/>
      <c r="L82" s="786"/>
      <c r="M82" s="786"/>
      <c r="N82" s="786"/>
      <c r="O82" s="786"/>
      <c r="P82" s="786"/>
    </row>
    <row r="83" spans="1:16" outlineLevel="2" x14ac:dyDescent="0.2"/>
    <row r="84" spans="1:16" outlineLevel="2" x14ac:dyDescent="0.2">
      <c r="C84" s="38" t="s">
        <v>646</v>
      </c>
    </row>
    <row r="85" spans="1:16" outlineLevel="2" x14ac:dyDescent="0.2">
      <c r="F85" s="558" t="s">
        <v>1232</v>
      </c>
      <c r="G85" s="747">
        <v>0.25</v>
      </c>
      <c r="J85" s="37"/>
      <c r="K85" s="37">
        <v>2000</v>
      </c>
      <c r="L85" s="37">
        <v>6102.5</v>
      </c>
      <c r="M85" s="37">
        <v>9606.5</v>
      </c>
      <c r="N85" s="37">
        <v>13015.958567433921</v>
      </c>
      <c r="O85" s="37">
        <v>9794.4208350479203</v>
      </c>
      <c r="P85" s="37">
        <v>9790.1425237386647</v>
      </c>
    </row>
    <row r="86" spans="1:16" outlineLevel="2" x14ac:dyDescent="0.2">
      <c r="F86" s="558" t="s">
        <v>718</v>
      </c>
      <c r="G86" s="736">
        <v>4</v>
      </c>
      <c r="J86" s="37"/>
      <c r="K86" s="37"/>
      <c r="L86" s="37"/>
      <c r="M86" s="37"/>
      <c r="N86" s="37"/>
      <c r="O86" s="37"/>
      <c r="P86" s="37"/>
    </row>
    <row r="87" spans="1:16" ht="4.1500000000000004" customHeight="1" outlineLevel="2" x14ac:dyDescent="0.2"/>
    <row r="88" spans="1:16" outlineLevel="2" x14ac:dyDescent="0.2">
      <c r="F88" s="558" t="s">
        <v>1023</v>
      </c>
      <c r="G88" s="500">
        <v>12.56</v>
      </c>
      <c r="J88" s="53">
        <v>0</v>
      </c>
      <c r="K88" s="53">
        <v>25120</v>
      </c>
      <c r="L88" s="53">
        <v>76647.400000000009</v>
      </c>
      <c r="M88" s="53">
        <v>120657.64</v>
      </c>
      <c r="N88" s="53">
        <v>163480.43960697006</v>
      </c>
      <c r="O88" s="53">
        <v>123017.92568820188</v>
      </c>
      <c r="P88" s="53">
        <v>122964.19009815763</v>
      </c>
    </row>
    <row r="89" spans="1:16" outlineLevel="1" x14ac:dyDescent="0.2"/>
    <row r="90" spans="1:16" outlineLevel="1" x14ac:dyDescent="0.2"/>
    <row r="91" spans="1:16" ht="12.75" outlineLevel="1" x14ac:dyDescent="0.2">
      <c r="B91" s="5" t="s">
        <v>454</v>
      </c>
    </row>
    <row r="92" spans="1:16" ht="4.1500000000000004" customHeight="1" outlineLevel="2" x14ac:dyDescent="0.2"/>
    <row r="93" spans="1:16" outlineLevel="2" x14ac:dyDescent="0.2">
      <c r="A93" s="6"/>
      <c r="B93" s="6"/>
      <c r="F93" s="558" t="s">
        <v>52</v>
      </c>
      <c r="G93" s="48" t="s">
        <v>443</v>
      </c>
      <c r="H93" s="48"/>
      <c r="I93" s="48"/>
      <c r="J93" s="37">
        <v>0</v>
      </c>
      <c r="K93" s="37">
        <v>3063.48</v>
      </c>
      <c r="L93" s="37">
        <v>6126.96</v>
      </c>
      <c r="M93" s="37">
        <v>9190.44</v>
      </c>
      <c r="N93" s="37">
        <v>12253.92</v>
      </c>
      <c r="O93" s="37">
        <v>15317.4</v>
      </c>
      <c r="P93" s="37">
        <v>18380.88</v>
      </c>
    </row>
    <row r="94" spans="1:16" outlineLevel="2" x14ac:dyDescent="0.2">
      <c r="F94" s="558" t="s">
        <v>54</v>
      </c>
      <c r="G94" s="48" t="s">
        <v>443</v>
      </c>
      <c r="H94" s="48"/>
      <c r="I94" s="48"/>
      <c r="J94" s="37">
        <v>62831</v>
      </c>
      <c r="K94" s="37">
        <v>110631.35426973569</v>
      </c>
      <c r="L94" s="37">
        <v>137545.55760992737</v>
      </c>
      <c r="M94" s="37">
        <v>148032.64770488202</v>
      </c>
      <c r="N94" s="37">
        <v>158929.36418889585</v>
      </c>
      <c r="O94" s="37">
        <v>159111.4966446418</v>
      </c>
      <c r="P94" s="37">
        <v>159111.88619700703</v>
      </c>
    </row>
    <row r="95" spans="1:16" outlineLevel="2" x14ac:dyDescent="0.2">
      <c r="F95" s="558" t="s">
        <v>51</v>
      </c>
      <c r="G95" s="48" t="s">
        <v>443</v>
      </c>
      <c r="H95" s="48"/>
      <c r="I95" s="48"/>
      <c r="J95" s="37">
        <v>7531</v>
      </c>
      <c r="K95" s="37">
        <v>7531</v>
      </c>
      <c r="L95" s="37">
        <v>7531</v>
      </c>
      <c r="M95" s="37">
        <v>7531</v>
      </c>
      <c r="N95" s="37">
        <v>7531</v>
      </c>
      <c r="O95" s="37">
        <v>7531</v>
      </c>
      <c r="P95" s="37">
        <v>7531</v>
      </c>
    </row>
    <row r="96" spans="1:16" outlineLevel="2" x14ac:dyDescent="0.2">
      <c r="F96" s="558" t="s">
        <v>53</v>
      </c>
      <c r="G96" s="48" t="s">
        <v>443</v>
      </c>
      <c r="H96" s="48"/>
      <c r="I96" s="48"/>
      <c r="J96" s="37">
        <v>474</v>
      </c>
      <c r="K96" s="37">
        <v>474</v>
      </c>
      <c r="L96" s="37">
        <v>474</v>
      </c>
      <c r="M96" s="37">
        <v>474</v>
      </c>
      <c r="N96" s="37">
        <v>474</v>
      </c>
      <c r="O96" s="37">
        <v>474</v>
      </c>
      <c r="P96" s="37">
        <v>474</v>
      </c>
    </row>
    <row r="97" spans="1:20" outlineLevel="2" x14ac:dyDescent="0.2">
      <c r="F97" s="558" t="s">
        <v>1204</v>
      </c>
      <c r="G97" s="48" t="s">
        <v>443</v>
      </c>
      <c r="H97" s="48"/>
      <c r="I97" s="48"/>
      <c r="J97" s="37"/>
      <c r="K97" s="37">
        <v>1200</v>
      </c>
      <c r="L97" s="37">
        <v>2400</v>
      </c>
      <c r="M97" s="37">
        <v>3600</v>
      </c>
      <c r="N97" s="37">
        <v>4800</v>
      </c>
      <c r="O97" s="37">
        <v>6000</v>
      </c>
      <c r="P97" s="37">
        <v>7200</v>
      </c>
    </row>
    <row r="98" spans="1:20" ht="4.1500000000000004" customHeight="1" outlineLevel="2" x14ac:dyDescent="0.2"/>
    <row r="99" spans="1:20" ht="12.75" outlineLevel="2" thickBot="1" x14ac:dyDescent="0.25">
      <c r="F99" s="104" t="s">
        <v>47</v>
      </c>
      <c r="G99" s="89"/>
      <c r="H99" s="105">
        <v>8000</v>
      </c>
      <c r="I99" s="105">
        <v>32410</v>
      </c>
      <c r="J99" s="105">
        <v>70836</v>
      </c>
      <c r="K99" s="105">
        <v>122899.83426973569</v>
      </c>
      <c r="L99" s="105">
        <v>154077.51760992737</v>
      </c>
      <c r="M99" s="105">
        <v>168828.08770488203</v>
      </c>
      <c r="N99" s="105">
        <v>183988.28418889586</v>
      </c>
      <c r="O99" s="105">
        <v>188433.89664464179</v>
      </c>
      <c r="P99" s="105">
        <v>192697.76619700703</v>
      </c>
    </row>
    <row r="100" spans="1:20" ht="12.75" outlineLevel="1" thickTop="1" x14ac:dyDescent="0.2"/>
    <row r="101" spans="1:20" outlineLevel="1" x14ac:dyDescent="0.2"/>
    <row r="102" spans="1:20" ht="12.75" x14ac:dyDescent="0.2">
      <c r="A102" s="227" t="s">
        <v>523</v>
      </c>
      <c r="B102" s="80" t="s">
        <v>522</v>
      </c>
      <c r="G102" s="50"/>
      <c r="H102" s="50"/>
      <c r="I102" s="50"/>
    </row>
    <row r="103" spans="1:20" ht="15.75" thickBot="1" x14ac:dyDescent="0.3">
      <c r="A103" s="10" t="s">
        <v>31</v>
      </c>
      <c r="B103" s="10"/>
      <c r="C103" s="10"/>
      <c r="D103" s="10"/>
      <c r="E103" s="10"/>
      <c r="F103" s="10"/>
      <c r="G103" s="51"/>
      <c r="H103" s="51"/>
      <c r="I103" s="51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20" x14ac:dyDescent="0.2">
      <c r="G104" s="50"/>
      <c r="H104" s="50"/>
      <c r="I104" s="50"/>
    </row>
    <row r="105" spans="1:20" ht="12.75" x14ac:dyDescent="0.2">
      <c r="J105" s="604" t="s">
        <v>251</v>
      </c>
      <c r="K105" s="604" t="s">
        <v>252</v>
      </c>
      <c r="L105" s="604" t="s">
        <v>253</v>
      </c>
      <c r="M105" s="604" t="s">
        <v>254</v>
      </c>
      <c r="N105" s="604" t="s">
        <v>255</v>
      </c>
      <c r="O105" s="604" t="s">
        <v>256</v>
      </c>
      <c r="P105" s="604" t="s">
        <v>257</v>
      </c>
    </row>
    <row r="106" spans="1:20" x14ac:dyDescent="0.2">
      <c r="F106" s="558" t="s">
        <v>1205</v>
      </c>
      <c r="K106" s="169">
        <v>0.12</v>
      </c>
      <c r="L106" s="169">
        <v>0.24</v>
      </c>
      <c r="M106" s="169">
        <v>0.36</v>
      </c>
      <c r="N106" s="169">
        <v>0.48</v>
      </c>
      <c r="O106" s="169">
        <v>0.6</v>
      </c>
      <c r="P106" s="169">
        <v>0.72</v>
      </c>
      <c r="R106" s="7" t="s">
        <v>289</v>
      </c>
      <c r="S106" s="417"/>
    </row>
    <row r="107" spans="1:20" x14ac:dyDescent="0.2">
      <c r="F107" s="558" t="s">
        <v>1204</v>
      </c>
      <c r="K107" s="9">
        <v>1200</v>
      </c>
      <c r="L107" s="9">
        <v>1200</v>
      </c>
      <c r="M107" s="9">
        <v>1200</v>
      </c>
      <c r="N107" s="9">
        <v>1200</v>
      </c>
      <c r="O107" s="9">
        <v>1200</v>
      </c>
      <c r="P107" s="9">
        <v>1200</v>
      </c>
      <c r="R107" s="7" t="s">
        <v>289</v>
      </c>
      <c r="S107" s="417"/>
    </row>
    <row r="110" spans="1:20" ht="12.75" x14ac:dyDescent="0.2">
      <c r="A110" s="431"/>
      <c r="B110" s="431"/>
      <c r="C110" s="431"/>
      <c r="D110" s="431"/>
      <c r="E110" s="431"/>
      <c r="F110" s="431"/>
      <c r="G110" s="431"/>
      <c r="H110" s="431"/>
      <c r="I110" s="431"/>
      <c r="J110" s="604" t="s">
        <v>251</v>
      </c>
      <c r="K110" s="604" t="s">
        <v>252</v>
      </c>
      <c r="L110" s="604" t="s">
        <v>253</v>
      </c>
      <c r="M110" s="604" t="s">
        <v>254</v>
      </c>
      <c r="N110" s="604" t="s">
        <v>255</v>
      </c>
      <c r="O110" s="604" t="s">
        <v>256</v>
      </c>
      <c r="P110" s="604" t="s">
        <v>257</v>
      </c>
      <c r="Q110" s="431"/>
      <c r="R110" s="431"/>
      <c r="S110" s="431"/>
      <c r="T110" s="431"/>
    </row>
    <row r="111" spans="1:20" x14ac:dyDescent="0.2">
      <c r="A111" s="431"/>
      <c r="B111" s="431"/>
      <c r="C111" s="431"/>
      <c r="D111" s="431"/>
      <c r="E111" s="431"/>
      <c r="F111" s="431" t="s">
        <v>1024</v>
      </c>
      <c r="G111" s="431"/>
      <c r="H111" s="431"/>
      <c r="I111" s="431"/>
      <c r="J111" s="496">
        <v>1.0037014</v>
      </c>
      <c r="K111" s="496">
        <v>1.0373722000000001</v>
      </c>
      <c r="L111" s="496">
        <v>1.0420885</v>
      </c>
      <c r="M111" s="496">
        <v>1.0485361000000002</v>
      </c>
      <c r="N111" s="496">
        <v>1.0559986000000001</v>
      </c>
      <c r="O111" s="496">
        <v>1.0926544</v>
      </c>
      <c r="P111" s="496">
        <v>1.0987437999999998</v>
      </c>
      <c r="Q111" s="431"/>
      <c r="R111" s="7" t="s">
        <v>1250</v>
      </c>
      <c r="S111" s="417" t="s">
        <v>1252</v>
      </c>
      <c r="T111" s="431"/>
    </row>
  </sheetData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tabColor theme="5"/>
    <pageSetUpPr fitToPage="1"/>
  </sheetPr>
  <dimension ref="A1:AO174"/>
  <sheetViews>
    <sheetView showGridLines="0" zoomScale="85" zoomScaleNormal="85" workbookViewId="0">
      <selection activeCell="G26" sqref="G26"/>
    </sheetView>
  </sheetViews>
  <sheetFormatPr defaultColWidth="9" defaultRowHeight="12.75" outlineLevelRow="3" x14ac:dyDescent="0.2"/>
  <cols>
    <col min="1" max="1" width="13.83203125" style="30" customWidth="1"/>
    <col min="2" max="2" width="36.5" style="30" customWidth="1"/>
    <col min="3" max="3" width="16.33203125" style="30" customWidth="1"/>
    <col min="4" max="4" width="13.5" style="30" customWidth="1"/>
    <col min="5" max="5" width="13.83203125" style="30" customWidth="1"/>
    <col min="6" max="6" width="15.5" style="30" bestFit="1" customWidth="1"/>
    <col min="7" max="7" width="13.33203125" style="30" customWidth="1"/>
    <col min="8" max="12" width="12.5" style="30" customWidth="1"/>
    <col min="13" max="13" width="14.33203125" style="30" bestFit="1" customWidth="1"/>
    <col min="14" max="15" width="13.5" style="30" customWidth="1"/>
    <col min="16" max="39" width="14" style="30" customWidth="1"/>
    <col min="40" max="40" width="13.5" style="30" customWidth="1"/>
    <col min="41" max="41" width="9" style="30"/>
    <col min="42" max="42" width="11.33203125" style="30" customWidth="1"/>
    <col min="43" max="16384" width="9" style="30"/>
  </cols>
  <sheetData>
    <row r="1" spans="1:41" s="58" customFormat="1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41" s="58" customFormat="1" ht="16.5" thickBot="1" x14ac:dyDescent="0.3">
      <c r="A2" s="4" t="str">
        <f ca="1">RIGHT(CELL("filename",A2),LEN(CELL("filename",A2))-FIND("]",CELL("filename",A2)))</f>
        <v>Luminaire_Annuity</v>
      </c>
      <c r="B2" s="4"/>
      <c r="C2" s="4" t="s">
        <v>623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41" ht="13.5" thickTop="1" x14ac:dyDescent="0.2">
      <c r="A3" s="304"/>
      <c r="AN3" s="58"/>
    </row>
    <row r="4" spans="1:41" s="337" customFormat="1" ht="20.25" customHeight="1" x14ac:dyDescent="0.3">
      <c r="A4" s="307"/>
      <c r="B4" s="306" t="s">
        <v>626</v>
      </c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  <c r="AK4" s="305"/>
      <c r="AL4" s="305"/>
      <c r="AM4" s="305"/>
    </row>
    <row r="5" spans="1:41" ht="12" customHeight="1" thickBot="1" x14ac:dyDescent="0.25">
      <c r="A5" s="58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</row>
    <row r="6" spans="1:41" ht="15.75" x14ac:dyDescent="0.25">
      <c r="A6" s="58"/>
      <c r="B6" s="377" t="s">
        <v>622</v>
      </c>
      <c r="C6" s="376"/>
      <c r="D6" s="376"/>
      <c r="E6" s="376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4"/>
    </row>
    <row r="7" spans="1:41" ht="15.75" x14ac:dyDescent="0.25">
      <c r="A7" s="58"/>
      <c r="B7" s="373" t="s">
        <v>530</v>
      </c>
      <c r="C7" s="372"/>
      <c r="D7" s="372"/>
      <c r="E7" s="379">
        <v>1</v>
      </c>
      <c r="F7" s="379">
        <v>2</v>
      </c>
      <c r="G7" s="379">
        <v>3</v>
      </c>
      <c r="H7" s="379">
        <v>4</v>
      </c>
      <c r="I7" s="379">
        <v>5</v>
      </c>
      <c r="J7" s="379">
        <v>6</v>
      </c>
      <c r="K7" s="379">
        <v>7</v>
      </c>
      <c r="L7" s="379">
        <v>8</v>
      </c>
      <c r="M7" s="379">
        <v>9</v>
      </c>
      <c r="N7" s="379">
        <v>10</v>
      </c>
      <c r="O7" s="379">
        <v>11</v>
      </c>
      <c r="P7" s="379">
        <v>12</v>
      </c>
      <c r="Q7" s="379">
        <v>13</v>
      </c>
      <c r="R7" s="379">
        <v>14</v>
      </c>
      <c r="S7" s="379">
        <v>15</v>
      </c>
      <c r="T7" s="379">
        <v>16</v>
      </c>
      <c r="U7" s="379">
        <v>17</v>
      </c>
      <c r="V7" s="379">
        <v>18</v>
      </c>
      <c r="W7" s="379">
        <v>19</v>
      </c>
      <c r="X7" s="379">
        <v>20</v>
      </c>
      <c r="Y7" s="379">
        <v>21</v>
      </c>
      <c r="Z7" s="379">
        <v>22</v>
      </c>
      <c r="AA7" s="379">
        <v>23</v>
      </c>
      <c r="AB7" s="379">
        <v>24</v>
      </c>
      <c r="AC7" s="379">
        <v>25</v>
      </c>
      <c r="AD7" s="379">
        <v>26</v>
      </c>
      <c r="AE7" s="379">
        <v>27</v>
      </c>
      <c r="AF7" s="379">
        <v>28</v>
      </c>
      <c r="AG7" s="379">
        <v>29</v>
      </c>
      <c r="AH7" s="379">
        <v>30</v>
      </c>
      <c r="AI7" s="379">
        <v>31</v>
      </c>
      <c r="AJ7" s="379">
        <v>32</v>
      </c>
      <c r="AK7" s="379">
        <v>33</v>
      </c>
      <c r="AL7" s="379">
        <v>34</v>
      </c>
      <c r="AM7" s="379">
        <v>35</v>
      </c>
      <c r="AN7" s="371"/>
    </row>
    <row r="8" spans="1:41" x14ac:dyDescent="0.2">
      <c r="A8" s="58"/>
      <c r="B8" s="345"/>
      <c r="C8" s="314"/>
      <c r="D8" s="314"/>
      <c r="E8" s="314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69"/>
    </row>
    <row r="9" spans="1:41" x14ac:dyDescent="0.2">
      <c r="A9" s="58"/>
      <c r="B9" s="368" t="s">
        <v>621</v>
      </c>
      <c r="C9" s="367"/>
      <c r="D9" s="380" t="s">
        <v>42</v>
      </c>
      <c r="E9" s="367"/>
      <c r="F9" s="366">
        <f>Luminaire_Annuity!F170</f>
        <v>0</v>
      </c>
      <c r="G9" s="366">
        <f>Luminaire_Annuity!G170</f>
        <v>0</v>
      </c>
      <c r="H9" s="366">
        <f>Luminaire_Annuity!H170</f>
        <v>0</v>
      </c>
      <c r="I9" s="366">
        <f>Luminaire_Annuity!I170</f>
        <v>0</v>
      </c>
      <c r="J9" s="366">
        <f>Luminaire_Annuity!J170</f>
        <v>0</v>
      </c>
      <c r="K9" s="366">
        <f>Luminaire_Annuity!K170</f>
        <v>0</v>
      </c>
      <c r="L9" s="366">
        <f>Luminaire_Annuity!L170</f>
        <v>0</v>
      </c>
      <c r="M9" s="366">
        <f>Luminaire_Annuity!M170</f>
        <v>0</v>
      </c>
      <c r="N9" s="366">
        <f>Luminaire_Annuity!N170</f>
        <v>0</v>
      </c>
      <c r="O9" s="366">
        <f>Luminaire_Annuity!O170</f>
        <v>0</v>
      </c>
      <c r="P9" s="366">
        <f>Luminaire_Annuity!P170</f>
        <v>0</v>
      </c>
      <c r="Q9" s="366">
        <f>Luminaire_Annuity!Q170</f>
        <v>0</v>
      </c>
      <c r="R9" s="366">
        <f>Luminaire_Annuity!R170</f>
        <v>0</v>
      </c>
      <c r="S9" s="366">
        <f>Luminaire_Annuity!S170</f>
        <v>0</v>
      </c>
      <c r="T9" s="366">
        <f>Luminaire_Annuity!T170</f>
        <v>0</v>
      </c>
      <c r="U9" s="366">
        <f>Luminaire_Annuity!U170</f>
        <v>0</v>
      </c>
      <c r="V9" s="366">
        <f>Luminaire_Annuity!V170</f>
        <v>0</v>
      </c>
      <c r="W9" s="366">
        <f>Luminaire_Annuity!W170</f>
        <v>0</v>
      </c>
      <c r="X9" s="366">
        <f>Luminaire_Annuity!X170</f>
        <v>0</v>
      </c>
      <c r="Y9" s="366">
        <f>Luminaire_Annuity!Y170</f>
        <v>0</v>
      </c>
      <c r="Z9" s="366">
        <f>Luminaire_Annuity!Z170</f>
        <v>0</v>
      </c>
      <c r="AA9" s="366">
        <f>Luminaire_Annuity!AA170</f>
        <v>0</v>
      </c>
      <c r="AB9" s="366">
        <f>Luminaire_Annuity!AB170</f>
        <v>0</v>
      </c>
      <c r="AC9" s="366">
        <f>Luminaire_Annuity!AC170</f>
        <v>0</v>
      </c>
      <c r="AD9" s="366">
        <f>Luminaire_Annuity!AD170</f>
        <v>0</v>
      </c>
      <c r="AE9" s="366">
        <f>Luminaire_Annuity!AE170</f>
        <v>0</v>
      </c>
      <c r="AF9" s="366">
        <f>Luminaire_Annuity!AF170</f>
        <v>0</v>
      </c>
      <c r="AG9" s="366">
        <f>Luminaire_Annuity!AG170</f>
        <v>0</v>
      </c>
      <c r="AH9" s="366">
        <f>Luminaire_Annuity!AH170</f>
        <v>0</v>
      </c>
      <c r="AI9" s="366">
        <f>Luminaire_Annuity!AI170</f>
        <v>0</v>
      </c>
      <c r="AJ9" s="366">
        <f>Luminaire_Annuity!AJ170</f>
        <v>0</v>
      </c>
      <c r="AK9" s="366">
        <f>Luminaire_Annuity!AK170</f>
        <v>0</v>
      </c>
      <c r="AL9" s="366">
        <f>Luminaire_Annuity!AL170</f>
        <v>0</v>
      </c>
      <c r="AM9" s="366">
        <f>Luminaire_Annuity!AM170</f>
        <v>0</v>
      </c>
      <c r="AN9" s="365">
        <f>Luminaire_Annuity!AN170</f>
        <v>0</v>
      </c>
      <c r="AO9" s="364">
        <f>SUM(F9:AN9)</f>
        <v>0</v>
      </c>
    </row>
    <row r="10" spans="1:41" x14ac:dyDescent="0.2">
      <c r="A10" s="58"/>
      <c r="B10" s="363"/>
      <c r="C10" s="362"/>
      <c r="D10" s="381"/>
      <c r="E10" s="362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61"/>
      <c r="S10" s="361"/>
      <c r="T10" s="361"/>
      <c r="U10" s="361"/>
      <c r="V10" s="361"/>
      <c r="W10" s="361"/>
      <c r="X10" s="361"/>
      <c r="Y10" s="361"/>
      <c r="Z10" s="361"/>
      <c r="AA10" s="361"/>
      <c r="AB10" s="361"/>
      <c r="AC10" s="361"/>
      <c r="AD10" s="361"/>
      <c r="AE10" s="361"/>
      <c r="AF10" s="361"/>
      <c r="AG10" s="361"/>
      <c r="AH10" s="361"/>
      <c r="AI10" s="361"/>
      <c r="AJ10" s="361"/>
      <c r="AK10" s="361"/>
      <c r="AL10" s="361"/>
      <c r="AM10" s="361"/>
      <c r="AN10" s="360"/>
    </row>
    <row r="11" spans="1:41" x14ac:dyDescent="0.2">
      <c r="A11" s="58"/>
      <c r="B11" s="345" t="s">
        <v>620</v>
      </c>
      <c r="C11" s="314"/>
      <c r="D11" s="382" t="s">
        <v>42</v>
      </c>
      <c r="E11" s="314"/>
      <c r="F11" s="344">
        <f>NPV(Luminaire_Annuity!$C$41,Luminaire_Annuity!F9:AN9)</f>
        <v>0</v>
      </c>
      <c r="G11" s="359"/>
      <c r="H11" s="359"/>
      <c r="I11" s="359"/>
      <c r="J11" s="359"/>
      <c r="K11" s="359"/>
      <c r="L11" s="359"/>
      <c r="M11" s="359"/>
      <c r="N11" s="359"/>
      <c r="O11" s="359"/>
      <c r="P11" s="359"/>
      <c r="Q11" s="359"/>
      <c r="R11" s="359"/>
      <c r="S11" s="359"/>
      <c r="T11" s="359"/>
      <c r="U11" s="359"/>
      <c r="V11" s="359"/>
      <c r="W11" s="359"/>
      <c r="X11" s="359"/>
      <c r="Y11" s="359"/>
      <c r="Z11" s="359"/>
      <c r="AA11" s="359"/>
      <c r="AB11" s="359"/>
      <c r="AC11" s="359"/>
      <c r="AD11" s="359"/>
      <c r="AE11" s="359"/>
      <c r="AF11" s="359"/>
      <c r="AG11" s="359"/>
      <c r="AH11" s="359"/>
      <c r="AI11" s="359"/>
      <c r="AJ11" s="359"/>
      <c r="AK11" s="359"/>
      <c r="AL11" s="359"/>
      <c r="AM11" s="359"/>
      <c r="AN11" s="358"/>
    </row>
    <row r="12" spans="1:41" x14ac:dyDescent="0.2">
      <c r="A12" s="58"/>
      <c r="B12" s="345"/>
      <c r="C12" s="314"/>
      <c r="D12" s="382"/>
      <c r="E12" s="314"/>
      <c r="F12" s="357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5"/>
    </row>
    <row r="13" spans="1:41" x14ac:dyDescent="0.2">
      <c r="A13" s="58"/>
      <c r="B13" s="354" t="s">
        <v>619</v>
      </c>
      <c r="C13" s="353"/>
      <c r="D13" s="383"/>
      <c r="E13" s="353"/>
      <c r="F13" s="352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2"/>
      <c r="AL13" s="352"/>
      <c r="AM13" s="352"/>
      <c r="AN13" s="351"/>
    </row>
    <row r="14" spans="1:41" x14ac:dyDescent="0.2">
      <c r="A14" s="58"/>
      <c r="B14" s="345"/>
      <c r="C14" s="314"/>
      <c r="D14" s="382"/>
      <c r="E14" s="314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3"/>
      <c r="AI14" s="343"/>
      <c r="AJ14" s="343"/>
      <c r="AK14" s="343"/>
      <c r="AL14" s="343"/>
      <c r="AM14" s="343"/>
      <c r="AN14" s="342"/>
    </row>
    <row r="15" spans="1:41" x14ac:dyDescent="0.2">
      <c r="A15" s="123"/>
      <c r="B15" s="345" t="s">
        <v>617</v>
      </c>
      <c r="C15" s="314"/>
      <c r="D15" s="382" t="s">
        <v>42</v>
      </c>
      <c r="E15" s="314"/>
      <c r="F15" s="350">
        <v>-1.7763568394002505E-15</v>
      </c>
      <c r="G15" s="349">
        <f t="shared" ref="G15:AM15" si="0">IF((G7-1)&gt;A3stdlife,0,$F$15)</f>
        <v>-1.7763568394002505E-15</v>
      </c>
      <c r="H15" s="348">
        <f t="shared" si="0"/>
        <v>-1.7763568394002505E-15</v>
      </c>
      <c r="I15" s="348">
        <f t="shared" si="0"/>
        <v>-1.7763568394002505E-15</v>
      </c>
      <c r="J15" s="348">
        <f t="shared" si="0"/>
        <v>-1.7763568394002505E-15</v>
      </c>
      <c r="K15" s="348">
        <f t="shared" si="0"/>
        <v>-1.7763568394002505E-15</v>
      </c>
      <c r="L15" s="348">
        <f t="shared" si="0"/>
        <v>-1.7763568394002505E-15</v>
      </c>
      <c r="M15" s="348">
        <f t="shared" si="0"/>
        <v>-1.7763568394002505E-15</v>
      </c>
      <c r="N15" s="348">
        <f t="shared" si="0"/>
        <v>-1.7763568394002505E-15</v>
      </c>
      <c r="O15" s="348">
        <f t="shared" si="0"/>
        <v>-1.7763568394002505E-15</v>
      </c>
      <c r="P15" s="348">
        <f t="shared" si="0"/>
        <v>-1.7763568394002505E-15</v>
      </c>
      <c r="Q15" s="348">
        <f t="shared" si="0"/>
        <v>-1.7763568394002505E-15</v>
      </c>
      <c r="R15" s="348">
        <f t="shared" si="0"/>
        <v>-1.7763568394002505E-15</v>
      </c>
      <c r="S15" s="348">
        <f t="shared" si="0"/>
        <v>-1.7763568394002505E-15</v>
      </c>
      <c r="T15" s="348">
        <f t="shared" si="0"/>
        <v>-1.7763568394002505E-15</v>
      </c>
      <c r="U15" s="348">
        <f t="shared" si="0"/>
        <v>-1.7763568394002505E-15</v>
      </c>
      <c r="V15" s="348">
        <f t="shared" si="0"/>
        <v>-1.7763568394002505E-15</v>
      </c>
      <c r="W15" s="348">
        <f t="shared" si="0"/>
        <v>0</v>
      </c>
      <c r="X15" s="348">
        <f t="shared" si="0"/>
        <v>0</v>
      </c>
      <c r="Y15" s="348">
        <f t="shared" si="0"/>
        <v>0</v>
      </c>
      <c r="Z15" s="348">
        <f t="shared" si="0"/>
        <v>0</v>
      </c>
      <c r="AA15" s="348">
        <f t="shared" si="0"/>
        <v>0</v>
      </c>
      <c r="AB15" s="348">
        <f t="shared" si="0"/>
        <v>0</v>
      </c>
      <c r="AC15" s="348">
        <f t="shared" si="0"/>
        <v>0</v>
      </c>
      <c r="AD15" s="348">
        <f t="shared" si="0"/>
        <v>0</v>
      </c>
      <c r="AE15" s="348">
        <f t="shared" si="0"/>
        <v>0</v>
      </c>
      <c r="AF15" s="348">
        <f t="shared" si="0"/>
        <v>0</v>
      </c>
      <c r="AG15" s="348">
        <f t="shared" si="0"/>
        <v>0</v>
      </c>
      <c r="AH15" s="348">
        <f t="shared" si="0"/>
        <v>0</v>
      </c>
      <c r="AI15" s="348">
        <f t="shared" si="0"/>
        <v>0</v>
      </c>
      <c r="AJ15" s="348">
        <f t="shared" si="0"/>
        <v>0</v>
      </c>
      <c r="AK15" s="348">
        <f t="shared" si="0"/>
        <v>0</v>
      </c>
      <c r="AL15" s="348">
        <f t="shared" si="0"/>
        <v>0</v>
      </c>
      <c r="AM15" s="348">
        <f t="shared" si="0"/>
        <v>0</v>
      </c>
      <c r="AN15" s="347"/>
      <c r="AO15" s="346">
        <f>SUM(F15:AN15)</f>
        <v>-3.0198066269804258E-14</v>
      </c>
    </row>
    <row r="16" spans="1:41" x14ac:dyDescent="0.2">
      <c r="A16" s="58"/>
      <c r="B16" s="345"/>
      <c r="C16" s="314"/>
      <c r="D16" s="382"/>
      <c r="E16" s="314"/>
      <c r="F16" s="343"/>
      <c r="G16" s="343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3"/>
      <c r="T16" s="343"/>
      <c r="U16" s="343"/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  <c r="AL16" s="343"/>
      <c r="AM16" s="343"/>
      <c r="AN16" s="342"/>
    </row>
    <row r="17" spans="1:41" x14ac:dyDescent="0.2">
      <c r="A17" s="58"/>
      <c r="B17" s="345" t="s">
        <v>616</v>
      </c>
      <c r="C17" s="314"/>
      <c r="D17" s="382" t="s">
        <v>42</v>
      </c>
      <c r="E17" s="314"/>
      <c r="F17" s="344">
        <f>NPV(Luminaire_Annuity!$C$41,Luminaire_Annuity!F15:AN15)</f>
        <v>-2.3602525355244795E-14</v>
      </c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3"/>
      <c r="T17" s="343"/>
      <c r="U17" s="343"/>
      <c r="V17" s="343"/>
      <c r="W17" s="343"/>
      <c r="X17" s="343"/>
      <c r="Y17" s="343"/>
      <c r="Z17" s="343"/>
      <c r="AA17" s="343"/>
      <c r="AB17" s="343"/>
      <c r="AC17" s="343"/>
      <c r="AD17" s="343"/>
      <c r="AE17" s="343"/>
      <c r="AF17" s="343"/>
      <c r="AG17" s="343"/>
      <c r="AH17" s="343"/>
      <c r="AI17" s="343"/>
      <c r="AJ17" s="343"/>
      <c r="AK17" s="343"/>
      <c r="AL17" s="343"/>
      <c r="AM17" s="343"/>
      <c r="AN17" s="342"/>
    </row>
    <row r="18" spans="1:41" ht="13.5" thickBot="1" x14ac:dyDescent="0.25">
      <c r="A18" s="58"/>
      <c r="B18" s="341"/>
      <c r="C18" s="340"/>
      <c r="D18" s="384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39"/>
    </row>
    <row r="19" spans="1:41" x14ac:dyDescent="0.2">
      <c r="A19" s="58"/>
      <c r="B19" s="354" t="s">
        <v>618</v>
      </c>
      <c r="C19" s="353"/>
      <c r="D19" s="383"/>
      <c r="E19" s="353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1"/>
    </row>
    <row r="20" spans="1:41" x14ac:dyDescent="0.2">
      <c r="A20" s="58"/>
      <c r="B20" s="345"/>
      <c r="C20" s="314"/>
      <c r="D20" s="382"/>
      <c r="E20" s="314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2"/>
    </row>
    <row r="21" spans="1:41" x14ac:dyDescent="0.2">
      <c r="A21" s="58"/>
      <c r="B21" s="345" t="s">
        <v>617</v>
      </c>
      <c r="C21" s="314"/>
      <c r="D21" s="382" t="s">
        <v>42</v>
      </c>
      <c r="E21" s="314"/>
      <c r="F21" s="350">
        <v>-1.7763568394002505E-15</v>
      </c>
      <c r="G21" s="349">
        <f t="shared" ref="G21:AM21" si="1">IF((G7-1)&gt;A3stdlife,0,$F$21)</f>
        <v>-1.7763568394002505E-15</v>
      </c>
      <c r="H21" s="348">
        <f t="shared" si="1"/>
        <v>-1.7763568394002505E-15</v>
      </c>
      <c r="I21" s="348">
        <f t="shared" si="1"/>
        <v>-1.7763568394002505E-15</v>
      </c>
      <c r="J21" s="348">
        <f t="shared" si="1"/>
        <v>-1.7763568394002505E-15</v>
      </c>
      <c r="K21" s="348">
        <f t="shared" si="1"/>
        <v>-1.7763568394002505E-15</v>
      </c>
      <c r="L21" s="348">
        <f t="shared" si="1"/>
        <v>-1.7763568394002505E-15</v>
      </c>
      <c r="M21" s="348">
        <f t="shared" si="1"/>
        <v>-1.7763568394002505E-15</v>
      </c>
      <c r="N21" s="348">
        <f t="shared" si="1"/>
        <v>-1.7763568394002505E-15</v>
      </c>
      <c r="O21" s="348">
        <f t="shared" si="1"/>
        <v>-1.7763568394002505E-15</v>
      </c>
      <c r="P21" s="348">
        <f t="shared" si="1"/>
        <v>-1.7763568394002505E-15</v>
      </c>
      <c r="Q21" s="348">
        <f t="shared" si="1"/>
        <v>-1.7763568394002505E-15</v>
      </c>
      <c r="R21" s="348">
        <f t="shared" si="1"/>
        <v>-1.7763568394002505E-15</v>
      </c>
      <c r="S21" s="348">
        <f t="shared" si="1"/>
        <v>-1.7763568394002505E-15</v>
      </c>
      <c r="T21" s="348">
        <f t="shared" si="1"/>
        <v>-1.7763568394002505E-15</v>
      </c>
      <c r="U21" s="348">
        <f t="shared" si="1"/>
        <v>-1.7763568394002505E-15</v>
      </c>
      <c r="V21" s="348">
        <f t="shared" si="1"/>
        <v>-1.7763568394002505E-15</v>
      </c>
      <c r="W21" s="348">
        <f t="shared" si="1"/>
        <v>0</v>
      </c>
      <c r="X21" s="348">
        <f t="shared" si="1"/>
        <v>0</v>
      </c>
      <c r="Y21" s="348">
        <f t="shared" si="1"/>
        <v>0</v>
      </c>
      <c r="Z21" s="348">
        <f t="shared" si="1"/>
        <v>0</v>
      </c>
      <c r="AA21" s="348">
        <f t="shared" si="1"/>
        <v>0</v>
      </c>
      <c r="AB21" s="348">
        <f t="shared" si="1"/>
        <v>0</v>
      </c>
      <c r="AC21" s="348">
        <f t="shared" si="1"/>
        <v>0</v>
      </c>
      <c r="AD21" s="348">
        <f t="shared" si="1"/>
        <v>0</v>
      </c>
      <c r="AE21" s="348">
        <f t="shared" si="1"/>
        <v>0</v>
      </c>
      <c r="AF21" s="348">
        <f t="shared" si="1"/>
        <v>0</v>
      </c>
      <c r="AG21" s="348">
        <f t="shared" si="1"/>
        <v>0</v>
      </c>
      <c r="AH21" s="348">
        <f t="shared" si="1"/>
        <v>0</v>
      </c>
      <c r="AI21" s="348">
        <f t="shared" si="1"/>
        <v>0</v>
      </c>
      <c r="AJ21" s="348">
        <f t="shared" si="1"/>
        <v>0</v>
      </c>
      <c r="AK21" s="348">
        <f t="shared" si="1"/>
        <v>0</v>
      </c>
      <c r="AL21" s="348">
        <f t="shared" si="1"/>
        <v>0</v>
      </c>
      <c r="AM21" s="348">
        <f t="shared" si="1"/>
        <v>0</v>
      </c>
      <c r="AN21" s="347"/>
      <c r="AO21" s="346">
        <f>SUM(F21:AN21)</f>
        <v>-3.0198066269804258E-14</v>
      </c>
    </row>
    <row r="22" spans="1:41" x14ac:dyDescent="0.2">
      <c r="A22" s="58"/>
      <c r="B22" s="345"/>
      <c r="C22" s="314"/>
      <c r="D22" s="382"/>
      <c r="E22" s="314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2"/>
    </row>
    <row r="23" spans="1:41" x14ac:dyDescent="0.2">
      <c r="A23" s="58"/>
      <c r="B23" s="345" t="s">
        <v>616</v>
      </c>
      <c r="C23" s="314"/>
      <c r="D23" s="382" t="s">
        <v>42</v>
      </c>
      <c r="E23" s="314"/>
      <c r="F23" s="344">
        <f>F21+NPV(Luminaire_Annuity!$C$41,Luminaire_Annuity!G21:AN21)</f>
        <v>-2.4283859118010122E-14</v>
      </c>
      <c r="G23" s="343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2"/>
    </row>
    <row r="24" spans="1:41" ht="13.5" thickBot="1" x14ac:dyDescent="0.25">
      <c r="A24" s="58"/>
      <c r="B24" s="341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0"/>
      <c r="AA24" s="340"/>
      <c r="AB24" s="340"/>
      <c r="AC24" s="340"/>
      <c r="AD24" s="340"/>
      <c r="AE24" s="340"/>
      <c r="AF24" s="340"/>
      <c r="AG24" s="340"/>
      <c r="AH24" s="340"/>
      <c r="AI24" s="340"/>
      <c r="AJ24" s="340"/>
      <c r="AK24" s="340"/>
      <c r="AL24" s="340"/>
      <c r="AM24" s="340"/>
      <c r="AN24" s="339"/>
    </row>
    <row r="25" spans="1:41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</row>
    <row r="26" spans="1:41" x14ac:dyDescent="0.2">
      <c r="A26" s="58"/>
      <c r="B26" s="58"/>
      <c r="C26" s="58"/>
      <c r="D26" s="58"/>
      <c r="E26" s="58"/>
      <c r="F26" s="58"/>
      <c r="G26" s="58"/>
      <c r="H26" s="58"/>
      <c r="I26" s="338"/>
      <c r="J26" s="58"/>
      <c r="K26" s="58"/>
      <c r="L26" s="58"/>
      <c r="M26" s="58"/>
      <c r="N26" s="58"/>
      <c r="O26" s="58"/>
      <c r="P26" s="58"/>
      <c r="Q26" s="58"/>
      <c r="R26" s="58"/>
    </row>
    <row r="27" spans="1:41" x14ac:dyDescent="0.2">
      <c r="B27" s="58"/>
      <c r="C27" s="58"/>
      <c r="D27" s="58"/>
      <c r="E27" s="58"/>
      <c r="F27" s="58"/>
      <c r="G27" s="58"/>
      <c r="I27" s="337" t="s">
        <v>615</v>
      </c>
      <c r="J27" s="337"/>
      <c r="K27" s="337"/>
      <c r="L27" s="616">
        <f>ROUND(AVERAGE(G15,G21),2)</f>
        <v>0</v>
      </c>
      <c r="M27" s="649" t="s">
        <v>869</v>
      </c>
      <c r="N27" s="337"/>
    </row>
    <row r="28" spans="1:41" ht="13.5" thickBot="1" x14ac:dyDescent="0.25">
      <c r="B28" s="30" t="s">
        <v>1113</v>
      </c>
      <c r="F28" s="336">
        <f>F17-F11</f>
        <v>-2.3602525355244795E-14</v>
      </c>
      <c r="G28" s="335" t="s">
        <v>614</v>
      </c>
      <c r="I28" s="337" t="str">
        <f>"Real Input Cost Escalation "&amp;Tariff_Year</f>
        <v>Real Input Cost Escalation 2020/21</v>
      </c>
      <c r="J28" s="337"/>
      <c r="K28" s="337"/>
      <c r="L28" s="616">
        <f>L27*INDEX('Global Assumptions'!$72:$72,1,MATCH(Tariff_Year,'Global Assumptions'!$65:$65,0))</f>
        <v>0</v>
      </c>
      <c r="M28" s="649" t="s">
        <v>869</v>
      </c>
    </row>
    <row r="29" spans="1:41" ht="16.5" thickTop="1" thickBot="1" x14ac:dyDescent="0.35">
      <c r="B29" s="30" t="s">
        <v>1114</v>
      </c>
      <c r="F29" s="336">
        <f>F23-F11</f>
        <v>-2.4283859118010122E-14</v>
      </c>
      <c r="G29" s="335" t="s">
        <v>614</v>
      </c>
      <c r="I29" s="337" t="str">
        <f>"2017 to "&amp;CPI_Year</f>
        <v>2017 to $June 2020</v>
      </c>
      <c r="J29" s="337"/>
      <c r="K29" s="337"/>
      <c r="L29" s="385">
        <f>L28*__DynamicYrNominal</f>
        <v>0</v>
      </c>
      <c r="M29" s="649" t="str">
        <f>IF(CPI_Year&lt;&gt;"$June 2020","("&amp;CPI_Year&amp;")","($June 2020)")</f>
        <v>($June 2020)</v>
      </c>
      <c r="N29" s="498" t="s">
        <v>750</v>
      </c>
    </row>
    <row r="30" spans="1:41" ht="13.5" thickTop="1" x14ac:dyDescent="0.2">
      <c r="A30" s="304"/>
      <c r="AN30" s="58"/>
    </row>
    <row r="31" spans="1:41" x14ac:dyDescent="0.2">
      <c r="A31" s="304"/>
      <c r="AN31" s="58"/>
    </row>
    <row r="32" spans="1:41" x14ac:dyDescent="0.2">
      <c r="A32" s="304"/>
      <c r="AN32" s="58"/>
    </row>
    <row r="33" spans="1:40" x14ac:dyDescent="0.2">
      <c r="A33" s="304"/>
      <c r="AN33" s="58"/>
    </row>
    <row r="34" spans="1:40" ht="20.25" customHeight="1" x14ac:dyDescent="0.3">
      <c r="A34" s="307"/>
      <c r="B34" s="306" t="s">
        <v>613</v>
      </c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</row>
    <row r="35" spans="1:40" x14ac:dyDescent="0.2">
      <c r="A35" s="304"/>
      <c r="D35" s="334"/>
      <c r="S35" s="333"/>
      <c r="AN35" s="58"/>
    </row>
    <row r="36" spans="1:40" ht="15.75" x14ac:dyDescent="0.25">
      <c r="A36" s="304"/>
      <c r="B36" s="321" t="s">
        <v>612</v>
      </c>
      <c r="C36" s="320"/>
      <c r="D36" s="320"/>
      <c r="E36" s="319">
        <v>1</v>
      </c>
      <c r="F36" s="319">
        <v>2</v>
      </c>
      <c r="G36" s="319">
        <v>3</v>
      </c>
      <c r="H36" s="319">
        <v>4</v>
      </c>
      <c r="I36" s="319">
        <v>5</v>
      </c>
      <c r="J36" s="319">
        <v>6</v>
      </c>
      <c r="K36" s="319">
        <v>7</v>
      </c>
      <c r="L36" s="319">
        <v>8</v>
      </c>
      <c r="M36" s="319">
        <v>9</v>
      </c>
      <c r="N36" s="319">
        <v>10</v>
      </c>
      <c r="O36" s="319">
        <v>11</v>
      </c>
      <c r="P36" s="319">
        <v>12</v>
      </c>
      <c r="Q36" s="319">
        <v>13</v>
      </c>
      <c r="R36" s="319">
        <v>14</v>
      </c>
      <c r="S36" s="319">
        <v>15</v>
      </c>
      <c r="T36" s="319">
        <v>16</v>
      </c>
      <c r="U36" s="319">
        <v>17</v>
      </c>
      <c r="V36" s="319">
        <v>18</v>
      </c>
      <c r="W36" s="319">
        <v>19</v>
      </c>
      <c r="X36" s="319">
        <v>20</v>
      </c>
      <c r="Y36" s="319">
        <v>21</v>
      </c>
      <c r="Z36" s="319">
        <v>22</v>
      </c>
      <c r="AA36" s="319">
        <v>23</v>
      </c>
      <c r="AB36" s="319">
        <v>24</v>
      </c>
      <c r="AC36" s="319">
        <v>25</v>
      </c>
      <c r="AD36" s="319">
        <v>26</v>
      </c>
      <c r="AE36" s="319">
        <v>27</v>
      </c>
      <c r="AF36" s="319">
        <v>28</v>
      </c>
      <c r="AG36" s="319">
        <v>29</v>
      </c>
      <c r="AH36" s="319">
        <v>30</v>
      </c>
      <c r="AI36" s="319">
        <v>31</v>
      </c>
      <c r="AJ36" s="319">
        <v>32</v>
      </c>
      <c r="AK36" s="319">
        <v>33</v>
      </c>
      <c r="AL36" s="319">
        <v>34</v>
      </c>
      <c r="AM36" s="319">
        <v>35</v>
      </c>
      <c r="AN36" s="58"/>
    </row>
    <row r="37" spans="1:40" ht="15" x14ac:dyDescent="0.25">
      <c r="A37" s="304"/>
      <c r="B37" s="318" t="s">
        <v>530</v>
      </c>
      <c r="C37" s="317"/>
      <c r="D37" s="317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58"/>
    </row>
    <row r="38" spans="1:40" x14ac:dyDescent="0.2">
      <c r="A38" s="304"/>
      <c r="B38" s="315"/>
      <c r="C38" s="314"/>
      <c r="D38" s="314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58"/>
    </row>
    <row r="39" spans="1:40" x14ac:dyDescent="0.2">
      <c r="B39" s="331" t="s">
        <v>611</v>
      </c>
      <c r="C39" s="331"/>
      <c r="D39" s="331"/>
      <c r="E39" s="331"/>
      <c r="F39" s="332"/>
      <c r="G39" s="332"/>
      <c r="H39" s="332"/>
      <c r="I39" s="332"/>
      <c r="J39" s="331"/>
      <c r="K39" s="331"/>
      <c r="L39" s="331"/>
      <c r="M39" s="331"/>
      <c r="N39" s="331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331"/>
      <c r="AD39" s="331"/>
      <c r="AE39" s="331"/>
      <c r="AF39" s="331"/>
      <c r="AG39" s="331"/>
      <c r="AH39" s="331"/>
      <c r="AI39" s="331"/>
      <c r="AJ39" s="331"/>
      <c r="AK39" s="331"/>
      <c r="AL39" s="331"/>
      <c r="AM39" s="331"/>
    </row>
    <row r="40" spans="1:40" x14ac:dyDescent="0.2">
      <c r="B40" s="327" t="s">
        <v>610</v>
      </c>
      <c r="C40" s="593">
        <f>'PTRM Integration'!G241</f>
        <v>5.4280000284219865E-2</v>
      </c>
      <c r="D40" s="58"/>
      <c r="E40" s="328" t="s">
        <v>609</v>
      </c>
      <c r="F40" s="314"/>
      <c r="G40" s="594">
        <f>'PTRM Integration'!$H$225</f>
        <v>1.5269999999999999E-3</v>
      </c>
      <c r="H40" s="6" t="s">
        <v>608</v>
      </c>
      <c r="I40" s="314"/>
      <c r="J40" s="58"/>
      <c r="K40" s="38" t="s">
        <v>703</v>
      </c>
      <c r="L40" s="558"/>
      <c r="M40" s="410" t="s">
        <v>50</v>
      </c>
      <c r="N40" s="6" t="s">
        <v>775</v>
      </c>
      <c r="O40" s="558"/>
      <c r="P40" s="558"/>
      <c r="Q40" s="558"/>
      <c r="R40" s="558"/>
      <c r="S40" s="558"/>
      <c r="T40" s="558"/>
      <c r="U40" s="558"/>
      <c r="V40" s="558"/>
      <c r="W40" s="558"/>
    </row>
    <row r="41" spans="1:40" x14ac:dyDescent="0.2">
      <c r="B41" s="330" t="s">
        <v>607</v>
      </c>
      <c r="C41" s="593">
        <f>'PTRM Integration'!G242</f>
        <v>2.8866985736080375E-2</v>
      </c>
      <c r="E41" s="328" t="s">
        <v>606</v>
      </c>
      <c r="F41" s="314"/>
      <c r="G41" s="593">
        <f>'PTRM Integration'!H213</f>
        <v>0.6</v>
      </c>
      <c r="H41" s="314"/>
      <c r="I41" s="46"/>
      <c r="J41" s="58"/>
      <c r="K41" s="558"/>
      <c r="L41" s="558"/>
      <c r="M41" s="558"/>
      <c r="N41" s="6"/>
      <c r="O41" s="558"/>
      <c r="P41" s="648" t="s">
        <v>1062</v>
      </c>
      <c r="Q41" s="293"/>
      <c r="R41" s="648" t="s">
        <v>1110</v>
      </c>
    </row>
    <row r="42" spans="1:40" x14ac:dyDescent="0.2">
      <c r="B42" s="315" t="s">
        <v>605</v>
      </c>
      <c r="C42" s="593">
        <f>'PTRM Integration'!J216</f>
        <v>4.9799999999999997E-2</v>
      </c>
      <c r="E42" s="30" t="s">
        <v>535</v>
      </c>
      <c r="G42" s="595">
        <f>'PTRM Integration'!H212</f>
        <v>0.58499999999999996</v>
      </c>
      <c r="K42" s="38" t="s">
        <v>702</v>
      </c>
      <c r="L42" s="558"/>
      <c r="M42" s="410" t="s">
        <v>487</v>
      </c>
      <c r="N42" s="6" t="s">
        <v>775</v>
      </c>
      <c r="O42" s="558"/>
      <c r="P42" s="644">
        <f>INDEX(HID_tbl[Total Cost],MATCH(HID_Annuity_Input,HID_tbl[HID BaseLights],0))</f>
        <v>0</v>
      </c>
      <c r="Q42" s="293"/>
      <c r="R42" s="645">
        <f>INDEX(HID_tbl[Annuity Term],MATCH(HID_Annuity_Input,HID_tbl[HID BaseLights],0))</f>
        <v>17</v>
      </c>
    </row>
    <row r="43" spans="1:40" x14ac:dyDescent="0.2">
      <c r="B43" s="330" t="s">
        <v>604</v>
      </c>
      <c r="C43" s="593">
        <f>'PTRM Integration'!G240</f>
        <v>6.1000000000005938E-2</v>
      </c>
      <c r="D43" s="329"/>
      <c r="E43" s="328" t="s">
        <v>603</v>
      </c>
      <c r="G43" s="593">
        <f>'PTRM Integration'!H210</f>
        <v>2.47E-2</v>
      </c>
      <c r="K43" s="145"/>
      <c r="L43" s="558"/>
      <c r="M43" s="558"/>
      <c r="N43" s="6"/>
      <c r="O43" s="558"/>
      <c r="P43" s="646"/>
      <c r="Q43" s="293"/>
      <c r="R43" s="647"/>
    </row>
    <row r="44" spans="1:40" x14ac:dyDescent="0.2">
      <c r="B44" s="327" t="s">
        <v>602</v>
      </c>
      <c r="C44" s="593">
        <f>'PTRM Integration'!J202</f>
        <v>0.3</v>
      </c>
      <c r="K44" s="38" t="s">
        <v>628</v>
      </c>
      <c r="L44" s="558"/>
      <c r="M44" s="410" t="s">
        <v>1165</v>
      </c>
      <c r="N44" s="6" t="s">
        <v>775</v>
      </c>
      <c r="O44" s="558"/>
      <c r="P44" s="644">
        <f>INDEX(LED_OM_Tbl[Installation Cost inc. Oncosts &amp; OH],MATCH(LED_Annuity_Input,LED_OM_Tbl[LED Light],0))</f>
        <v>1450.0913310000001</v>
      </c>
      <c r="Q44" s="293"/>
      <c r="R44" s="645">
        <f>INDEX(LED_OM_Tbl[Annuity Term],MATCH(LED_Annuity_Input,LED_OM_Tbl[LED Light],0))</f>
        <v>17</v>
      </c>
    </row>
    <row r="45" spans="1:40" x14ac:dyDescent="0.2">
      <c r="B45" s="326"/>
      <c r="E45" s="30" t="s">
        <v>601</v>
      </c>
    </row>
    <row r="46" spans="1:40" x14ac:dyDescent="0.2">
      <c r="B46" s="326" t="s">
        <v>600</v>
      </c>
      <c r="C46" s="592">
        <f>'PTRM Integration'!M181</f>
        <v>15</v>
      </c>
      <c r="D46" s="30" t="s">
        <v>364</v>
      </c>
      <c r="E46" s="324">
        <f>1/C46</f>
        <v>6.6666666666666666E-2</v>
      </c>
    </row>
    <row r="47" spans="1:40" x14ac:dyDescent="0.2">
      <c r="B47" s="325" t="s">
        <v>599</v>
      </c>
      <c r="C47" s="643">
        <f>IF(LED_HID_Switch="LED",$R$44,$R$42)</f>
        <v>17</v>
      </c>
      <c r="D47" s="30" t="s">
        <v>364</v>
      </c>
      <c r="E47" s="324">
        <f>1/C47</f>
        <v>5.8823529411764705E-2</v>
      </c>
    </row>
    <row r="48" spans="1:40" x14ac:dyDescent="0.2">
      <c r="B48" s="315"/>
    </row>
    <row r="49" spans="1:40" x14ac:dyDescent="0.2">
      <c r="B49" s="315"/>
    </row>
    <row r="50" spans="1:40" ht="17.25" x14ac:dyDescent="0.3">
      <c r="A50" s="304"/>
      <c r="B50" s="323" t="s">
        <v>598</v>
      </c>
      <c r="C50" s="314"/>
      <c r="D50" s="314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58"/>
    </row>
    <row r="51" spans="1:40" x14ac:dyDescent="0.2">
      <c r="A51" s="304"/>
      <c r="B51" s="315" t="s">
        <v>597</v>
      </c>
      <c r="C51" s="616">
        <f>IF(LED_HID_Switch="LED",$P$44,$P$42)</f>
        <v>0</v>
      </c>
      <c r="D51" s="650" t="s">
        <v>1112</v>
      </c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58"/>
    </row>
    <row r="52" spans="1:40" x14ac:dyDescent="0.2">
      <c r="A52" s="304"/>
      <c r="B52" s="438"/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58"/>
    </row>
    <row r="53" spans="1:40" ht="15.75" x14ac:dyDescent="0.25">
      <c r="A53" s="304"/>
      <c r="B53" s="321" t="s">
        <v>596</v>
      </c>
      <c r="C53" s="320"/>
      <c r="D53" s="320"/>
      <c r="E53" s="319">
        <v>1</v>
      </c>
      <c r="F53" s="319">
        <v>2</v>
      </c>
      <c r="G53" s="319">
        <v>3</v>
      </c>
      <c r="H53" s="319">
        <v>4</v>
      </c>
      <c r="I53" s="319">
        <v>5</v>
      </c>
      <c r="J53" s="319">
        <v>6</v>
      </c>
      <c r="K53" s="319">
        <v>7</v>
      </c>
      <c r="L53" s="319">
        <v>8</v>
      </c>
      <c r="M53" s="319">
        <v>9</v>
      </c>
      <c r="N53" s="319">
        <v>10</v>
      </c>
      <c r="O53" s="319">
        <v>11</v>
      </c>
      <c r="P53" s="319">
        <v>12</v>
      </c>
      <c r="Q53" s="319">
        <v>13</v>
      </c>
      <c r="R53" s="319">
        <v>14</v>
      </c>
      <c r="S53" s="319">
        <v>15</v>
      </c>
      <c r="T53" s="319">
        <v>16</v>
      </c>
      <c r="U53" s="319">
        <v>17</v>
      </c>
      <c r="V53" s="319">
        <v>18</v>
      </c>
      <c r="W53" s="319">
        <v>19</v>
      </c>
      <c r="X53" s="319">
        <v>20</v>
      </c>
      <c r="Y53" s="319">
        <v>21</v>
      </c>
      <c r="Z53" s="319">
        <v>22</v>
      </c>
      <c r="AA53" s="319">
        <v>23</v>
      </c>
      <c r="AB53" s="319">
        <v>24</v>
      </c>
      <c r="AC53" s="319">
        <v>25</v>
      </c>
      <c r="AD53" s="319">
        <v>26</v>
      </c>
      <c r="AE53" s="319">
        <v>27</v>
      </c>
      <c r="AF53" s="319">
        <v>28</v>
      </c>
      <c r="AG53" s="319">
        <v>29</v>
      </c>
      <c r="AH53" s="319">
        <v>30</v>
      </c>
      <c r="AI53" s="319">
        <v>31</v>
      </c>
      <c r="AJ53" s="319">
        <v>32</v>
      </c>
      <c r="AK53" s="319">
        <v>33</v>
      </c>
      <c r="AL53" s="319">
        <v>34</v>
      </c>
      <c r="AM53" s="319">
        <v>35</v>
      </c>
      <c r="AN53" s="58"/>
    </row>
    <row r="54" spans="1:40" ht="15" x14ac:dyDescent="0.25">
      <c r="A54" s="304"/>
      <c r="B54" s="318" t="s">
        <v>530</v>
      </c>
      <c r="C54" s="317"/>
      <c r="D54" s="317"/>
      <c r="E54" s="316"/>
      <c r="F54" s="316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58"/>
    </row>
    <row r="55" spans="1:40" ht="15.75" thickBot="1" x14ac:dyDescent="0.3">
      <c r="A55" s="304"/>
      <c r="B55" s="315" t="s">
        <v>595</v>
      </c>
      <c r="C55" s="314"/>
      <c r="D55" s="313"/>
      <c r="E55" s="312">
        <f t="shared" ref="E55:AM55" si="2">$G$40*$G$41*E95/E63</f>
        <v>0</v>
      </c>
      <c r="F55" s="312">
        <f t="shared" si="2"/>
        <v>0</v>
      </c>
      <c r="G55" s="312">
        <f t="shared" si="2"/>
        <v>0</v>
      </c>
      <c r="H55" s="312">
        <f t="shared" si="2"/>
        <v>0</v>
      </c>
      <c r="I55" s="312">
        <f t="shared" si="2"/>
        <v>0</v>
      </c>
      <c r="J55" s="312">
        <f t="shared" si="2"/>
        <v>0</v>
      </c>
      <c r="K55" s="312">
        <f t="shared" si="2"/>
        <v>0</v>
      </c>
      <c r="L55" s="312">
        <f t="shared" si="2"/>
        <v>0</v>
      </c>
      <c r="M55" s="312">
        <f t="shared" si="2"/>
        <v>0</v>
      </c>
      <c r="N55" s="312">
        <f t="shared" si="2"/>
        <v>0</v>
      </c>
      <c r="O55" s="312">
        <f t="shared" si="2"/>
        <v>0</v>
      </c>
      <c r="P55" s="312">
        <f t="shared" si="2"/>
        <v>0</v>
      </c>
      <c r="Q55" s="312">
        <f t="shared" si="2"/>
        <v>0</v>
      </c>
      <c r="R55" s="312">
        <f t="shared" si="2"/>
        <v>0</v>
      </c>
      <c r="S55" s="312">
        <f t="shared" si="2"/>
        <v>0</v>
      </c>
      <c r="T55" s="312">
        <f t="shared" si="2"/>
        <v>0</v>
      </c>
      <c r="U55" s="312">
        <f t="shared" si="2"/>
        <v>0</v>
      </c>
      <c r="V55" s="312">
        <f t="shared" si="2"/>
        <v>0</v>
      </c>
      <c r="W55" s="312">
        <f t="shared" si="2"/>
        <v>0</v>
      </c>
      <c r="X55" s="312">
        <f t="shared" si="2"/>
        <v>0</v>
      </c>
      <c r="Y55" s="312">
        <f t="shared" si="2"/>
        <v>0</v>
      </c>
      <c r="Z55" s="312">
        <f t="shared" si="2"/>
        <v>0</v>
      </c>
      <c r="AA55" s="312">
        <f t="shared" si="2"/>
        <v>0</v>
      </c>
      <c r="AB55" s="312">
        <f t="shared" si="2"/>
        <v>0</v>
      </c>
      <c r="AC55" s="312">
        <f t="shared" si="2"/>
        <v>0</v>
      </c>
      <c r="AD55" s="312">
        <f t="shared" si="2"/>
        <v>0</v>
      </c>
      <c r="AE55" s="312">
        <f t="shared" si="2"/>
        <v>0</v>
      </c>
      <c r="AF55" s="312">
        <f t="shared" si="2"/>
        <v>0</v>
      </c>
      <c r="AG55" s="312">
        <f t="shared" si="2"/>
        <v>0</v>
      </c>
      <c r="AH55" s="312">
        <f t="shared" si="2"/>
        <v>0</v>
      </c>
      <c r="AI55" s="312">
        <f t="shared" si="2"/>
        <v>0</v>
      </c>
      <c r="AJ55" s="312">
        <f t="shared" si="2"/>
        <v>0</v>
      </c>
      <c r="AK55" s="312">
        <f t="shared" si="2"/>
        <v>0</v>
      </c>
      <c r="AL55" s="312">
        <f t="shared" si="2"/>
        <v>0</v>
      </c>
      <c r="AM55" s="312">
        <f t="shared" si="2"/>
        <v>0</v>
      </c>
      <c r="AN55" s="58"/>
    </row>
    <row r="56" spans="1:40" ht="15.75" thickTop="1" x14ac:dyDescent="0.25">
      <c r="A56" s="304"/>
      <c r="B56" s="311"/>
      <c r="C56" s="310"/>
      <c r="D56" s="309"/>
      <c r="E56" s="308"/>
      <c r="F56" s="308"/>
      <c r="G56" s="308"/>
      <c r="H56" s="308"/>
      <c r="I56" s="308"/>
      <c r="J56" s="308"/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8"/>
      <c r="AH56" s="308"/>
      <c r="AI56" s="308"/>
      <c r="AJ56" s="308"/>
      <c r="AK56" s="308"/>
      <c r="AL56" s="308"/>
      <c r="AM56" s="308"/>
      <c r="AN56" s="58"/>
    </row>
    <row r="57" spans="1:40" x14ac:dyDescent="0.2">
      <c r="A57" s="304"/>
      <c r="AN57" s="58"/>
    </row>
    <row r="58" spans="1:40" ht="20.25" customHeight="1" x14ac:dyDescent="0.3">
      <c r="A58" s="307"/>
      <c r="B58" s="306" t="s">
        <v>594</v>
      </c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305"/>
      <c r="N58" s="305"/>
      <c r="O58" s="305"/>
      <c r="P58" s="305"/>
      <c r="Q58" s="305"/>
      <c r="R58" s="305"/>
      <c r="S58" s="305"/>
      <c r="T58" s="305"/>
      <c r="U58" s="305"/>
      <c r="V58" s="305"/>
      <c r="W58" s="305"/>
      <c r="X58" s="305"/>
      <c r="Y58" s="305"/>
      <c r="Z58" s="305"/>
      <c r="AA58" s="305"/>
      <c r="AB58" s="305"/>
      <c r="AC58" s="305"/>
      <c r="AD58" s="305"/>
      <c r="AE58" s="305"/>
      <c r="AF58" s="305"/>
      <c r="AG58" s="305"/>
      <c r="AH58" s="305"/>
      <c r="AI58" s="305"/>
      <c r="AJ58" s="305"/>
      <c r="AK58" s="305"/>
      <c r="AL58" s="305"/>
      <c r="AM58" s="305"/>
    </row>
    <row r="59" spans="1:40" outlineLevel="1" x14ac:dyDescent="0.2">
      <c r="A59" s="304"/>
    </row>
    <row r="60" spans="1:40" s="34" customFormat="1" ht="15" outlineLevel="1" x14ac:dyDescent="0.25">
      <c r="A60" s="303" t="s">
        <v>593</v>
      </c>
      <c r="B60" s="302" t="s">
        <v>592</v>
      </c>
      <c r="C60" s="302"/>
      <c r="D60" s="301">
        <v>0</v>
      </c>
      <c r="E60" s="301">
        <v>1</v>
      </c>
      <c r="F60" s="301">
        <v>2</v>
      </c>
      <c r="G60" s="301">
        <v>3</v>
      </c>
      <c r="H60" s="301">
        <v>4</v>
      </c>
      <c r="I60" s="301">
        <v>5</v>
      </c>
      <c r="J60" s="301">
        <v>6</v>
      </c>
      <c r="K60" s="301">
        <v>7</v>
      </c>
      <c r="L60" s="301">
        <v>8</v>
      </c>
      <c r="M60" s="301">
        <v>9</v>
      </c>
      <c r="N60" s="301">
        <v>10</v>
      </c>
      <c r="O60" s="301">
        <v>11</v>
      </c>
      <c r="P60" s="301">
        <v>12</v>
      </c>
      <c r="Q60" s="301">
        <v>13</v>
      </c>
      <c r="R60" s="301">
        <v>14</v>
      </c>
      <c r="S60" s="301">
        <v>15</v>
      </c>
      <c r="T60" s="301">
        <v>16</v>
      </c>
      <c r="U60" s="301">
        <v>17</v>
      </c>
      <c r="V60" s="301">
        <v>18</v>
      </c>
      <c r="W60" s="301">
        <v>19</v>
      </c>
      <c r="X60" s="301">
        <v>20</v>
      </c>
      <c r="Y60" s="301">
        <v>21</v>
      </c>
      <c r="Z60" s="301">
        <v>22</v>
      </c>
      <c r="AA60" s="301">
        <v>23</v>
      </c>
      <c r="AB60" s="301">
        <v>24</v>
      </c>
      <c r="AC60" s="301">
        <v>25</v>
      </c>
      <c r="AD60" s="301">
        <v>26</v>
      </c>
      <c r="AE60" s="301">
        <v>27</v>
      </c>
      <c r="AF60" s="301">
        <v>28</v>
      </c>
      <c r="AG60" s="301">
        <v>29</v>
      </c>
      <c r="AH60" s="301">
        <v>30</v>
      </c>
      <c r="AI60" s="301">
        <v>31</v>
      </c>
      <c r="AJ60" s="301">
        <v>32</v>
      </c>
      <c r="AK60" s="301">
        <v>33</v>
      </c>
      <c r="AL60" s="301">
        <v>34</v>
      </c>
      <c r="AM60" s="301">
        <v>35</v>
      </c>
    </row>
    <row r="61" spans="1:40" outlineLevel="1" x14ac:dyDescent="0.2"/>
    <row r="62" spans="1:40" ht="15" outlineLevel="1" x14ac:dyDescent="0.3">
      <c r="B62" s="30" t="s">
        <v>591</v>
      </c>
      <c r="D62" s="253">
        <f>G43</f>
        <v>2.47E-2</v>
      </c>
      <c r="E62" s="299">
        <f t="shared" ref="E62:AM62" si="3">$D$62</f>
        <v>2.47E-2</v>
      </c>
      <c r="F62" s="299">
        <f t="shared" si="3"/>
        <v>2.47E-2</v>
      </c>
      <c r="G62" s="299">
        <f t="shared" si="3"/>
        <v>2.47E-2</v>
      </c>
      <c r="H62" s="299">
        <f t="shared" si="3"/>
        <v>2.47E-2</v>
      </c>
      <c r="I62" s="299">
        <f t="shared" si="3"/>
        <v>2.47E-2</v>
      </c>
      <c r="J62" s="299">
        <f t="shared" si="3"/>
        <v>2.47E-2</v>
      </c>
      <c r="K62" s="299">
        <f t="shared" si="3"/>
        <v>2.47E-2</v>
      </c>
      <c r="L62" s="299">
        <f t="shared" si="3"/>
        <v>2.47E-2</v>
      </c>
      <c r="M62" s="299">
        <f t="shared" si="3"/>
        <v>2.47E-2</v>
      </c>
      <c r="N62" s="299">
        <f t="shared" si="3"/>
        <v>2.47E-2</v>
      </c>
      <c r="O62" s="299">
        <f t="shared" si="3"/>
        <v>2.47E-2</v>
      </c>
      <c r="P62" s="299">
        <f t="shared" si="3"/>
        <v>2.47E-2</v>
      </c>
      <c r="Q62" s="299">
        <f t="shared" si="3"/>
        <v>2.47E-2</v>
      </c>
      <c r="R62" s="299">
        <f t="shared" si="3"/>
        <v>2.47E-2</v>
      </c>
      <c r="S62" s="299">
        <f t="shared" si="3"/>
        <v>2.47E-2</v>
      </c>
      <c r="T62" s="299">
        <f t="shared" si="3"/>
        <v>2.47E-2</v>
      </c>
      <c r="U62" s="299">
        <f t="shared" si="3"/>
        <v>2.47E-2</v>
      </c>
      <c r="V62" s="299">
        <f t="shared" si="3"/>
        <v>2.47E-2</v>
      </c>
      <c r="W62" s="299">
        <f t="shared" si="3"/>
        <v>2.47E-2</v>
      </c>
      <c r="X62" s="299">
        <f t="shared" si="3"/>
        <v>2.47E-2</v>
      </c>
      <c r="Y62" s="299">
        <f t="shared" si="3"/>
        <v>2.47E-2</v>
      </c>
      <c r="Z62" s="299">
        <f t="shared" si="3"/>
        <v>2.47E-2</v>
      </c>
      <c r="AA62" s="299">
        <f t="shared" si="3"/>
        <v>2.47E-2</v>
      </c>
      <c r="AB62" s="299">
        <f t="shared" si="3"/>
        <v>2.47E-2</v>
      </c>
      <c r="AC62" s="299">
        <f t="shared" si="3"/>
        <v>2.47E-2</v>
      </c>
      <c r="AD62" s="299">
        <f t="shared" si="3"/>
        <v>2.47E-2</v>
      </c>
      <c r="AE62" s="299">
        <f t="shared" si="3"/>
        <v>2.47E-2</v>
      </c>
      <c r="AF62" s="299">
        <f t="shared" si="3"/>
        <v>2.47E-2</v>
      </c>
      <c r="AG62" s="299">
        <f t="shared" si="3"/>
        <v>2.47E-2</v>
      </c>
      <c r="AH62" s="299">
        <f t="shared" si="3"/>
        <v>2.47E-2</v>
      </c>
      <c r="AI62" s="299">
        <f t="shared" si="3"/>
        <v>2.47E-2</v>
      </c>
      <c r="AJ62" s="299">
        <f t="shared" si="3"/>
        <v>2.47E-2</v>
      </c>
      <c r="AK62" s="299">
        <f t="shared" si="3"/>
        <v>2.47E-2</v>
      </c>
      <c r="AL62" s="299">
        <f t="shared" si="3"/>
        <v>2.47E-2</v>
      </c>
      <c r="AM62" s="299">
        <f t="shared" si="3"/>
        <v>2.47E-2</v>
      </c>
    </row>
    <row r="63" spans="1:40" ht="19.5" customHeight="1" outlineLevel="1" x14ac:dyDescent="0.2">
      <c r="B63" s="30" t="s">
        <v>590</v>
      </c>
      <c r="D63" s="298">
        <v>1</v>
      </c>
      <c r="E63" s="300">
        <f t="shared" ref="E63:AM63" si="4">D63*(1+E62)</f>
        <v>1.0246999999999999</v>
      </c>
      <c r="F63" s="299">
        <f t="shared" si="4"/>
        <v>1.0500100899999998</v>
      </c>
      <c r="G63" s="300">
        <f t="shared" si="4"/>
        <v>1.0759453392229996</v>
      </c>
      <c r="H63" s="300">
        <f t="shared" si="4"/>
        <v>1.1025211891018076</v>
      </c>
      <c r="I63" s="300">
        <f t="shared" si="4"/>
        <v>1.1297534624726222</v>
      </c>
      <c r="J63" s="300">
        <f t="shared" si="4"/>
        <v>1.157658372995696</v>
      </c>
      <c r="K63" s="300">
        <f t="shared" si="4"/>
        <v>1.1862525348086896</v>
      </c>
      <c r="L63" s="300">
        <f t="shared" si="4"/>
        <v>1.2155529724184642</v>
      </c>
      <c r="M63" s="300">
        <f t="shared" si="4"/>
        <v>1.2455771308372001</v>
      </c>
      <c r="N63" s="300">
        <f t="shared" si="4"/>
        <v>1.2763428859688788</v>
      </c>
      <c r="O63" s="300">
        <f t="shared" si="4"/>
        <v>1.3078685552523099</v>
      </c>
      <c r="P63" s="300">
        <f t="shared" si="4"/>
        <v>1.340172908567042</v>
      </c>
      <c r="Q63" s="300">
        <f t="shared" si="4"/>
        <v>1.3732751794086477</v>
      </c>
      <c r="R63" s="300">
        <f t="shared" si="4"/>
        <v>1.4071950763400412</v>
      </c>
      <c r="S63" s="300">
        <f t="shared" si="4"/>
        <v>1.4419527947256401</v>
      </c>
      <c r="T63" s="300">
        <f t="shared" si="4"/>
        <v>1.4775690287553633</v>
      </c>
      <c r="U63" s="300">
        <f t="shared" si="4"/>
        <v>1.5140649837656208</v>
      </c>
      <c r="V63" s="300">
        <f t="shared" si="4"/>
        <v>1.5514623888646315</v>
      </c>
      <c r="W63" s="300">
        <f t="shared" si="4"/>
        <v>1.5897835098695878</v>
      </c>
      <c r="X63" s="300">
        <f t="shared" si="4"/>
        <v>1.6290511625633666</v>
      </c>
      <c r="Y63" s="300">
        <f t="shared" si="4"/>
        <v>1.6692887262786817</v>
      </c>
      <c r="Z63" s="300">
        <f t="shared" si="4"/>
        <v>1.7105201578177651</v>
      </c>
      <c r="AA63" s="300">
        <f t="shared" si="4"/>
        <v>1.7527700057158637</v>
      </c>
      <c r="AB63" s="300">
        <f t="shared" si="4"/>
        <v>1.7960634248570455</v>
      </c>
      <c r="AC63" s="300">
        <f t="shared" si="4"/>
        <v>1.8404261914510145</v>
      </c>
      <c r="AD63" s="300">
        <f t="shared" si="4"/>
        <v>1.8858847183798544</v>
      </c>
      <c r="AE63" s="300">
        <f t="shared" si="4"/>
        <v>1.9324660709238366</v>
      </c>
      <c r="AF63" s="300">
        <f t="shared" si="4"/>
        <v>1.9801979828756553</v>
      </c>
      <c r="AG63" s="300">
        <f t="shared" si="4"/>
        <v>2.0291088730526838</v>
      </c>
      <c r="AH63" s="300">
        <f t="shared" si="4"/>
        <v>2.0792278622170852</v>
      </c>
      <c r="AI63" s="300">
        <f t="shared" si="4"/>
        <v>2.1305847904138471</v>
      </c>
      <c r="AJ63" s="300">
        <f t="shared" si="4"/>
        <v>2.1832102347370688</v>
      </c>
      <c r="AK63" s="300">
        <f t="shared" si="4"/>
        <v>2.2371355275350742</v>
      </c>
      <c r="AL63" s="300">
        <f t="shared" si="4"/>
        <v>2.2923927750651902</v>
      </c>
      <c r="AM63" s="300">
        <f t="shared" si="4"/>
        <v>2.3490148766093002</v>
      </c>
    </row>
    <row r="64" spans="1:40" outlineLevel="1" x14ac:dyDescent="0.2"/>
    <row r="65" spans="1:39" outlineLevel="1" x14ac:dyDescent="0.2">
      <c r="B65" s="80" t="s">
        <v>589</v>
      </c>
    </row>
    <row r="66" spans="1:39" outlineLevel="1" x14ac:dyDescent="0.2">
      <c r="B66" s="30" t="s">
        <v>588</v>
      </c>
      <c r="E66" s="299">
        <f t="shared" ref="E66:AM66" si="5">$C$42</f>
        <v>4.9799999999999997E-2</v>
      </c>
      <c r="F66" s="299">
        <f t="shared" si="5"/>
        <v>4.9799999999999997E-2</v>
      </c>
      <c r="G66" s="299">
        <f t="shared" si="5"/>
        <v>4.9799999999999997E-2</v>
      </c>
      <c r="H66" s="299">
        <f t="shared" si="5"/>
        <v>4.9799999999999997E-2</v>
      </c>
      <c r="I66" s="299">
        <f t="shared" si="5"/>
        <v>4.9799999999999997E-2</v>
      </c>
      <c r="J66" s="299">
        <f t="shared" si="5"/>
        <v>4.9799999999999997E-2</v>
      </c>
      <c r="K66" s="299">
        <f t="shared" si="5"/>
        <v>4.9799999999999997E-2</v>
      </c>
      <c r="L66" s="299">
        <f t="shared" si="5"/>
        <v>4.9799999999999997E-2</v>
      </c>
      <c r="M66" s="299">
        <f t="shared" si="5"/>
        <v>4.9799999999999997E-2</v>
      </c>
      <c r="N66" s="299">
        <f t="shared" si="5"/>
        <v>4.9799999999999997E-2</v>
      </c>
      <c r="O66" s="299">
        <f t="shared" si="5"/>
        <v>4.9799999999999997E-2</v>
      </c>
      <c r="P66" s="299">
        <f t="shared" si="5"/>
        <v>4.9799999999999997E-2</v>
      </c>
      <c r="Q66" s="299">
        <f t="shared" si="5"/>
        <v>4.9799999999999997E-2</v>
      </c>
      <c r="R66" s="299">
        <f t="shared" si="5"/>
        <v>4.9799999999999997E-2</v>
      </c>
      <c r="S66" s="299">
        <f t="shared" si="5"/>
        <v>4.9799999999999997E-2</v>
      </c>
      <c r="T66" s="299">
        <f t="shared" si="5"/>
        <v>4.9799999999999997E-2</v>
      </c>
      <c r="U66" s="299">
        <f t="shared" si="5"/>
        <v>4.9799999999999997E-2</v>
      </c>
      <c r="V66" s="299">
        <f t="shared" si="5"/>
        <v>4.9799999999999997E-2</v>
      </c>
      <c r="W66" s="299">
        <f t="shared" si="5"/>
        <v>4.9799999999999997E-2</v>
      </c>
      <c r="X66" s="299">
        <f t="shared" si="5"/>
        <v>4.9799999999999997E-2</v>
      </c>
      <c r="Y66" s="299">
        <f t="shared" si="5"/>
        <v>4.9799999999999997E-2</v>
      </c>
      <c r="Z66" s="299">
        <f t="shared" si="5"/>
        <v>4.9799999999999997E-2</v>
      </c>
      <c r="AA66" s="299">
        <f t="shared" si="5"/>
        <v>4.9799999999999997E-2</v>
      </c>
      <c r="AB66" s="299">
        <f t="shared" si="5"/>
        <v>4.9799999999999997E-2</v>
      </c>
      <c r="AC66" s="299">
        <f t="shared" si="5"/>
        <v>4.9799999999999997E-2</v>
      </c>
      <c r="AD66" s="299">
        <f t="shared" si="5"/>
        <v>4.9799999999999997E-2</v>
      </c>
      <c r="AE66" s="299">
        <f t="shared" si="5"/>
        <v>4.9799999999999997E-2</v>
      </c>
      <c r="AF66" s="299">
        <f t="shared" si="5"/>
        <v>4.9799999999999997E-2</v>
      </c>
      <c r="AG66" s="299">
        <f t="shared" si="5"/>
        <v>4.9799999999999997E-2</v>
      </c>
      <c r="AH66" s="299">
        <f t="shared" si="5"/>
        <v>4.9799999999999997E-2</v>
      </c>
      <c r="AI66" s="299">
        <f t="shared" si="5"/>
        <v>4.9799999999999997E-2</v>
      </c>
      <c r="AJ66" s="299">
        <f t="shared" si="5"/>
        <v>4.9799999999999997E-2</v>
      </c>
      <c r="AK66" s="299">
        <f t="shared" si="5"/>
        <v>4.9799999999999997E-2</v>
      </c>
      <c r="AL66" s="299">
        <f t="shared" si="5"/>
        <v>4.9799999999999997E-2</v>
      </c>
      <c r="AM66" s="299">
        <f t="shared" si="5"/>
        <v>4.9799999999999997E-2</v>
      </c>
    </row>
    <row r="67" spans="1:39" outlineLevel="1" x14ac:dyDescent="0.2">
      <c r="B67" s="30" t="s">
        <v>587</v>
      </c>
      <c r="E67" s="299">
        <f t="shared" ref="E67:AM67" si="6">WACC</f>
        <v>5.4280000284219865E-2</v>
      </c>
      <c r="F67" s="299">
        <f t="shared" si="6"/>
        <v>5.4280000284219865E-2</v>
      </c>
      <c r="G67" s="299">
        <f t="shared" si="6"/>
        <v>5.4280000284219865E-2</v>
      </c>
      <c r="H67" s="299">
        <f t="shared" si="6"/>
        <v>5.4280000284219865E-2</v>
      </c>
      <c r="I67" s="299">
        <f t="shared" si="6"/>
        <v>5.4280000284219865E-2</v>
      </c>
      <c r="J67" s="299">
        <f t="shared" si="6"/>
        <v>5.4280000284219865E-2</v>
      </c>
      <c r="K67" s="299">
        <f t="shared" si="6"/>
        <v>5.4280000284219865E-2</v>
      </c>
      <c r="L67" s="299">
        <f t="shared" si="6"/>
        <v>5.4280000284219865E-2</v>
      </c>
      <c r="M67" s="299">
        <f t="shared" si="6"/>
        <v>5.4280000284219865E-2</v>
      </c>
      <c r="N67" s="299">
        <f t="shared" si="6"/>
        <v>5.4280000284219865E-2</v>
      </c>
      <c r="O67" s="299">
        <f t="shared" si="6"/>
        <v>5.4280000284219865E-2</v>
      </c>
      <c r="P67" s="299">
        <f t="shared" si="6"/>
        <v>5.4280000284219865E-2</v>
      </c>
      <c r="Q67" s="299">
        <f t="shared" si="6"/>
        <v>5.4280000284219865E-2</v>
      </c>
      <c r="R67" s="299">
        <f t="shared" si="6"/>
        <v>5.4280000284219865E-2</v>
      </c>
      <c r="S67" s="299">
        <f t="shared" si="6"/>
        <v>5.4280000284219865E-2</v>
      </c>
      <c r="T67" s="299">
        <f t="shared" si="6"/>
        <v>5.4280000284219865E-2</v>
      </c>
      <c r="U67" s="299">
        <f t="shared" si="6"/>
        <v>5.4280000284219865E-2</v>
      </c>
      <c r="V67" s="299">
        <f t="shared" si="6"/>
        <v>5.4280000284219865E-2</v>
      </c>
      <c r="W67" s="299">
        <f t="shared" si="6"/>
        <v>5.4280000284219865E-2</v>
      </c>
      <c r="X67" s="299">
        <f t="shared" si="6"/>
        <v>5.4280000284219865E-2</v>
      </c>
      <c r="Y67" s="299">
        <f t="shared" si="6"/>
        <v>5.4280000284219865E-2</v>
      </c>
      <c r="Z67" s="299">
        <f t="shared" si="6"/>
        <v>5.4280000284219865E-2</v>
      </c>
      <c r="AA67" s="299">
        <f t="shared" si="6"/>
        <v>5.4280000284219865E-2</v>
      </c>
      <c r="AB67" s="299">
        <f t="shared" si="6"/>
        <v>5.4280000284219865E-2</v>
      </c>
      <c r="AC67" s="299">
        <f t="shared" si="6"/>
        <v>5.4280000284219865E-2</v>
      </c>
      <c r="AD67" s="299">
        <f t="shared" si="6"/>
        <v>5.4280000284219865E-2</v>
      </c>
      <c r="AE67" s="299">
        <f t="shared" si="6"/>
        <v>5.4280000284219865E-2</v>
      </c>
      <c r="AF67" s="299">
        <f t="shared" si="6"/>
        <v>5.4280000284219865E-2</v>
      </c>
      <c r="AG67" s="299">
        <f t="shared" si="6"/>
        <v>5.4280000284219865E-2</v>
      </c>
      <c r="AH67" s="299">
        <f t="shared" si="6"/>
        <v>5.4280000284219865E-2</v>
      </c>
      <c r="AI67" s="299">
        <f t="shared" si="6"/>
        <v>5.4280000284219865E-2</v>
      </c>
      <c r="AJ67" s="299">
        <f t="shared" si="6"/>
        <v>5.4280000284219865E-2</v>
      </c>
      <c r="AK67" s="299">
        <f t="shared" si="6"/>
        <v>5.4280000284219865E-2</v>
      </c>
      <c r="AL67" s="299">
        <f t="shared" si="6"/>
        <v>5.4280000284219865E-2</v>
      </c>
      <c r="AM67" s="299">
        <f t="shared" si="6"/>
        <v>5.4280000284219865E-2</v>
      </c>
    </row>
    <row r="68" spans="1:39" outlineLevel="1" x14ac:dyDescent="0.2">
      <c r="B68" s="30" t="s">
        <v>586</v>
      </c>
      <c r="D68" s="298">
        <v>1</v>
      </c>
      <c r="E68" s="297">
        <f t="shared" ref="E68:AM68" si="7">D68*(1+E67)</f>
        <v>1.0542800002842199</v>
      </c>
      <c r="F68" s="297">
        <f t="shared" si="7"/>
        <v>1.1115063189992946</v>
      </c>
      <c r="G68" s="297">
        <f t="shared" si="7"/>
        <v>1.1718388823104886</v>
      </c>
      <c r="H68" s="297">
        <f t="shared" si="7"/>
        <v>1.2354462971753619</v>
      </c>
      <c r="I68" s="297">
        <f t="shared" si="7"/>
        <v>1.3025063225371789</v>
      </c>
      <c r="J68" s="297">
        <f t="shared" si="7"/>
        <v>1.3732063660946952</v>
      </c>
      <c r="K68" s="297">
        <f t="shared" si="7"/>
        <v>1.4477440080366077</v>
      </c>
      <c r="L68" s="297">
        <f t="shared" si="7"/>
        <v>1.5263275532043123</v>
      </c>
      <c r="M68" s="297">
        <f t="shared" si="7"/>
        <v>1.609176613226055</v>
      </c>
      <c r="N68" s="297">
        <f t="shared" si="7"/>
        <v>1.6965227202493252</v>
      </c>
      <c r="O68" s="297">
        <f t="shared" si="7"/>
        <v>1.7886099739866439</v>
      </c>
      <c r="P68" s="297">
        <f t="shared" si="7"/>
        <v>1.8856957238829974</v>
      </c>
      <c r="Q68" s="297">
        <f t="shared" si="7"/>
        <v>1.9880512883113188</v>
      </c>
      <c r="R68" s="297">
        <f t="shared" si="7"/>
        <v>2.0959627128059011</v>
      </c>
      <c r="S68" s="297">
        <f t="shared" si="7"/>
        <v>2.2097315694527198</v>
      </c>
      <c r="T68" s="297">
        <f t="shared" si="7"/>
        <v>2.329675799670663</v>
      </c>
      <c r="U68" s="297">
        <f t="shared" si="7"/>
        <v>2.4561306027389267</v>
      </c>
      <c r="V68" s="297">
        <f t="shared" si="7"/>
        <v>2.5894493725536769</v>
      </c>
      <c r="W68" s="297">
        <f t="shared" si="7"/>
        <v>2.7300046852318633</v>
      </c>
      <c r="X68" s="297">
        <f t="shared" si="7"/>
        <v>2.8781893403221703</v>
      </c>
      <c r="Y68" s="297">
        <f t="shared" si="7"/>
        <v>3.0344174585328965</v>
      </c>
      <c r="Z68" s="297">
        <f t="shared" si="7"/>
        <v>3.199125639044504</v>
      </c>
      <c r="AA68" s="297">
        <f t="shared" si="7"/>
        <v>3.3727741796410946</v>
      </c>
      <c r="AB68" s="297">
        <f t="shared" si="7"/>
        <v>3.5558483630706226</v>
      </c>
      <c r="AC68" s="297">
        <f t="shared" si="7"/>
        <v>3.7488598132287385</v>
      </c>
      <c r="AD68" s="297">
        <f t="shared" si="7"/>
        <v>3.9523479249562947</v>
      </c>
      <c r="AE68" s="297">
        <f t="shared" si="7"/>
        <v>4.1668813714462578</v>
      </c>
      <c r="AF68" s="297">
        <f t="shared" si="7"/>
        <v>4.3930596934726713</v>
      </c>
      <c r="AG68" s="297">
        <f t="shared" si="7"/>
        <v>4.6315149748829629</v>
      </c>
      <c r="AH68" s="297">
        <f t="shared" si="7"/>
        <v>4.8829136090359784</v>
      </c>
      <c r="AI68" s="297">
        <f t="shared" si="7"/>
        <v>5.147958161122272</v>
      </c>
      <c r="AJ68" s="297">
        <f t="shared" si="7"/>
        <v>5.427389331571141</v>
      </c>
      <c r="AK68" s="297">
        <f t="shared" si="7"/>
        <v>5.7219880260313944</v>
      </c>
      <c r="AL68" s="297">
        <f t="shared" si="7"/>
        <v>6.0325775377106812</v>
      </c>
      <c r="AM68" s="297">
        <f t="shared" si="7"/>
        <v>6.360025848172195</v>
      </c>
    </row>
    <row r="69" spans="1:39" outlineLevel="1" x14ac:dyDescent="0.2">
      <c r="B69" s="30" t="s">
        <v>585</v>
      </c>
      <c r="D69" s="298">
        <v>1</v>
      </c>
      <c r="E69" s="297">
        <f t="shared" ref="E69:AM69" si="8">1/E68</f>
        <v>0.94851462583982749</v>
      </c>
      <c r="F69" s="297">
        <f t="shared" si="8"/>
        <v>0.89967999543206789</v>
      </c>
      <c r="G69" s="297">
        <f t="shared" si="8"/>
        <v>0.85335963424282546</v>
      </c>
      <c r="H69" s="297">
        <f t="shared" si="8"/>
        <v>0.80942409418064554</v>
      </c>
      <c r="I69" s="297">
        <f t="shared" si="8"/>
        <v>0.76775059183749639</v>
      </c>
      <c r="J69" s="297">
        <f t="shared" si="8"/>
        <v>0.72822266535504898</v>
      </c>
      <c r="K69" s="297">
        <f t="shared" si="8"/>
        <v>0.69072984895732614</v>
      </c>
      <c r="L69" s="297">
        <f t="shared" si="8"/>
        <v>0.65516736424015876</v>
      </c>
      <c r="M69" s="297">
        <f t="shared" si="8"/>
        <v>0.62143582735472014</v>
      </c>
      <c r="N69" s="297">
        <f t="shared" si="8"/>
        <v>0.58944097126682604</v>
      </c>
      <c r="O69" s="297">
        <f t="shared" si="8"/>
        <v>0.55909338231581795</v>
      </c>
      <c r="P69" s="297">
        <f t="shared" si="8"/>
        <v>0.53030825033681173</v>
      </c>
      <c r="Q69" s="297">
        <f t="shared" si="8"/>
        <v>0.50300513164799454</v>
      </c>
      <c r="R69" s="297">
        <f t="shared" si="8"/>
        <v>0.4771077242406106</v>
      </c>
      <c r="S69" s="297">
        <f t="shared" si="8"/>
        <v>0.45254365454337431</v>
      </c>
      <c r="T69" s="297">
        <f t="shared" si="8"/>
        <v>0.42924427516539687</v>
      </c>
      <c r="U69" s="297">
        <f t="shared" si="8"/>
        <v>0.40714447305239432</v>
      </c>
      <c r="V69" s="297">
        <f t="shared" si="8"/>
        <v>0.38618248752004553</v>
      </c>
      <c r="W69" s="297">
        <f t="shared" si="8"/>
        <v>0.36629973765596979</v>
      </c>
      <c r="X69" s="297">
        <f t="shared" si="8"/>
        <v>0.34744065860797918</v>
      </c>
      <c r="Y69" s="297">
        <f t="shared" si="8"/>
        <v>0.3295525463010906</v>
      </c>
      <c r="Z69" s="297">
        <f t="shared" si="8"/>
        <v>0.31258541014934133</v>
      </c>
      <c r="AA69" s="297">
        <f t="shared" si="8"/>
        <v>0.29649183335079154</v>
      </c>
      <c r="AB69" s="297">
        <f t="shared" si="8"/>
        <v>0.2812268403752905</v>
      </c>
      <c r="AC69" s="297">
        <f t="shared" si="8"/>
        <v>0.26674777127468557</v>
      </c>
      <c r="AD69" s="297">
        <f t="shared" si="8"/>
        <v>0.25301416246421626</v>
      </c>
      <c r="AE69" s="297">
        <f t="shared" si="8"/>
        <v>0.23998763364192344</v>
      </c>
      <c r="AF69" s="297">
        <f t="shared" si="8"/>
        <v>0.22763178053005459</v>
      </c>
      <c r="AG69" s="297">
        <f t="shared" si="8"/>
        <v>0.21591207313871844</v>
      </c>
      <c r="AH69" s="297">
        <f t="shared" si="8"/>
        <v>0.20479575926747301</v>
      </c>
      <c r="AI69" s="297">
        <f t="shared" si="8"/>
        <v>0.19425177297517054</v>
      </c>
      <c r="AJ69" s="297">
        <f t="shared" si="8"/>
        <v>0.18425064776226699</v>
      </c>
      <c r="AK69" s="297">
        <f t="shared" si="8"/>
        <v>0.17476443422297253</v>
      </c>
      <c r="AL69" s="297">
        <f t="shared" si="8"/>
        <v>0.16576662193711192</v>
      </c>
      <c r="AM69" s="297">
        <f t="shared" si="8"/>
        <v>0.15723206538341186</v>
      </c>
    </row>
    <row r="70" spans="1:39" outlineLevel="1" x14ac:dyDescent="0.2"/>
    <row r="71" spans="1:39" ht="18" outlineLevel="1" thickBot="1" x14ac:dyDescent="0.35">
      <c r="B71" s="247" t="s">
        <v>584</v>
      </c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246"/>
      <c r="T71" s="246"/>
      <c r="U71" s="246"/>
      <c r="V71" s="246"/>
      <c r="W71" s="246"/>
      <c r="X71" s="246"/>
      <c r="Y71" s="246"/>
      <c r="Z71" s="246"/>
      <c r="AA71" s="246"/>
      <c r="AB71" s="246"/>
      <c r="AC71" s="246"/>
      <c r="AD71" s="246"/>
      <c r="AE71" s="246"/>
      <c r="AF71" s="246"/>
      <c r="AG71" s="246"/>
      <c r="AH71" s="246"/>
      <c r="AI71" s="246"/>
      <c r="AJ71" s="246"/>
      <c r="AK71" s="246"/>
      <c r="AL71" s="246"/>
      <c r="AM71" s="246"/>
    </row>
    <row r="72" spans="1:39" s="80" customFormat="1" ht="13.5" outlineLevel="1" thickTop="1" x14ac:dyDescent="0.2">
      <c r="B72" s="235" t="s">
        <v>530</v>
      </c>
      <c r="C72" s="235"/>
      <c r="D72" s="234">
        <v>0</v>
      </c>
      <c r="E72" s="234">
        <v>1</v>
      </c>
      <c r="F72" s="234">
        <v>2</v>
      </c>
      <c r="G72" s="234">
        <v>3</v>
      </c>
      <c r="H72" s="234">
        <v>4</v>
      </c>
      <c r="I72" s="234">
        <v>5</v>
      </c>
      <c r="J72" s="234">
        <v>6</v>
      </c>
      <c r="K72" s="234">
        <v>7</v>
      </c>
      <c r="L72" s="234">
        <v>8</v>
      </c>
      <c r="M72" s="234">
        <v>9</v>
      </c>
      <c r="N72" s="234">
        <v>10</v>
      </c>
      <c r="O72" s="234">
        <v>11</v>
      </c>
      <c r="P72" s="234">
        <v>12</v>
      </c>
      <c r="Q72" s="234">
        <v>13</v>
      </c>
      <c r="R72" s="234">
        <v>14</v>
      </c>
      <c r="S72" s="234">
        <v>15</v>
      </c>
      <c r="T72" s="234">
        <v>16</v>
      </c>
      <c r="U72" s="234">
        <v>17</v>
      </c>
      <c r="V72" s="234">
        <v>18</v>
      </c>
      <c r="W72" s="234">
        <v>19</v>
      </c>
      <c r="X72" s="234">
        <v>20</v>
      </c>
      <c r="Y72" s="234">
        <v>21</v>
      </c>
      <c r="Z72" s="234">
        <v>22</v>
      </c>
      <c r="AA72" s="234">
        <v>23</v>
      </c>
      <c r="AB72" s="234">
        <v>24</v>
      </c>
      <c r="AC72" s="234">
        <v>25</v>
      </c>
      <c r="AD72" s="234">
        <v>26</v>
      </c>
      <c r="AE72" s="234">
        <v>27</v>
      </c>
      <c r="AF72" s="234">
        <v>28</v>
      </c>
      <c r="AG72" s="234">
        <v>29</v>
      </c>
      <c r="AH72" s="234">
        <v>30</v>
      </c>
      <c r="AI72" s="234">
        <v>31</v>
      </c>
      <c r="AJ72" s="234">
        <v>32</v>
      </c>
      <c r="AK72" s="234">
        <v>33</v>
      </c>
      <c r="AL72" s="234">
        <v>34</v>
      </c>
      <c r="AM72" s="234">
        <v>35</v>
      </c>
    </row>
    <row r="73" spans="1:39" s="294" customFormat="1" outlineLevel="1" x14ac:dyDescent="0.2">
      <c r="B73" s="296"/>
      <c r="C73" s="296"/>
      <c r="D73" s="296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</row>
    <row r="74" spans="1:39" ht="17.25" customHeight="1" outlineLevel="1" x14ac:dyDescent="0.2">
      <c r="B74" s="30" t="s">
        <v>583</v>
      </c>
      <c r="E74" s="228">
        <f>C51*(1+rvanilla)^0.5</f>
        <v>0</v>
      </c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</row>
    <row r="75" spans="1:39" outlineLevel="1" x14ac:dyDescent="0.2">
      <c r="B75" s="30" t="s">
        <v>582</v>
      </c>
      <c r="E75" s="228">
        <f>E74*E63</f>
        <v>0</v>
      </c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</row>
    <row r="76" spans="1:39" outlineLevel="1" x14ac:dyDescent="0.2"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</row>
    <row r="77" spans="1:39" ht="18" outlineLevel="1" thickBot="1" x14ac:dyDescent="0.35">
      <c r="B77" s="286" t="s">
        <v>581</v>
      </c>
      <c r="C77" s="293"/>
      <c r="D77" s="293"/>
      <c r="E77" s="292"/>
      <c r="F77" s="292"/>
      <c r="G77" s="292"/>
      <c r="H77" s="292"/>
      <c r="I77" s="292"/>
      <c r="J77" s="292"/>
      <c r="K77" s="292"/>
      <c r="L77" s="292"/>
      <c r="M77" s="292"/>
      <c r="N77" s="292"/>
      <c r="O77" s="292"/>
      <c r="P77" s="228"/>
    </row>
    <row r="78" spans="1:39" ht="13.5" outlineLevel="1" thickTop="1" x14ac:dyDescent="0.2">
      <c r="B78" s="80" t="s">
        <v>580</v>
      </c>
      <c r="C78" s="80"/>
      <c r="D78" s="80"/>
      <c r="E78" s="291">
        <f t="shared" ref="E78:AM78" si="9">+E83</f>
        <v>0</v>
      </c>
      <c r="F78" s="291">
        <f t="shared" si="9"/>
        <v>0</v>
      </c>
      <c r="G78" s="291">
        <f t="shared" si="9"/>
        <v>0</v>
      </c>
      <c r="H78" s="291">
        <f t="shared" si="9"/>
        <v>0</v>
      </c>
      <c r="I78" s="291">
        <f t="shared" si="9"/>
        <v>0</v>
      </c>
      <c r="J78" s="291">
        <f t="shared" si="9"/>
        <v>0</v>
      </c>
      <c r="K78" s="291">
        <f t="shared" si="9"/>
        <v>0</v>
      </c>
      <c r="L78" s="291">
        <f t="shared" si="9"/>
        <v>0</v>
      </c>
      <c r="M78" s="291">
        <f t="shared" si="9"/>
        <v>0</v>
      </c>
      <c r="N78" s="291">
        <f t="shared" si="9"/>
        <v>0</v>
      </c>
      <c r="O78" s="291">
        <f t="shared" si="9"/>
        <v>0</v>
      </c>
      <c r="P78" s="291">
        <f t="shared" si="9"/>
        <v>0</v>
      </c>
      <c r="Q78" s="291">
        <f t="shared" si="9"/>
        <v>0</v>
      </c>
      <c r="R78" s="291">
        <f t="shared" si="9"/>
        <v>0</v>
      </c>
      <c r="S78" s="291">
        <f t="shared" si="9"/>
        <v>0</v>
      </c>
      <c r="T78" s="291">
        <f t="shared" si="9"/>
        <v>0</v>
      </c>
      <c r="U78" s="291">
        <f t="shared" si="9"/>
        <v>0</v>
      </c>
      <c r="V78" s="291">
        <f t="shared" si="9"/>
        <v>0</v>
      </c>
      <c r="W78" s="291">
        <f t="shared" si="9"/>
        <v>0</v>
      </c>
      <c r="X78" s="291">
        <f t="shared" si="9"/>
        <v>0</v>
      </c>
      <c r="Y78" s="291">
        <f t="shared" si="9"/>
        <v>0</v>
      </c>
      <c r="Z78" s="291">
        <f t="shared" si="9"/>
        <v>0</v>
      </c>
      <c r="AA78" s="291">
        <f t="shared" si="9"/>
        <v>0</v>
      </c>
      <c r="AB78" s="291">
        <f t="shared" si="9"/>
        <v>0</v>
      </c>
      <c r="AC78" s="291">
        <f t="shared" si="9"/>
        <v>0</v>
      </c>
      <c r="AD78" s="291">
        <f t="shared" si="9"/>
        <v>0</v>
      </c>
      <c r="AE78" s="291">
        <f t="shared" si="9"/>
        <v>0</v>
      </c>
      <c r="AF78" s="291">
        <f t="shared" si="9"/>
        <v>0</v>
      </c>
      <c r="AG78" s="291">
        <f t="shared" si="9"/>
        <v>0</v>
      </c>
      <c r="AH78" s="291">
        <f t="shared" si="9"/>
        <v>0</v>
      </c>
      <c r="AI78" s="291">
        <f t="shared" si="9"/>
        <v>0</v>
      </c>
      <c r="AJ78" s="291">
        <f t="shared" si="9"/>
        <v>0</v>
      </c>
      <c r="AK78" s="291">
        <f t="shared" si="9"/>
        <v>0</v>
      </c>
      <c r="AL78" s="291">
        <f t="shared" si="9"/>
        <v>0</v>
      </c>
      <c r="AM78" s="291">
        <f t="shared" si="9"/>
        <v>0</v>
      </c>
    </row>
    <row r="79" spans="1:39" outlineLevel="1" x14ac:dyDescent="0.2"/>
    <row r="80" spans="1:39" hidden="1" outlineLevel="2" x14ac:dyDescent="0.2">
      <c r="A80" s="283"/>
      <c r="C80" s="282" t="s">
        <v>579</v>
      </c>
      <c r="D80" s="281"/>
      <c r="E80" s="280"/>
      <c r="F80" s="280"/>
      <c r="G80" s="280"/>
      <c r="H80" s="280"/>
      <c r="I80" s="280"/>
      <c r="J80" s="280"/>
      <c r="K80" s="280"/>
      <c r="L80" s="280"/>
      <c r="M80" s="280"/>
      <c r="N80" s="280"/>
      <c r="O80" s="280"/>
      <c r="P80" s="280"/>
      <c r="Q80" s="280"/>
      <c r="R80" s="280"/>
      <c r="S80" s="280"/>
      <c r="T80" s="280"/>
      <c r="U80" s="280"/>
      <c r="V80" s="280"/>
      <c r="W80" s="280"/>
      <c r="X80" s="280"/>
      <c r="Y80" s="280"/>
      <c r="Z80" s="280"/>
      <c r="AA80" s="280"/>
      <c r="AB80" s="280"/>
      <c r="AC80" s="280"/>
      <c r="AD80" s="280"/>
      <c r="AE80" s="280"/>
      <c r="AF80" s="280"/>
      <c r="AG80" s="280"/>
      <c r="AH80" s="280"/>
      <c r="AI80" s="280"/>
      <c r="AJ80" s="280"/>
      <c r="AK80" s="280"/>
      <c r="AL80" s="280"/>
      <c r="AM80" s="280"/>
    </row>
    <row r="81" spans="1:39" hidden="1" outlineLevel="2" x14ac:dyDescent="0.2">
      <c r="A81" s="277"/>
      <c r="B81" s="279"/>
      <c r="C81" s="279"/>
      <c r="D81" s="275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</row>
    <row r="82" spans="1:39" hidden="1" outlineLevel="2" x14ac:dyDescent="0.2">
      <c r="A82" s="277"/>
      <c r="B82" s="276"/>
      <c r="C82" s="155">
        <v>1</v>
      </c>
      <c r="D82" s="275"/>
      <c r="E82" s="290"/>
      <c r="F82" s="273">
        <f>IF(A3stdlife="N/A","n/a",IF(F$36&gt;(A3stdlife+$C82),($C$51*(1+rvanilla)^0.5)-SUM($E82:E82),($C$51*(1+rvanilla)^0.5)/A3stdlife))</f>
        <v>0</v>
      </c>
      <c r="G82" s="273">
        <f>IF(A3stdlife="N/A","n/a",IF(G$36&gt;(A3stdlife+$C82),($C$51*(1+rvanilla)^0.5)-SUM($E82:F82),($C$51*(1+rvanilla)^0.5)/A3stdlife))</f>
        <v>0</v>
      </c>
      <c r="H82" s="273">
        <f>IF(A3stdlife="N/A","n/a",IF(H$36&gt;(A3stdlife+$C82),($C$51*(1+rvanilla)^0.5)-SUM($E82:G82),($C$51*(1+rvanilla)^0.5)/A3stdlife))</f>
        <v>0</v>
      </c>
      <c r="I82" s="273">
        <f>IF(A3stdlife="N/A","n/a",IF(I$36&gt;(A3stdlife+$C82),($C$51*(1+rvanilla)^0.5)-SUM($E82:H82),($C$51*(1+rvanilla)^0.5)/A3stdlife))</f>
        <v>0</v>
      </c>
      <c r="J82" s="273">
        <f>IF(A3stdlife="N/A","n/a",IF(J$36&gt;(A3stdlife+$C82),($C$51*(1+rvanilla)^0.5)-SUM($E82:I82),($C$51*(1+rvanilla)^0.5)/A3stdlife))</f>
        <v>0</v>
      </c>
      <c r="K82" s="273">
        <f>IF(A3stdlife="N/A","n/a",IF(K$36&gt;(A3stdlife+$C82),($C$51*(1+rvanilla)^0.5)-SUM($E82:J82),($C$51*(1+rvanilla)^0.5)/A3stdlife))</f>
        <v>0</v>
      </c>
      <c r="L82" s="273">
        <f>IF(A3stdlife="N/A","n/a",IF(L$36&gt;(A3stdlife+$C82),($C$51*(1+rvanilla)^0.5)-SUM($E82:K82),($C$51*(1+rvanilla)^0.5)/A3stdlife))</f>
        <v>0</v>
      </c>
      <c r="M82" s="273">
        <f>IF(A3stdlife="N/A","n/a",IF(M$36&gt;(A3stdlife+$C82),($C$51*(1+rvanilla)^0.5)-SUM($E82:L82),($C$51*(1+rvanilla)^0.5)/A3stdlife))</f>
        <v>0</v>
      </c>
      <c r="N82" s="273">
        <f>IF(A3stdlife="N/A","n/a",IF(N$36&gt;(A3stdlife+$C82),($C$51*(1+rvanilla)^0.5)-SUM($E82:M82),($C$51*(1+rvanilla)^0.5)/A3stdlife))</f>
        <v>0</v>
      </c>
      <c r="O82" s="273">
        <f>IF(A3stdlife="N/A","n/a",IF(O$36&gt;(A3stdlife+$C82),($C$51*(1+rvanilla)^0.5)-SUM($E82:N82),($C$51*(1+rvanilla)^0.5)/A3stdlife))</f>
        <v>0</v>
      </c>
      <c r="P82" s="273">
        <f>IF(A3stdlife="N/A","n/a",IF(P$36&gt;(A3stdlife+$C82),($C$51*(1+rvanilla)^0.5)-SUM($E82:O82),($C$51*(1+rvanilla)^0.5)/A3stdlife))</f>
        <v>0</v>
      </c>
      <c r="Q82" s="273">
        <f>IF(A3stdlife="N/A","n/a",IF(Q$36&gt;(A3stdlife+$C82),($C$51*(1+rvanilla)^0.5)-SUM($E82:P82),($C$51*(1+rvanilla)^0.5)/A3stdlife))</f>
        <v>0</v>
      </c>
      <c r="R82" s="273">
        <f>IF(A3stdlife="N/A","n/a",IF(R$36&gt;(A3stdlife+$C82),($C$51*(1+rvanilla)^0.5)-SUM($E82:Q82),($C$51*(1+rvanilla)^0.5)/A3stdlife))</f>
        <v>0</v>
      </c>
      <c r="S82" s="273">
        <f>IF(A3stdlife="N/A","n/a",IF(S$36&gt;(A3stdlife+$C82),($C$51*(1+rvanilla)^0.5)-SUM($E82:R82),($C$51*(1+rvanilla)^0.5)/A3stdlife))</f>
        <v>0</v>
      </c>
      <c r="T82" s="273">
        <f>IF(A3stdlife="N/A","n/a",IF(T$36&gt;(A3stdlife+$C82),($C$51*(1+rvanilla)^0.5)-SUM($E82:S82),($C$51*(1+rvanilla)^0.5)/A3stdlife))</f>
        <v>0</v>
      </c>
      <c r="U82" s="273">
        <f>IF(A3stdlife="N/A","n/a",IF(U$36&gt;(A3stdlife+$C82),($C$51*(1+rvanilla)^0.5)-SUM($E82:T82),($C$51*(1+rvanilla)^0.5)/A3stdlife))</f>
        <v>0</v>
      </c>
      <c r="V82" s="273">
        <f>IF(A3stdlife="N/A","n/a",IF(V$36&gt;(A3stdlife+$C82),($C$51*(1+rvanilla)^0.5)-SUM($E82:U82),($C$51*(1+rvanilla)^0.5)/A3stdlife))</f>
        <v>0</v>
      </c>
      <c r="W82" s="273">
        <f>IF(A3stdlife="N/A","n/a",IF(W$36&gt;(A3stdlife+$C82),($C$51*(1+rvanilla)^0.5)-SUM($E82:V82),($C$51*(1+rvanilla)^0.5)/A3stdlife))</f>
        <v>0</v>
      </c>
      <c r="X82" s="273">
        <f>IF(A3stdlife="N/A","n/a",IF(X$36&gt;(A3stdlife+$C82),($C$51*(1+rvanilla)^0.5)-SUM($E82:W82),($C$51*(1+rvanilla)^0.5)/A3stdlife))</f>
        <v>0</v>
      </c>
      <c r="Y82" s="273">
        <f>IF(A3stdlife="N/A","n/a",IF(Y$36&gt;(A3stdlife+$C82),($C$51*(1+rvanilla)^0.5)-SUM($E82:X82),($C$51*(1+rvanilla)^0.5)/A3stdlife))</f>
        <v>0</v>
      </c>
      <c r="Z82" s="273">
        <f>IF(A3stdlife="N/A","n/a",IF(Z$36&gt;(A3stdlife+$C82),($C$51*(1+rvanilla)^0.5)-SUM($E82:Y82),($C$51*(1+rvanilla)^0.5)/A3stdlife))</f>
        <v>0</v>
      </c>
      <c r="AA82" s="273">
        <f>IF(A3stdlife="N/A","n/a",IF(AA$36&gt;(A3stdlife+$C82),($C$51*(1+rvanilla)^0.5)-SUM($E82:Z82),($C$51*(1+rvanilla)^0.5)/A3stdlife))</f>
        <v>0</v>
      </c>
      <c r="AB82" s="273">
        <f>IF(A3stdlife="N/A","n/a",IF(AB$36&gt;(A3stdlife+$C82),($C$51*(1+rvanilla)^0.5)-SUM($E82:AA82),($C$51*(1+rvanilla)^0.5)/A3stdlife))</f>
        <v>0</v>
      </c>
      <c r="AC82" s="273">
        <f>IF(A3stdlife="N/A","n/a",IF(AC$36&gt;(A3stdlife+$C82),($C$51*(1+rvanilla)^0.5)-SUM($E82:AB82),($C$51*(1+rvanilla)^0.5)/A3stdlife))</f>
        <v>0</v>
      </c>
      <c r="AD82" s="273">
        <f>IF(A3stdlife="N/A","n/a",IF(AD$36&gt;(A3stdlife+$C82),($C$51*(1+rvanilla)^0.5)-SUM($E82:AC82),($C$51*(1+rvanilla)^0.5)/A3stdlife))</f>
        <v>0</v>
      </c>
      <c r="AE82" s="273">
        <f>IF(A3stdlife="N/A","n/a",IF(AE$36&gt;(A3stdlife+$C82),($C$51*(1+rvanilla)^0.5)-SUM($E82:AD82),($C$51*(1+rvanilla)^0.5)/A3stdlife))</f>
        <v>0</v>
      </c>
      <c r="AF82" s="273">
        <f>IF(A3stdlife="N/A","n/a",IF(AF$36&gt;(A3stdlife+$C82),($C$51*(1+rvanilla)^0.5)-SUM($E82:AE82),($C$51*(1+rvanilla)^0.5)/A3stdlife))</f>
        <v>0</v>
      </c>
      <c r="AG82" s="273">
        <f>IF(A3stdlife="N/A","n/a",IF(AG$36&gt;(A3stdlife+$C82),($C$51*(1+rvanilla)^0.5)-SUM($E82:AF82),($C$51*(1+rvanilla)^0.5)/A3stdlife))</f>
        <v>0</v>
      </c>
      <c r="AH82" s="273">
        <f>IF(A3stdlife="N/A","n/a",IF(AH$36&gt;(A3stdlife+$C82),($C$51*(1+rvanilla)^0.5)-SUM($E82:AG82),($C$51*(1+rvanilla)^0.5)/A3stdlife))</f>
        <v>0</v>
      </c>
      <c r="AI82" s="273">
        <f>IF(A3stdlife="N/A","n/a",IF(AI$36&gt;(A3stdlife+$C82),($C$51*(1+rvanilla)^0.5)-SUM($E82:AH82),($C$51*(1+rvanilla)^0.5)/A3stdlife))</f>
        <v>0</v>
      </c>
      <c r="AJ82" s="273">
        <f>IF(A3stdlife="N/A","n/a",IF(AJ$36&gt;(A3stdlife+$C82),($C$51*(1+rvanilla)^0.5)-SUM($E82:AI82),($C$51*(1+rvanilla)^0.5)/A3stdlife))</f>
        <v>0</v>
      </c>
      <c r="AK82" s="273">
        <f>IF(A3stdlife="N/A","n/a",IF(AK$36&gt;(A3stdlife+$C82),($C$51*(1+rvanilla)^0.5)-SUM($E82:AJ82),($C$51*(1+rvanilla)^0.5)/A3stdlife))</f>
        <v>0</v>
      </c>
      <c r="AL82" s="273">
        <f>IF(A3stdlife="N/A","n/a",IF(AL$36&gt;(A3stdlife+$C82),($C$51*(1+rvanilla)^0.5)-SUM($E82:AK82),($C$51*(1+rvanilla)^0.5)/A3stdlife))</f>
        <v>0</v>
      </c>
      <c r="AM82" s="273">
        <f>IF(A3stdlife="N/A","n/a",IF(AM$36&gt;(A3stdlife+$C82),($C$51*(1+rvanilla)^0.5)-SUM($E82:AL82),($C$51*(1+rvanilla)^0.5)/A3stdlife))</f>
        <v>0</v>
      </c>
    </row>
    <row r="83" spans="1:39" outlineLevel="1" collapsed="1" x14ac:dyDescent="0.2">
      <c r="A83" s="271"/>
      <c r="B83" s="272" t="s">
        <v>578</v>
      </c>
      <c r="C83" s="271"/>
      <c r="D83" s="271"/>
      <c r="E83" s="270">
        <f t="shared" ref="E83:AM83" si="10">SUM(E80:E82)</f>
        <v>0</v>
      </c>
      <c r="F83" s="270">
        <f t="shared" si="10"/>
        <v>0</v>
      </c>
      <c r="G83" s="270">
        <f t="shared" si="10"/>
        <v>0</v>
      </c>
      <c r="H83" s="270">
        <f t="shared" si="10"/>
        <v>0</v>
      </c>
      <c r="I83" s="270">
        <f t="shared" si="10"/>
        <v>0</v>
      </c>
      <c r="J83" s="270">
        <f t="shared" si="10"/>
        <v>0</v>
      </c>
      <c r="K83" s="270">
        <f t="shared" si="10"/>
        <v>0</v>
      </c>
      <c r="L83" s="270">
        <f t="shared" si="10"/>
        <v>0</v>
      </c>
      <c r="M83" s="270">
        <f t="shared" si="10"/>
        <v>0</v>
      </c>
      <c r="N83" s="270">
        <f t="shared" si="10"/>
        <v>0</v>
      </c>
      <c r="O83" s="270">
        <f t="shared" si="10"/>
        <v>0</v>
      </c>
      <c r="P83" s="270">
        <f t="shared" si="10"/>
        <v>0</v>
      </c>
      <c r="Q83" s="270">
        <f t="shared" si="10"/>
        <v>0</v>
      </c>
      <c r="R83" s="270">
        <f t="shared" si="10"/>
        <v>0</v>
      </c>
      <c r="S83" s="270">
        <f t="shared" si="10"/>
        <v>0</v>
      </c>
      <c r="T83" s="270">
        <f t="shared" si="10"/>
        <v>0</v>
      </c>
      <c r="U83" s="270">
        <f t="shared" si="10"/>
        <v>0</v>
      </c>
      <c r="V83" s="270">
        <f t="shared" si="10"/>
        <v>0</v>
      </c>
      <c r="W83" s="270">
        <f t="shared" si="10"/>
        <v>0</v>
      </c>
      <c r="X83" s="270">
        <f t="shared" si="10"/>
        <v>0</v>
      </c>
      <c r="Y83" s="270">
        <f t="shared" si="10"/>
        <v>0</v>
      </c>
      <c r="Z83" s="270">
        <f t="shared" si="10"/>
        <v>0</v>
      </c>
      <c r="AA83" s="270">
        <f t="shared" si="10"/>
        <v>0</v>
      </c>
      <c r="AB83" s="270">
        <f t="shared" si="10"/>
        <v>0</v>
      </c>
      <c r="AC83" s="270">
        <f t="shared" si="10"/>
        <v>0</v>
      </c>
      <c r="AD83" s="270">
        <f t="shared" si="10"/>
        <v>0</v>
      </c>
      <c r="AE83" s="270">
        <f t="shared" si="10"/>
        <v>0</v>
      </c>
      <c r="AF83" s="270">
        <f t="shared" si="10"/>
        <v>0</v>
      </c>
      <c r="AG83" s="270">
        <f t="shared" si="10"/>
        <v>0</v>
      </c>
      <c r="AH83" s="270">
        <f t="shared" si="10"/>
        <v>0</v>
      </c>
      <c r="AI83" s="270">
        <f t="shared" si="10"/>
        <v>0</v>
      </c>
      <c r="AJ83" s="270">
        <f t="shared" si="10"/>
        <v>0</v>
      </c>
      <c r="AK83" s="270">
        <f t="shared" si="10"/>
        <v>0</v>
      </c>
      <c r="AL83" s="270">
        <f t="shared" si="10"/>
        <v>0</v>
      </c>
      <c r="AM83" s="270">
        <f t="shared" si="10"/>
        <v>0</v>
      </c>
    </row>
    <row r="84" spans="1:39" outlineLevel="1" x14ac:dyDescent="0.2"/>
    <row r="85" spans="1:39" outlineLevel="1" x14ac:dyDescent="0.2"/>
    <row r="86" spans="1:39" outlineLevel="1" x14ac:dyDescent="0.2">
      <c r="B86" s="30" t="s">
        <v>577</v>
      </c>
      <c r="D86" s="228"/>
      <c r="E86" s="289">
        <f t="shared" ref="E86:AM86" si="11">D86-E78+E74</f>
        <v>0</v>
      </c>
      <c r="F86" s="228">
        <f t="shared" si="11"/>
        <v>0</v>
      </c>
      <c r="G86" s="228">
        <f t="shared" si="11"/>
        <v>0</v>
      </c>
      <c r="H86" s="228">
        <f t="shared" si="11"/>
        <v>0</v>
      </c>
      <c r="I86" s="228">
        <f t="shared" si="11"/>
        <v>0</v>
      </c>
      <c r="J86" s="228">
        <f t="shared" si="11"/>
        <v>0</v>
      </c>
      <c r="K86" s="228">
        <f t="shared" si="11"/>
        <v>0</v>
      </c>
      <c r="L86" s="228">
        <f t="shared" si="11"/>
        <v>0</v>
      </c>
      <c r="M86" s="228">
        <f t="shared" si="11"/>
        <v>0</v>
      </c>
      <c r="N86" s="228">
        <f t="shared" si="11"/>
        <v>0</v>
      </c>
      <c r="O86" s="228">
        <f t="shared" si="11"/>
        <v>0</v>
      </c>
      <c r="P86" s="228">
        <f t="shared" si="11"/>
        <v>0</v>
      </c>
      <c r="Q86" s="228">
        <f t="shared" si="11"/>
        <v>0</v>
      </c>
      <c r="R86" s="228">
        <f t="shared" si="11"/>
        <v>0</v>
      </c>
      <c r="S86" s="228">
        <f t="shared" si="11"/>
        <v>0</v>
      </c>
      <c r="T86" s="228">
        <f t="shared" si="11"/>
        <v>0</v>
      </c>
      <c r="U86" s="228">
        <f t="shared" si="11"/>
        <v>0</v>
      </c>
      <c r="V86" s="228">
        <f t="shared" si="11"/>
        <v>0</v>
      </c>
      <c r="W86" s="228">
        <f t="shared" si="11"/>
        <v>0</v>
      </c>
      <c r="X86" s="228">
        <f t="shared" si="11"/>
        <v>0</v>
      </c>
      <c r="Y86" s="228">
        <f t="shared" si="11"/>
        <v>0</v>
      </c>
      <c r="Z86" s="228">
        <f t="shared" si="11"/>
        <v>0</v>
      </c>
      <c r="AA86" s="228">
        <f t="shared" si="11"/>
        <v>0</v>
      </c>
      <c r="AB86" s="228">
        <f t="shared" si="11"/>
        <v>0</v>
      </c>
      <c r="AC86" s="228">
        <f t="shared" si="11"/>
        <v>0</v>
      </c>
      <c r="AD86" s="228">
        <f t="shared" si="11"/>
        <v>0</v>
      </c>
      <c r="AE86" s="228">
        <f t="shared" si="11"/>
        <v>0</v>
      </c>
      <c r="AF86" s="228">
        <f t="shared" si="11"/>
        <v>0</v>
      </c>
      <c r="AG86" s="228">
        <f t="shared" si="11"/>
        <v>0</v>
      </c>
      <c r="AH86" s="228">
        <f t="shared" si="11"/>
        <v>0</v>
      </c>
      <c r="AI86" s="228">
        <f t="shared" si="11"/>
        <v>0</v>
      </c>
      <c r="AJ86" s="228">
        <f t="shared" si="11"/>
        <v>0</v>
      </c>
      <c r="AK86" s="228">
        <f t="shared" si="11"/>
        <v>0</v>
      </c>
      <c r="AL86" s="228">
        <f t="shared" si="11"/>
        <v>0</v>
      </c>
      <c r="AM86" s="228">
        <f t="shared" si="11"/>
        <v>0</v>
      </c>
    </row>
    <row r="87" spans="1:39" outlineLevel="1" x14ac:dyDescent="0.2">
      <c r="B87" s="30" t="s">
        <v>576</v>
      </c>
      <c r="D87" s="30">
        <v>0</v>
      </c>
      <c r="E87" s="289">
        <f t="shared" ref="E87:AM87" si="12">D86</f>
        <v>0</v>
      </c>
      <c r="F87" s="228">
        <f t="shared" si="12"/>
        <v>0</v>
      </c>
      <c r="G87" s="228">
        <f t="shared" si="12"/>
        <v>0</v>
      </c>
      <c r="H87" s="228">
        <f t="shared" si="12"/>
        <v>0</v>
      </c>
      <c r="I87" s="228">
        <f t="shared" si="12"/>
        <v>0</v>
      </c>
      <c r="J87" s="228">
        <f t="shared" si="12"/>
        <v>0</v>
      </c>
      <c r="K87" s="228">
        <f t="shared" si="12"/>
        <v>0</v>
      </c>
      <c r="L87" s="228">
        <f t="shared" si="12"/>
        <v>0</v>
      </c>
      <c r="M87" s="228">
        <f t="shared" si="12"/>
        <v>0</v>
      </c>
      <c r="N87" s="228">
        <f t="shared" si="12"/>
        <v>0</v>
      </c>
      <c r="O87" s="228">
        <f t="shared" si="12"/>
        <v>0</v>
      </c>
      <c r="P87" s="228">
        <f t="shared" si="12"/>
        <v>0</v>
      </c>
      <c r="Q87" s="228">
        <f t="shared" si="12"/>
        <v>0</v>
      </c>
      <c r="R87" s="228">
        <f t="shared" si="12"/>
        <v>0</v>
      </c>
      <c r="S87" s="228">
        <f t="shared" si="12"/>
        <v>0</v>
      </c>
      <c r="T87" s="228">
        <f t="shared" si="12"/>
        <v>0</v>
      </c>
      <c r="U87" s="228">
        <f t="shared" si="12"/>
        <v>0</v>
      </c>
      <c r="V87" s="228">
        <f t="shared" si="12"/>
        <v>0</v>
      </c>
      <c r="W87" s="228">
        <f t="shared" si="12"/>
        <v>0</v>
      </c>
      <c r="X87" s="228">
        <f t="shared" si="12"/>
        <v>0</v>
      </c>
      <c r="Y87" s="228">
        <f t="shared" si="12"/>
        <v>0</v>
      </c>
      <c r="Z87" s="228">
        <f t="shared" si="12"/>
        <v>0</v>
      </c>
      <c r="AA87" s="228">
        <f t="shared" si="12"/>
        <v>0</v>
      </c>
      <c r="AB87" s="228">
        <f t="shared" si="12"/>
        <v>0</v>
      </c>
      <c r="AC87" s="228">
        <f t="shared" si="12"/>
        <v>0</v>
      </c>
      <c r="AD87" s="228">
        <f t="shared" si="12"/>
        <v>0</v>
      </c>
      <c r="AE87" s="228">
        <f t="shared" si="12"/>
        <v>0</v>
      </c>
      <c r="AF87" s="228">
        <f t="shared" si="12"/>
        <v>0</v>
      </c>
      <c r="AG87" s="228">
        <f t="shared" si="12"/>
        <v>0</v>
      </c>
      <c r="AH87" s="228">
        <f t="shared" si="12"/>
        <v>0</v>
      </c>
      <c r="AI87" s="228">
        <f t="shared" si="12"/>
        <v>0</v>
      </c>
      <c r="AJ87" s="228">
        <f t="shared" si="12"/>
        <v>0</v>
      </c>
      <c r="AK87" s="228">
        <f t="shared" si="12"/>
        <v>0</v>
      </c>
      <c r="AL87" s="228">
        <f t="shared" si="12"/>
        <v>0</v>
      </c>
      <c r="AM87" s="228">
        <f t="shared" si="12"/>
        <v>0</v>
      </c>
    </row>
    <row r="88" spans="1:39" outlineLevel="1" x14ac:dyDescent="0.2">
      <c r="E88" s="289"/>
    </row>
    <row r="89" spans="1:39" outlineLevel="1" x14ac:dyDescent="0.2">
      <c r="E89" s="289"/>
    </row>
    <row r="90" spans="1:39" ht="18" outlineLevel="1" thickBot="1" x14ac:dyDescent="0.35">
      <c r="B90" s="286" t="s">
        <v>575</v>
      </c>
      <c r="E90" s="289"/>
    </row>
    <row r="91" spans="1:39" ht="13.5" outlineLevel="1" thickTop="1" x14ac:dyDescent="0.2">
      <c r="B91" s="30" t="s">
        <v>574</v>
      </c>
      <c r="E91" s="289">
        <f t="shared" ref="E91:AM91" si="13">D94*E62</f>
        <v>0</v>
      </c>
      <c r="F91" s="241">
        <f t="shared" si="13"/>
        <v>0</v>
      </c>
      <c r="G91" s="241">
        <f t="shared" si="13"/>
        <v>0</v>
      </c>
      <c r="H91" s="241">
        <f t="shared" si="13"/>
        <v>0</v>
      </c>
      <c r="I91" s="241">
        <f t="shared" si="13"/>
        <v>0</v>
      </c>
      <c r="J91" s="241">
        <f t="shared" si="13"/>
        <v>0</v>
      </c>
      <c r="K91" s="241">
        <f t="shared" si="13"/>
        <v>0</v>
      </c>
      <c r="L91" s="241">
        <f t="shared" si="13"/>
        <v>0</v>
      </c>
      <c r="M91" s="241">
        <f t="shared" si="13"/>
        <v>0</v>
      </c>
      <c r="N91" s="241">
        <f t="shared" si="13"/>
        <v>0</v>
      </c>
      <c r="O91" s="241">
        <f t="shared" si="13"/>
        <v>0</v>
      </c>
      <c r="P91" s="241">
        <f t="shared" si="13"/>
        <v>0</v>
      </c>
      <c r="Q91" s="241">
        <f t="shared" si="13"/>
        <v>0</v>
      </c>
      <c r="R91" s="241">
        <f t="shared" si="13"/>
        <v>0</v>
      </c>
      <c r="S91" s="241">
        <f t="shared" si="13"/>
        <v>0</v>
      </c>
      <c r="T91" s="241">
        <f t="shared" si="13"/>
        <v>0</v>
      </c>
      <c r="U91" s="241">
        <f t="shared" si="13"/>
        <v>0</v>
      </c>
      <c r="V91" s="241">
        <f t="shared" si="13"/>
        <v>0</v>
      </c>
      <c r="W91" s="241">
        <f t="shared" si="13"/>
        <v>0</v>
      </c>
      <c r="X91" s="241">
        <f t="shared" si="13"/>
        <v>0</v>
      </c>
      <c r="Y91" s="241">
        <f t="shared" si="13"/>
        <v>0</v>
      </c>
      <c r="Z91" s="241">
        <f t="shared" si="13"/>
        <v>0</v>
      </c>
      <c r="AA91" s="241">
        <f t="shared" si="13"/>
        <v>0</v>
      </c>
      <c r="AB91" s="241">
        <f t="shared" si="13"/>
        <v>0</v>
      </c>
      <c r="AC91" s="241">
        <f t="shared" si="13"/>
        <v>0</v>
      </c>
      <c r="AD91" s="241">
        <f t="shared" si="13"/>
        <v>0</v>
      </c>
      <c r="AE91" s="241">
        <f t="shared" si="13"/>
        <v>0</v>
      </c>
      <c r="AF91" s="241">
        <f t="shared" si="13"/>
        <v>0</v>
      </c>
      <c r="AG91" s="241">
        <f t="shared" si="13"/>
        <v>0</v>
      </c>
      <c r="AH91" s="241">
        <f t="shared" si="13"/>
        <v>0</v>
      </c>
      <c r="AI91" s="241">
        <f t="shared" si="13"/>
        <v>0</v>
      </c>
      <c r="AJ91" s="241">
        <f t="shared" si="13"/>
        <v>0</v>
      </c>
      <c r="AK91" s="241">
        <f t="shared" si="13"/>
        <v>0</v>
      </c>
      <c r="AL91" s="241">
        <f t="shared" si="13"/>
        <v>0</v>
      </c>
      <c r="AM91" s="241">
        <f t="shared" si="13"/>
        <v>0</v>
      </c>
    </row>
    <row r="92" spans="1:39" outlineLevel="1" x14ac:dyDescent="0.2">
      <c r="B92" s="30" t="s">
        <v>573</v>
      </c>
      <c r="E92" s="289">
        <f t="shared" ref="E92:AM92" si="14">E78*E63</f>
        <v>0</v>
      </c>
      <c r="F92" s="241">
        <f t="shared" si="14"/>
        <v>0</v>
      </c>
      <c r="G92" s="241">
        <f t="shared" si="14"/>
        <v>0</v>
      </c>
      <c r="H92" s="241">
        <f t="shared" si="14"/>
        <v>0</v>
      </c>
      <c r="I92" s="241">
        <f t="shared" si="14"/>
        <v>0</v>
      </c>
      <c r="J92" s="241">
        <f t="shared" si="14"/>
        <v>0</v>
      </c>
      <c r="K92" s="241">
        <f t="shared" si="14"/>
        <v>0</v>
      </c>
      <c r="L92" s="241">
        <f t="shared" si="14"/>
        <v>0</v>
      </c>
      <c r="M92" s="241">
        <f t="shared" si="14"/>
        <v>0</v>
      </c>
      <c r="N92" s="241">
        <f t="shared" si="14"/>
        <v>0</v>
      </c>
      <c r="O92" s="241">
        <f t="shared" si="14"/>
        <v>0</v>
      </c>
      <c r="P92" s="241">
        <f t="shared" si="14"/>
        <v>0</v>
      </c>
      <c r="Q92" s="241">
        <f t="shared" si="14"/>
        <v>0</v>
      </c>
      <c r="R92" s="241">
        <f t="shared" si="14"/>
        <v>0</v>
      </c>
      <c r="S92" s="241">
        <f t="shared" si="14"/>
        <v>0</v>
      </c>
      <c r="T92" s="241">
        <f t="shared" si="14"/>
        <v>0</v>
      </c>
      <c r="U92" s="241">
        <f t="shared" si="14"/>
        <v>0</v>
      </c>
      <c r="V92" s="241">
        <f t="shared" si="14"/>
        <v>0</v>
      </c>
      <c r="W92" s="241">
        <f t="shared" si="14"/>
        <v>0</v>
      </c>
      <c r="X92" s="241">
        <f t="shared" si="14"/>
        <v>0</v>
      </c>
      <c r="Y92" s="241">
        <f t="shared" si="14"/>
        <v>0</v>
      </c>
      <c r="Z92" s="241">
        <f t="shared" si="14"/>
        <v>0</v>
      </c>
      <c r="AA92" s="241">
        <f t="shared" si="14"/>
        <v>0</v>
      </c>
      <c r="AB92" s="241">
        <f t="shared" si="14"/>
        <v>0</v>
      </c>
      <c r="AC92" s="241">
        <f t="shared" si="14"/>
        <v>0</v>
      </c>
      <c r="AD92" s="241">
        <f t="shared" si="14"/>
        <v>0</v>
      </c>
      <c r="AE92" s="241">
        <f t="shared" si="14"/>
        <v>0</v>
      </c>
      <c r="AF92" s="241">
        <f t="shared" si="14"/>
        <v>0</v>
      </c>
      <c r="AG92" s="241">
        <f t="shared" si="14"/>
        <v>0</v>
      </c>
      <c r="AH92" s="241">
        <f t="shared" si="14"/>
        <v>0</v>
      </c>
      <c r="AI92" s="241">
        <f t="shared" si="14"/>
        <v>0</v>
      </c>
      <c r="AJ92" s="241">
        <f t="shared" si="14"/>
        <v>0</v>
      </c>
      <c r="AK92" s="241">
        <f t="shared" si="14"/>
        <v>0</v>
      </c>
      <c r="AL92" s="241">
        <f t="shared" si="14"/>
        <v>0</v>
      </c>
      <c r="AM92" s="241">
        <f t="shared" si="14"/>
        <v>0</v>
      </c>
    </row>
    <row r="93" spans="1:39" outlineLevel="1" x14ac:dyDescent="0.2">
      <c r="B93" s="30" t="s">
        <v>572</v>
      </c>
      <c r="E93" s="289">
        <f t="shared" ref="E93:AM93" si="15">E92-E91</f>
        <v>0</v>
      </c>
      <c r="F93" s="241">
        <f t="shared" si="15"/>
        <v>0</v>
      </c>
      <c r="G93" s="241">
        <f t="shared" si="15"/>
        <v>0</v>
      </c>
      <c r="H93" s="241">
        <f t="shared" si="15"/>
        <v>0</v>
      </c>
      <c r="I93" s="241">
        <f t="shared" si="15"/>
        <v>0</v>
      </c>
      <c r="J93" s="241">
        <f t="shared" si="15"/>
        <v>0</v>
      </c>
      <c r="K93" s="241">
        <f t="shared" si="15"/>
        <v>0</v>
      </c>
      <c r="L93" s="241">
        <f t="shared" si="15"/>
        <v>0</v>
      </c>
      <c r="M93" s="241">
        <f t="shared" si="15"/>
        <v>0</v>
      </c>
      <c r="N93" s="241">
        <f t="shared" si="15"/>
        <v>0</v>
      </c>
      <c r="O93" s="241">
        <f t="shared" si="15"/>
        <v>0</v>
      </c>
      <c r="P93" s="241">
        <f t="shared" si="15"/>
        <v>0</v>
      </c>
      <c r="Q93" s="241">
        <f t="shared" si="15"/>
        <v>0</v>
      </c>
      <c r="R93" s="241">
        <f t="shared" si="15"/>
        <v>0</v>
      </c>
      <c r="S93" s="241">
        <f t="shared" si="15"/>
        <v>0</v>
      </c>
      <c r="T93" s="241">
        <f t="shared" si="15"/>
        <v>0</v>
      </c>
      <c r="U93" s="241">
        <f t="shared" si="15"/>
        <v>0</v>
      </c>
      <c r="V93" s="241">
        <f t="shared" si="15"/>
        <v>0</v>
      </c>
      <c r="W93" s="241">
        <f t="shared" si="15"/>
        <v>0</v>
      </c>
      <c r="X93" s="241">
        <f t="shared" si="15"/>
        <v>0</v>
      </c>
      <c r="Y93" s="241">
        <f t="shared" si="15"/>
        <v>0</v>
      </c>
      <c r="Z93" s="241">
        <f t="shared" si="15"/>
        <v>0</v>
      </c>
      <c r="AA93" s="241">
        <f t="shared" si="15"/>
        <v>0</v>
      </c>
      <c r="AB93" s="241">
        <f t="shared" si="15"/>
        <v>0</v>
      </c>
      <c r="AC93" s="241">
        <f t="shared" si="15"/>
        <v>0</v>
      </c>
      <c r="AD93" s="241">
        <f t="shared" si="15"/>
        <v>0</v>
      </c>
      <c r="AE93" s="241">
        <f t="shared" si="15"/>
        <v>0</v>
      </c>
      <c r="AF93" s="241">
        <f t="shared" si="15"/>
        <v>0</v>
      </c>
      <c r="AG93" s="241">
        <f t="shared" si="15"/>
        <v>0</v>
      </c>
      <c r="AH93" s="241">
        <f t="shared" si="15"/>
        <v>0</v>
      </c>
      <c r="AI93" s="241">
        <f t="shared" si="15"/>
        <v>0</v>
      </c>
      <c r="AJ93" s="241">
        <f t="shared" si="15"/>
        <v>0</v>
      </c>
      <c r="AK93" s="241">
        <f t="shared" si="15"/>
        <v>0</v>
      </c>
      <c r="AL93" s="241">
        <f t="shared" si="15"/>
        <v>0</v>
      </c>
      <c r="AM93" s="241">
        <f t="shared" si="15"/>
        <v>0</v>
      </c>
    </row>
    <row r="94" spans="1:39" outlineLevel="1" x14ac:dyDescent="0.2">
      <c r="B94" s="30" t="s">
        <v>571</v>
      </c>
      <c r="D94" s="228"/>
      <c r="E94" s="289">
        <f t="shared" ref="E94:AM94" si="16">E86*E63</f>
        <v>0</v>
      </c>
      <c r="F94" s="241">
        <f t="shared" si="16"/>
        <v>0</v>
      </c>
      <c r="G94" s="241">
        <f t="shared" si="16"/>
        <v>0</v>
      </c>
      <c r="H94" s="241">
        <f t="shared" si="16"/>
        <v>0</v>
      </c>
      <c r="I94" s="241">
        <f t="shared" si="16"/>
        <v>0</v>
      </c>
      <c r="J94" s="241">
        <f t="shared" si="16"/>
        <v>0</v>
      </c>
      <c r="K94" s="241">
        <f t="shared" si="16"/>
        <v>0</v>
      </c>
      <c r="L94" s="241">
        <f t="shared" si="16"/>
        <v>0</v>
      </c>
      <c r="M94" s="241">
        <f t="shared" si="16"/>
        <v>0</v>
      </c>
      <c r="N94" s="241">
        <f t="shared" si="16"/>
        <v>0</v>
      </c>
      <c r="O94" s="241">
        <f t="shared" si="16"/>
        <v>0</v>
      </c>
      <c r="P94" s="241">
        <f t="shared" si="16"/>
        <v>0</v>
      </c>
      <c r="Q94" s="241">
        <f t="shared" si="16"/>
        <v>0</v>
      </c>
      <c r="R94" s="241">
        <f t="shared" si="16"/>
        <v>0</v>
      </c>
      <c r="S94" s="241">
        <f t="shared" si="16"/>
        <v>0</v>
      </c>
      <c r="T94" s="241">
        <f t="shared" si="16"/>
        <v>0</v>
      </c>
      <c r="U94" s="241">
        <f t="shared" si="16"/>
        <v>0</v>
      </c>
      <c r="V94" s="241">
        <f t="shared" si="16"/>
        <v>0</v>
      </c>
      <c r="W94" s="241">
        <f t="shared" si="16"/>
        <v>0</v>
      </c>
      <c r="X94" s="241">
        <f t="shared" si="16"/>
        <v>0</v>
      </c>
      <c r="Y94" s="241">
        <f t="shared" si="16"/>
        <v>0</v>
      </c>
      <c r="Z94" s="241">
        <f t="shared" si="16"/>
        <v>0</v>
      </c>
      <c r="AA94" s="241">
        <f t="shared" si="16"/>
        <v>0</v>
      </c>
      <c r="AB94" s="241">
        <f t="shared" si="16"/>
        <v>0</v>
      </c>
      <c r="AC94" s="241">
        <f t="shared" si="16"/>
        <v>0</v>
      </c>
      <c r="AD94" s="241">
        <f t="shared" si="16"/>
        <v>0</v>
      </c>
      <c r="AE94" s="241">
        <f t="shared" si="16"/>
        <v>0</v>
      </c>
      <c r="AF94" s="241">
        <f t="shared" si="16"/>
        <v>0</v>
      </c>
      <c r="AG94" s="241">
        <f t="shared" si="16"/>
        <v>0</v>
      </c>
      <c r="AH94" s="241">
        <f t="shared" si="16"/>
        <v>0</v>
      </c>
      <c r="AI94" s="241">
        <f t="shared" si="16"/>
        <v>0</v>
      </c>
      <c r="AJ94" s="241">
        <f t="shared" si="16"/>
        <v>0</v>
      </c>
      <c r="AK94" s="241">
        <f t="shared" si="16"/>
        <v>0</v>
      </c>
      <c r="AL94" s="241">
        <f t="shared" si="16"/>
        <v>0</v>
      </c>
      <c r="AM94" s="241">
        <f t="shared" si="16"/>
        <v>0</v>
      </c>
    </row>
    <row r="95" spans="1:39" outlineLevel="1" x14ac:dyDescent="0.2">
      <c r="B95" s="30" t="s">
        <v>570</v>
      </c>
      <c r="E95" s="241">
        <f t="shared" ref="E95:AM95" si="17">E87*E63</f>
        <v>0</v>
      </c>
      <c r="F95" s="241">
        <f t="shared" si="17"/>
        <v>0</v>
      </c>
      <c r="G95" s="241">
        <f t="shared" si="17"/>
        <v>0</v>
      </c>
      <c r="H95" s="241">
        <f t="shared" si="17"/>
        <v>0</v>
      </c>
      <c r="I95" s="241">
        <f t="shared" si="17"/>
        <v>0</v>
      </c>
      <c r="J95" s="241">
        <f t="shared" si="17"/>
        <v>0</v>
      </c>
      <c r="K95" s="241">
        <f t="shared" si="17"/>
        <v>0</v>
      </c>
      <c r="L95" s="241">
        <f t="shared" si="17"/>
        <v>0</v>
      </c>
      <c r="M95" s="241">
        <f t="shared" si="17"/>
        <v>0</v>
      </c>
      <c r="N95" s="241">
        <f t="shared" si="17"/>
        <v>0</v>
      </c>
      <c r="O95" s="241">
        <f t="shared" si="17"/>
        <v>0</v>
      </c>
      <c r="P95" s="241">
        <f t="shared" si="17"/>
        <v>0</v>
      </c>
      <c r="Q95" s="241">
        <f t="shared" si="17"/>
        <v>0</v>
      </c>
      <c r="R95" s="241">
        <f t="shared" si="17"/>
        <v>0</v>
      </c>
      <c r="S95" s="241">
        <f t="shared" si="17"/>
        <v>0</v>
      </c>
      <c r="T95" s="241">
        <f t="shared" si="17"/>
        <v>0</v>
      </c>
      <c r="U95" s="241">
        <f t="shared" si="17"/>
        <v>0</v>
      </c>
      <c r="V95" s="241">
        <f t="shared" si="17"/>
        <v>0</v>
      </c>
      <c r="W95" s="241">
        <f t="shared" si="17"/>
        <v>0</v>
      </c>
      <c r="X95" s="241">
        <f t="shared" si="17"/>
        <v>0</v>
      </c>
      <c r="Y95" s="241">
        <f t="shared" si="17"/>
        <v>0</v>
      </c>
      <c r="Z95" s="241">
        <f t="shared" si="17"/>
        <v>0</v>
      </c>
      <c r="AA95" s="241">
        <f t="shared" si="17"/>
        <v>0</v>
      </c>
      <c r="AB95" s="241">
        <f t="shared" si="17"/>
        <v>0</v>
      </c>
      <c r="AC95" s="241">
        <f t="shared" si="17"/>
        <v>0</v>
      </c>
      <c r="AD95" s="241">
        <f t="shared" si="17"/>
        <v>0</v>
      </c>
      <c r="AE95" s="241">
        <f t="shared" si="17"/>
        <v>0</v>
      </c>
      <c r="AF95" s="241">
        <f t="shared" si="17"/>
        <v>0</v>
      </c>
      <c r="AG95" s="241">
        <f t="shared" si="17"/>
        <v>0</v>
      </c>
      <c r="AH95" s="241">
        <f t="shared" si="17"/>
        <v>0</v>
      </c>
      <c r="AI95" s="241">
        <f t="shared" si="17"/>
        <v>0</v>
      </c>
      <c r="AJ95" s="241">
        <f t="shared" si="17"/>
        <v>0</v>
      </c>
      <c r="AK95" s="241">
        <f t="shared" si="17"/>
        <v>0</v>
      </c>
      <c r="AL95" s="241">
        <f t="shared" si="17"/>
        <v>0</v>
      </c>
      <c r="AM95" s="241">
        <f t="shared" si="17"/>
        <v>0</v>
      </c>
    </row>
    <row r="96" spans="1:39" outlineLevel="1" x14ac:dyDescent="0.2">
      <c r="D96" s="30" t="s">
        <v>569</v>
      </c>
      <c r="E96" s="285">
        <f>SUM(F96:Z96)</f>
        <v>0</v>
      </c>
      <c r="F96" s="287">
        <f t="shared" ref="F96:Z96" si="18">+F91/F$63</f>
        <v>0</v>
      </c>
      <c r="G96" s="287">
        <f t="shared" si="18"/>
        <v>0</v>
      </c>
      <c r="H96" s="287">
        <f t="shared" si="18"/>
        <v>0</v>
      </c>
      <c r="I96" s="287">
        <f t="shared" si="18"/>
        <v>0</v>
      </c>
      <c r="J96" s="287">
        <f t="shared" si="18"/>
        <v>0</v>
      </c>
      <c r="K96" s="287">
        <f t="shared" si="18"/>
        <v>0</v>
      </c>
      <c r="L96" s="287">
        <f t="shared" si="18"/>
        <v>0</v>
      </c>
      <c r="M96" s="287">
        <f t="shared" si="18"/>
        <v>0</v>
      </c>
      <c r="N96" s="287">
        <f t="shared" si="18"/>
        <v>0</v>
      </c>
      <c r="O96" s="287">
        <f t="shared" si="18"/>
        <v>0</v>
      </c>
      <c r="P96" s="287">
        <f t="shared" si="18"/>
        <v>0</v>
      </c>
      <c r="Q96" s="287">
        <f t="shared" si="18"/>
        <v>0</v>
      </c>
      <c r="R96" s="287">
        <f t="shared" si="18"/>
        <v>0</v>
      </c>
      <c r="S96" s="287">
        <f t="shared" si="18"/>
        <v>0</v>
      </c>
      <c r="T96" s="287">
        <f t="shared" si="18"/>
        <v>0</v>
      </c>
      <c r="U96" s="287">
        <f t="shared" si="18"/>
        <v>0</v>
      </c>
      <c r="V96" s="287">
        <f t="shared" si="18"/>
        <v>0</v>
      </c>
      <c r="W96" s="287">
        <f t="shared" si="18"/>
        <v>0</v>
      </c>
      <c r="X96" s="287">
        <f t="shared" si="18"/>
        <v>0</v>
      </c>
      <c r="Y96" s="287">
        <f t="shared" si="18"/>
        <v>0</v>
      </c>
      <c r="Z96" s="287">
        <f t="shared" si="18"/>
        <v>0</v>
      </c>
    </row>
    <row r="97" spans="1:39" outlineLevel="1" x14ac:dyDescent="0.2">
      <c r="C97" s="288"/>
      <c r="D97" s="30" t="s">
        <v>568</v>
      </c>
      <c r="E97" s="285">
        <f>SUM(F97:Z97)</f>
        <v>0</v>
      </c>
      <c r="F97" s="287">
        <f t="shared" ref="F97:Z97" si="19">+F92/F$63</f>
        <v>0</v>
      </c>
      <c r="G97" s="287">
        <f t="shared" si="19"/>
        <v>0</v>
      </c>
      <c r="H97" s="287">
        <f t="shared" si="19"/>
        <v>0</v>
      </c>
      <c r="I97" s="287">
        <f t="shared" si="19"/>
        <v>0</v>
      </c>
      <c r="J97" s="287">
        <f t="shared" si="19"/>
        <v>0</v>
      </c>
      <c r="K97" s="287">
        <f t="shared" si="19"/>
        <v>0</v>
      </c>
      <c r="L97" s="287">
        <f t="shared" si="19"/>
        <v>0</v>
      </c>
      <c r="M97" s="287">
        <f t="shared" si="19"/>
        <v>0</v>
      </c>
      <c r="N97" s="287">
        <f t="shared" si="19"/>
        <v>0</v>
      </c>
      <c r="O97" s="287">
        <f t="shared" si="19"/>
        <v>0</v>
      </c>
      <c r="P97" s="287">
        <f t="shared" si="19"/>
        <v>0</v>
      </c>
      <c r="Q97" s="287">
        <f t="shared" si="19"/>
        <v>0</v>
      </c>
      <c r="R97" s="287">
        <f t="shared" si="19"/>
        <v>0</v>
      </c>
      <c r="S97" s="287">
        <f t="shared" si="19"/>
        <v>0</v>
      </c>
      <c r="T97" s="287">
        <f t="shared" si="19"/>
        <v>0</v>
      </c>
      <c r="U97" s="287">
        <f t="shared" si="19"/>
        <v>0</v>
      </c>
      <c r="V97" s="287">
        <f t="shared" si="19"/>
        <v>0</v>
      </c>
      <c r="W97" s="287">
        <f t="shared" si="19"/>
        <v>0</v>
      </c>
      <c r="X97" s="287">
        <f t="shared" si="19"/>
        <v>0</v>
      </c>
      <c r="Y97" s="287">
        <f t="shared" si="19"/>
        <v>0</v>
      </c>
      <c r="Z97" s="287">
        <f t="shared" si="19"/>
        <v>0</v>
      </c>
    </row>
    <row r="98" spans="1:39" ht="18" outlineLevel="1" thickBot="1" x14ac:dyDescent="0.35">
      <c r="B98" s="286" t="s">
        <v>567</v>
      </c>
      <c r="D98" s="30" t="s">
        <v>566</v>
      </c>
      <c r="E98" s="285">
        <f>SUM(F98:Z98)</f>
        <v>0</v>
      </c>
      <c r="F98" s="284">
        <f t="shared" ref="F98:Z98" si="20">+F93/F$63</f>
        <v>0</v>
      </c>
      <c r="G98" s="284">
        <f t="shared" si="20"/>
        <v>0</v>
      </c>
      <c r="H98" s="284">
        <f t="shared" si="20"/>
        <v>0</v>
      </c>
      <c r="I98" s="284">
        <f t="shared" si="20"/>
        <v>0</v>
      </c>
      <c r="J98" s="284">
        <f t="shared" si="20"/>
        <v>0</v>
      </c>
      <c r="K98" s="284">
        <f t="shared" si="20"/>
        <v>0</v>
      </c>
      <c r="L98" s="284">
        <f t="shared" si="20"/>
        <v>0</v>
      </c>
      <c r="M98" s="284">
        <f t="shared" si="20"/>
        <v>0</v>
      </c>
      <c r="N98" s="284">
        <f t="shared" si="20"/>
        <v>0</v>
      </c>
      <c r="O98" s="284">
        <f t="shared" si="20"/>
        <v>0</v>
      </c>
      <c r="P98" s="284">
        <f t="shared" si="20"/>
        <v>0</v>
      </c>
      <c r="Q98" s="284">
        <f t="shared" si="20"/>
        <v>0</v>
      </c>
      <c r="R98" s="284">
        <f t="shared" si="20"/>
        <v>0</v>
      </c>
      <c r="S98" s="284">
        <f t="shared" si="20"/>
        <v>0</v>
      </c>
      <c r="T98" s="284">
        <f t="shared" si="20"/>
        <v>0</v>
      </c>
      <c r="U98" s="284">
        <f t="shared" si="20"/>
        <v>0</v>
      </c>
      <c r="V98" s="284">
        <f t="shared" si="20"/>
        <v>0</v>
      </c>
      <c r="W98" s="284">
        <f t="shared" si="20"/>
        <v>0</v>
      </c>
      <c r="X98" s="284">
        <f t="shared" si="20"/>
        <v>0</v>
      </c>
      <c r="Y98" s="284">
        <f t="shared" si="20"/>
        <v>0</v>
      </c>
      <c r="Z98" s="284">
        <f t="shared" si="20"/>
        <v>0</v>
      </c>
    </row>
    <row r="99" spans="1:39" ht="13.5" outlineLevel="1" thickTop="1" x14ac:dyDescent="0.2">
      <c r="B99" s="80" t="s">
        <v>565</v>
      </c>
      <c r="C99" s="80"/>
      <c r="D99" s="80"/>
      <c r="E99" s="239">
        <f t="shared" ref="E99:AM99" si="21">E103</f>
        <v>0</v>
      </c>
      <c r="F99" s="239">
        <f t="shared" si="21"/>
        <v>0</v>
      </c>
      <c r="G99" s="239">
        <f t="shared" si="21"/>
        <v>0</v>
      </c>
      <c r="H99" s="239">
        <f t="shared" si="21"/>
        <v>0</v>
      </c>
      <c r="I99" s="239">
        <f t="shared" si="21"/>
        <v>0</v>
      </c>
      <c r="J99" s="239">
        <f t="shared" si="21"/>
        <v>0</v>
      </c>
      <c r="K99" s="239">
        <f t="shared" si="21"/>
        <v>0</v>
      </c>
      <c r="L99" s="239">
        <f t="shared" si="21"/>
        <v>0</v>
      </c>
      <c r="M99" s="239">
        <f t="shared" si="21"/>
        <v>0</v>
      </c>
      <c r="N99" s="239">
        <f t="shared" si="21"/>
        <v>0</v>
      </c>
      <c r="O99" s="239">
        <f t="shared" si="21"/>
        <v>0</v>
      </c>
      <c r="P99" s="239">
        <f t="shared" si="21"/>
        <v>0</v>
      </c>
      <c r="Q99" s="239">
        <f t="shared" si="21"/>
        <v>0</v>
      </c>
      <c r="R99" s="239">
        <f t="shared" si="21"/>
        <v>0</v>
      </c>
      <c r="S99" s="239">
        <f t="shared" si="21"/>
        <v>0</v>
      </c>
      <c r="T99" s="239">
        <f t="shared" si="21"/>
        <v>0</v>
      </c>
      <c r="U99" s="239">
        <f t="shared" si="21"/>
        <v>0</v>
      </c>
      <c r="V99" s="239">
        <f t="shared" si="21"/>
        <v>0</v>
      </c>
      <c r="W99" s="239">
        <f t="shared" si="21"/>
        <v>0</v>
      </c>
      <c r="X99" s="239">
        <f t="shared" si="21"/>
        <v>0</v>
      </c>
      <c r="Y99" s="239">
        <f t="shared" si="21"/>
        <v>0</v>
      </c>
      <c r="Z99" s="239">
        <f t="shared" si="21"/>
        <v>0</v>
      </c>
      <c r="AA99" s="239">
        <f t="shared" si="21"/>
        <v>0</v>
      </c>
      <c r="AB99" s="239">
        <f t="shared" si="21"/>
        <v>0</v>
      </c>
      <c r="AC99" s="239">
        <f t="shared" si="21"/>
        <v>0</v>
      </c>
      <c r="AD99" s="239">
        <f t="shared" si="21"/>
        <v>0</v>
      </c>
      <c r="AE99" s="239">
        <f t="shared" si="21"/>
        <v>0</v>
      </c>
      <c r="AF99" s="239">
        <f t="shared" si="21"/>
        <v>0</v>
      </c>
      <c r="AG99" s="239">
        <f t="shared" si="21"/>
        <v>0</v>
      </c>
      <c r="AH99" s="239">
        <f t="shared" si="21"/>
        <v>0</v>
      </c>
      <c r="AI99" s="239">
        <f t="shared" si="21"/>
        <v>0</v>
      </c>
      <c r="AJ99" s="239">
        <f t="shared" si="21"/>
        <v>0</v>
      </c>
      <c r="AK99" s="239">
        <f t="shared" si="21"/>
        <v>0</v>
      </c>
      <c r="AL99" s="239">
        <f t="shared" si="21"/>
        <v>0</v>
      </c>
      <c r="AM99" s="239">
        <f t="shared" si="21"/>
        <v>0</v>
      </c>
    </row>
    <row r="100" spans="1:39" outlineLevel="3" x14ac:dyDescent="0.2">
      <c r="A100" s="283"/>
      <c r="C100" s="282"/>
      <c r="D100" s="281"/>
      <c r="E100" s="280"/>
      <c r="F100" s="280"/>
      <c r="G100" s="280"/>
      <c r="H100" s="280"/>
      <c r="I100" s="280"/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280"/>
      <c r="X100" s="280"/>
      <c r="Y100" s="280"/>
      <c r="Z100" s="280"/>
      <c r="AA100" s="280"/>
      <c r="AB100" s="280"/>
      <c r="AC100" s="280"/>
      <c r="AD100" s="280"/>
      <c r="AE100" s="280"/>
      <c r="AF100" s="280"/>
      <c r="AG100" s="280"/>
      <c r="AH100" s="280"/>
      <c r="AI100" s="280"/>
      <c r="AJ100" s="280"/>
      <c r="AK100" s="280"/>
      <c r="AL100" s="280"/>
      <c r="AM100" s="280"/>
    </row>
    <row r="101" spans="1:39" outlineLevel="3" x14ac:dyDescent="0.2">
      <c r="A101" s="277"/>
      <c r="B101" s="279"/>
      <c r="C101" s="279"/>
      <c r="D101" s="275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</row>
    <row r="102" spans="1:39" outlineLevel="3" x14ac:dyDescent="0.2">
      <c r="A102" s="277"/>
      <c r="B102" s="276"/>
      <c r="C102" s="155">
        <v>1</v>
      </c>
      <c r="D102" s="275"/>
      <c r="E102" s="274"/>
      <c r="F102" s="273">
        <f>IF(A3taxstdlife="N/A","n/a",IF(F$36&gt;(A3taxstdlife+$C102),(($C$51)*$E$63)-SUM($E102:E102),(($C$51)*$E$63)/A3taxstdlife))</f>
        <v>0</v>
      </c>
      <c r="G102" s="273">
        <f>IF(A3taxstdlife="N/A","n/a",IF(G$36&gt;(A3taxstdlife+$C102),(($C$51)*$E$63)-SUM($E102:F102),(($C$51)*$E$63)/A3taxstdlife))</f>
        <v>0</v>
      </c>
      <c r="H102" s="273">
        <f>IF(A3taxstdlife="N/A","n/a",IF(H$36&gt;(A3taxstdlife+$C102),(($C$51)*$E$63)-SUM($E102:G102),(($C$51)*$E$63)/A3taxstdlife))</f>
        <v>0</v>
      </c>
      <c r="I102" s="273">
        <f>IF(A3taxstdlife="N/A","n/a",IF(I$36&gt;(A3taxstdlife+$C102),(($C$51)*$E$63)-SUM($E102:H102),(($C$51)*$E$63)/A3taxstdlife))</f>
        <v>0</v>
      </c>
      <c r="J102" s="273">
        <f>IF(A3taxstdlife="N/A","n/a",IF(J$36&gt;(A3taxstdlife+$C102),(($C$51)*$E$63)-SUM($E102:I102),(($C$51)*$E$63)/A3taxstdlife))</f>
        <v>0</v>
      </c>
      <c r="K102" s="273">
        <f>IF(A3taxstdlife="N/A","n/a",IF(K$36&gt;(A3taxstdlife+$C102),(($C$51)*$E$63)-SUM($E102:J102),(($C$51)*$E$63)/A3taxstdlife))</f>
        <v>0</v>
      </c>
      <c r="L102" s="273">
        <f>IF(A3taxstdlife="N/A","n/a",IF(L$36&gt;(A3taxstdlife+$C102),(($C$51)*$E$63)-SUM($E102:K102),(($C$51)*$E$63)/A3taxstdlife))</f>
        <v>0</v>
      </c>
      <c r="M102" s="273">
        <f>IF(A3taxstdlife="N/A","n/a",IF(M$36&gt;(A3taxstdlife+$C102),(($C$51)*$E$63)-SUM($E102:L102),(($C$51)*$E$63)/A3taxstdlife))</f>
        <v>0</v>
      </c>
      <c r="N102" s="273">
        <f>IF(A3taxstdlife="N/A","n/a",IF(N$36&gt;(A3taxstdlife+$C102),(($C$51)*$E$63)-SUM($E102:M102),(($C$51)*$E$63)/A3taxstdlife))</f>
        <v>0</v>
      </c>
      <c r="O102" s="273">
        <f>IF(A3taxstdlife="N/A","n/a",IF(O$36&gt;(A3taxstdlife+$C102),(($C$51)*$E$63)-SUM($E102:N102),(($C$51)*$E$63)/A3taxstdlife))</f>
        <v>0</v>
      </c>
      <c r="P102" s="273">
        <f>IF(A3taxstdlife="N/A","n/a",IF(P$36&gt;(A3taxstdlife+$C102),(($C$51)*$E$63)-SUM($E102:O102),(($C$51)*$E$63)/A3taxstdlife))</f>
        <v>0</v>
      </c>
      <c r="Q102" s="273">
        <f>IF(A3taxstdlife="N/A","n/a",IF(Q$36&gt;(A3taxstdlife+$C102),(($C$51)*$E$63)-SUM($E102:P102),(($C$51)*$E$63)/A3taxstdlife))</f>
        <v>0</v>
      </c>
      <c r="R102" s="273">
        <f>IF(A3taxstdlife="N/A","n/a",IF(R$36&gt;(A3taxstdlife+$C102),(($C$51)*$E$63)-SUM($E102:Q102),(($C$51)*$E$63)/A3taxstdlife))</f>
        <v>0</v>
      </c>
      <c r="S102" s="273">
        <f>IF(A3taxstdlife="N/A","n/a",IF(S$36&gt;(A3taxstdlife+$C102),(($C$51)*$E$63)-SUM($E102:R102),(($C$51)*$E$63)/A3taxstdlife))</f>
        <v>0</v>
      </c>
      <c r="T102" s="273">
        <f>IF(A3taxstdlife="N/A","n/a",IF(T$36&gt;(A3taxstdlife+$C102),(($C$51)*$E$63)-SUM($E102:S102),(($C$51)*$E$63)/A3taxstdlife))</f>
        <v>0</v>
      </c>
      <c r="U102" s="273">
        <f>IF(A3taxstdlife="N/A","n/a",IF(U$36&gt;(A3taxstdlife+$C102),(($C$51)*$E$63)-SUM($E102:T102),(($C$51)*$E$63)/A3taxstdlife))</f>
        <v>0</v>
      </c>
      <c r="V102" s="273">
        <f>IF(A3taxstdlife="N/A","n/a",IF(V$36&gt;(A3taxstdlife+$C102),(($C$51)*$E$63)-SUM($E102:U102),(($C$51)*$E$63)/A3taxstdlife))</f>
        <v>0</v>
      </c>
      <c r="W102" s="273">
        <f>IF(A3taxstdlife="N/A","n/a",IF(W$36&gt;(A3taxstdlife+$C102),(($C$51)*$E$63)-SUM($E102:V102),(($C$51)*$E$63)/A3taxstdlife))</f>
        <v>0</v>
      </c>
      <c r="X102" s="273">
        <f>IF(A3taxstdlife="N/A","n/a",IF(X$36&gt;(A3taxstdlife+$C102),(($C$51)*$E$63)-SUM($E102:W102),(($C$51)*$E$63)/A3taxstdlife))</f>
        <v>0</v>
      </c>
      <c r="Y102" s="273">
        <f>IF(A3taxstdlife="N/A","n/a",IF(Y$36&gt;(A3taxstdlife+$C102),(($C$51)*$E$63)-SUM($E102:X102),(($C$51)*$E$63)/A3taxstdlife))</f>
        <v>0</v>
      </c>
      <c r="Z102" s="273">
        <f>IF(A3taxstdlife="N/A","n/a",IF(Z$36&gt;(A3taxstdlife+$C102),(($C$51)*$E$63)-SUM($E102:Y102),(($C$51)*$E$63)/A3taxstdlife))</f>
        <v>0</v>
      </c>
      <c r="AA102" s="273">
        <f>IF(A3taxstdlife="N/A","n/a",IF(AA$36&gt;(A3taxstdlife+$C102),(($C$51)*$E$63)-SUM($E102:Z102),(($C$51)*$E$63)/A3taxstdlife))</f>
        <v>0</v>
      </c>
      <c r="AB102" s="273">
        <f>IF(A3taxstdlife="N/A","n/a",IF(AB$36&gt;(A3taxstdlife+$C102),(($C$51)*$E$63)-SUM($E102:AA102),(($C$51)*$E$63)/A3taxstdlife))</f>
        <v>0</v>
      </c>
      <c r="AC102" s="273">
        <f>IF(A3taxstdlife="N/A","n/a",IF(AC$36&gt;(A3taxstdlife+$C102),(($C$51)*$E$63)-SUM($E102:AB102),(($C$51)*$E$63)/A3taxstdlife))</f>
        <v>0</v>
      </c>
      <c r="AD102" s="273">
        <f>IF(A3taxstdlife="N/A","n/a",IF(AD$36&gt;(A3taxstdlife+$C102),(($C$51)*$E$63)-SUM($E102:AC102),(($C$51)*$E$63)/A3taxstdlife))</f>
        <v>0</v>
      </c>
      <c r="AE102" s="273">
        <f>IF(A3taxstdlife="N/A","n/a",IF(AE$36&gt;(A3taxstdlife+$C102),(($C$51)*$E$63)-SUM($E102:AD102),(($C$51)*$E$63)/A3taxstdlife))</f>
        <v>0</v>
      </c>
      <c r="AF102" s="273">
        <f>IF(A3taxstdlife="N/A","n/a",IF(AF$36&gt;(A3taxstdlife+$C102),(($C$51)*$E$63)-SUM($E102:AE102),(($C$51)*$E$63)/A3taxstdlife))</f>
        <v>0</v>
      </c>
      <c r="AG102" s="273">
        <f>IF(A3taxstdlife="N/A","n/a",IF(AG$36&gt;(A3taxstdlife+$C102),(($C$51)*$E$63)-SUM($E102:AF102),(($C$51)*$E$63)/A3taxstdlife))</f>
        <v>0</v>
      </c>
      <c r="AH102" s="273">
        <f>IF(A3taxstdlife="N/A","n/a",IF(AH$36&gt;(A3taxstdlife+$C102),(($C$51)*$E$63)-SUM($E102:AG102),(($C$51)*$E$63)/A3taxstdlife))</f>
        <v>0</v>
      </c>
      <c r="AI102" s="273">
        <f>IF(A3taxstdlife="N/A","n/a",IF(AI$36&gt;(A3taxstdlife+$C102),(($C$51)*$E$63)-SUM($E102:AH102),(($C$51)*$E$63)/A3taxstdlife))</f>
        <v>0</v>
      </c>
      <c r="AJ102" s="273">
        <f>IF(A3taxstdlife="N/A","n/a",IF(AJ$36&gt;(A3taxstdlife+$C102),(($C$51)*$E$63)-SUM($E102:AI102),(($C$51)*$E$63)/A3taxstdlife))</f>
        <v>0</v>
      </c>
      <c r="AK102" s="273">
        <f>IF(A3taxstdlife="N/A","n/a",IF(AK$36&gt;(A3taxstdlife+$C102),(($C$51)*$E$63)-SUM($E102:AJ102),(($C$51)*$E$63)/A3taxstdlife))</f>
        <v>0</v>
      </c>
      <c r="AL102" s="273">
        <f>IF(A3taxstdlife="N/A","n/a",IF(AL$36&gt;(A3taxstdlife+$C102),(($C$51)*$E$63)-SUM($E102:AK102),(($C$51)*$E$63)/A3taxstdlife))</f>
        <v>0</v>
      </c>
      <c r="AM102" s="273">
        <f>IF(A3taxstdlife="N/A","n/a",IF(AM$36&gt;(A3taxstdlife+$C102),(($C$51)*$E$63)-SUM($E102:AL102),(($C$51)*$E$63)/A3taxstdlife))</f>
        <v>0</v>
      </c>
    </row>
    <row r="103" spans="1:39" outlineLevel="2" x14ac:dyDescent="0.2">
      <c r="A103" s="271"/>
      <c r="B103" s="272" t="s">
        <v>564</v>
      </c>
      <c r="C103" s="271"/>
      <c r="D103" s="271"/>
      <c r="E103" s="270">
        <f t="shared" ref="E103:AM103" si="22">SUM(E100:E102)</f>
        <v>0</v>
      </c>
      <c r="F103" s="270">
        <f t="shared" si="22"/>
        <v>0</v>
      </c>
      <c r="G103" s="270">
        <f t="shared" si="22"/>
        <v>0</v>
      </c>
      <c r="H103" s="270">
        <f t="shared" si="22"/>
        <v>0</v>
      </c>
      <c r="I103" s="270">
        <f t="shared" si="22"/>
        <v>0</v>
      </c>
      <c r="J103" s="270">
        <f t="shared" si="22"/>
        <v>0</v>
      </c>
      <c r="K103" s="270">
        <f t="shared" si="22"/>
        <v>0</v>
      </c>
      <c r="L103" s="270">
        <f t="shared" si="22"/>
        <v>0</v>
      </c>
      <c r="M103" s="270">
        <f t="shared" si="22"/>
        <v>0</v>
      </c>
      <c r="N103" s="270">
        <f t="shared" si="22"/>
        <v>0</v>
      </c>
      <c r="O103" s="270">
        <f t="shared" si="22"/>
        <v>0</v>
      </c>
      <c r="P103" s="270">
        <f t="shared" si="22"/>
        <v>0</v>
      </c>
      <c r="Q103" s="270">
        <f t="shared" si="22"/>
        <v>0</v>
      </c>
      <c r="R103" s="270">
        <f t="shared" si="22"/>
        <v>0</v>
      </c>
      <c r="S103" s="270">
        <f t="shared" si="22"/>
        <v>0</v>
      </c>
      <c r="T103" s="270">
        <f t="shared" si="22"/>
        <v>0</v>
      </c>
      <c r="U103" s="270">
        <f t="shared" si="22"/>
        <v>0</v>
      </c>
      <c r="V103" s="270">
        <f t="shared" si="22"/>
        <v>0</v>
      </c>
      <c r="W103" s="270">
        <f t="shared" si="22"/>
        <v>0</v>
      </c>
      <c r="X103" s="270">
        <f t="shared" si="22"/>
        <v>0</v>
      </c>
      <c r="Y103" s="270">
        <f t="shared" si="22"/>
        <v>0</v>
      </c>
      <c r="Z103" s="270">
        <f t="shared" si="22"/>
        <v>0</v>
      </c>
      <c r="AA103" s="270">
        <f t="shared" si="22"/>
        <v>0</v>
      </c>
      <c r="AB103" s="270">
        <f t="shared" si="22"/>
        <v>0</v>
      </c>
      <c r="AC103" s="270">
        <f t="shared" si="22"/>
        <v>0</v>
      </c>
      <c r="AD103" s="270">
        <f t="shared" si="22"/>
        <v>0</v>
      </c>
      <c r="AE103" s="270">
        <f t="shared" si="22"/>
        <v>0</v>
      </c>
      <c r="AF103" s="270">
        <f t="shared" si="22"/>
        <v>0</v>
      </c>
      <c r="AG103" s="270">
        <f t="shared" si="22"/>
        <v>0</v>
      </c>
      <c r="AH103" s="270">
        <f t="shared" si="22"/>
        <v>0</v>
      </c>
      <c r="AI103" s="270">
        <f t="shared" si="22"/>
        <v>0</v>
      </c>
      <c r="AJ103" s="270">
        <f t="shared" si="22"/>
        <v>0</v>
      </c>
      <c r="AK103" s="270">
        <f t="shared" si="22"/>
        <v>0</v>
      </c>
      <c r="AL103" s="270">
        <f t="shared" si="22"/>
        <v>0</v>
      </c>
      <c r="AM103" s="270">
        <f t="shared" si="22"/>
        <v>0</v>
      </c>
    </row>
    <row r="104" spans="1:39" outlineLevel="1" x14ac:dyDescent="0.2">
      <c r="B104" s="30" t="s">
        <v>563</v>
      </c>
      <c r="D104" s="228"/>
      <c r="E104" s="228">
        <f>D104-E99+(C51)*E63</f>
        <v>0</v>
      </c>
      <c r="F104" s="228">
        <f t="shared" ref="F104:AM104" si="23">E104-F99+(F51)*F63</f>
        <v>0</v>
      </c>
      <c r="G104" s="228">
        <f t="shared" si="23"/>
        <v>0</v>
      </c>
      <c r="H104" s="228">
        <f t="shared" si="23"/>
        <v>0</v>
      </c>
      <c r="I104" s="228">
        <f t="shared" si="23"/>
        <v>0</v>
      </c>
      <c r="J104" s="228">
        <f t="shared" si="23"/>
        <v>0</v>
      </c>
      <c r="K104" s="228">
        <f t="shared" si="23"/>
        <v>0</v>
      </c>
      <c r="L104" s="228">
        <f t="shared" si="23"/>
        <v>0</v>
      </c>
      <c r="M104" s="228">
        <f t="shared" si="23"/>
        <v>0</v>
      </c>
      <c r="N104" s="228">
        <f t="shared" si="23"/>
        <v>0</v>
      </c>
      <c r="O104" s="228">
        <f t="shared" si="23"/>
        <v>0</v>
      </c>
      <c r="P104" s="228">
        <f t="shared" si="23"/>
        <v>0</v>
      </c>
      <c r="Q104" s="228">
        <f t="shared" si="23"/>
        <v>0</v>
      </c>
      <c r="R104" s="228">
        <f t="shared" si="23"/>
        <v>0</v>
      </c>
      <c r="S104" s="228">
        <f t="shared" si="23"/>
        <v>0</v>
      </c>
      <c r="T104" s="228">
        <f t="shared" si="23"/>
        <v>0</v>
      </c>
      <c r="U104" s="228">
        <f t="shared" si="23"/>
        <v>0</v>
      </c>
      <c r="V104" s="228">
        <f t="shared" si="23"/>
        <v>0</v>
      </c>
      <c r="W104" s="228">
        <f t="shared" si="23"/>
        <v>0</v>
      </c>
      <c r="X104" s="228">
        <f t="shared" si="23"/>
        <v>0</v>
      </c>
      <c r="Y104" s="228">
        <f t="shared" si="23"/>
        <v>0</v>
      </c>
      <c r="Z104" s="228">
        <f t="shared" si="23"/>
        <v>0</v>
      </c>
      <c r="AA104" s="228">
        <f t="shared" si="23"/>
        <v>0</v>
      </c>
      <c r="AB104" s="228">
        <f t="shared" si="23"/>
        <v>0</v>
      </c>
      <c r="AC104" s="228">
        <f t="shared" si="23"/>
        <v>0</v>
      </c>
      <c r="AD104" s="228">
        <f t="shared" si="23"/>
        <v>0</v>
      </c>
      <c r="AE104" s="228">
        <f t="shared" si="23"/>
        <v>0</v>
      </c>
      <c r="AF104" s="228">
        <f t="shared" si="23"/>
        <v>0</v>
      </c>
      <c r="AG104" s="228">
        <f t="shared" si="23"/>
        <v>0</v>
      </c>
      <c r="AH104" s="228">
        <f t="shared" si="23"/>
        <v>0</v>
      </c>
      <c r="AI104" s="228">
        <f t="shared" si="23"/>
        <v>0</v>
      </c>
      <c r="AJ104" s="228">
        <f t="shared" si="23"/>
        <v>0</v>
      </c>
      <c r="AK104" s="228">
        <f t="shared" si="23"/>
        <v>0</v>
      </c>
      <c r="AL104" s="228">
        <f t="shared" si="23"/>
        <v>0</v>
      </c>
      <c r="AM104" s="228">
        <f t="shared" si="23"/>
        <v>0</v>
      </c>
    </row>
    <row r="105" spans="1:39" outlineLevel="1" x14ac:dyDescent="0.2"/>
    <row r="106" spans="1:39" outlineLevel="1" x14ac:dyDescent="0.2">
      <c r="B106" s="269"/>
      <c r="C106" s="269"/>
      <c r="D106" s="269"/>
      <c r="E106" s="269"/>
      <c r="F106" s="269"/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</row>
    <row r="107" spans="1:39" ht="18" outlineLevel="1" thickBot="1" x14ac:dyDescent="0.35">
      <c r="B107" s="247" t="s">
        <v>562</v>
      </c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</row>
    <row r="108" spans="1:39" ht="17.25" outlineLevel="1" thickTop="1" thickBot="1" x14ac:dyDescent="0.3">
      <c r="B108" s="238" t="s">
        <v>561</v>
      </c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</row>
    <row r="109" spans="1:39" s="80" customFormat="1" ht="13.5" outlineLevel="1" thickTop="1" x14ac:dyDescent="0.2">
      <c r="B109" s="235" t="s">
        <v>530</v>
      </c>
      <c r="C109" s="235"/>
      <c r="D109" s="234">
        <v>0</v>
      </c>
      <c r="E109" s="234">
        <v>1</v>
      </c>
      <c r="F109" s="234">
        <v>2</v>
      </c>
      <c r="G109" s="234">
        <v>3</v>
      </c>
      <c r="H109" s="234">
        <v>4</v>
      </c>
      <c r="I109" s="234">
        <v>5</v>
      </c>
      <c r="J109" s="234">
        <v>6</v>
      </c>
      <c r="K109" s="234">
        <v>7</v>
      </c>
      <c r="L109" s="234">
        <v>8</v>
      </c>
      <c r="M109" s="234">
        <v>9</v>
      </c>
      <c r="N109" s="234">
        <v>10</v>
      </c>
      <c r="O109" s="234">
        <v>11</v>
      </c>
      <c r="P109" s="234">
        <v>12</v>
      </c>
      <c r="Q109" s="234">
        <v>13</v>
      </c>
      <c r="R109" s="234">
        <v>14</v>
      </c>
      <c r="S109" s="234">
        <v>15</v>
      </c>
      <c r="T109" s="234">
        <v>16</v>
      </c>
      <c r="U109" s="234">
        <v>17</v>
      </c>
      <c r="V109" s="234">
        <v>18</v>
      </c>
      <c r="W109" s="234">
        <v>19</v>
      </c>
      <c r="X109" s="234">
        <v>20</v>
      </c>
      <c r="Y109" s="234">
        <v>21</v>
      </c>
      <c r="Z109" s="234">
        <v>22</v>
      </c>
      <c r="AA109" s="234">
        <v>23</v>
      </c>
      <c r="AB109" s="234">
        <v>24</v>
      </c>
      <c r="AC109" s="234">
        <v>25</v>
      </c>
      <c r="AD109" s="234">
        <v>26</v>
      </c>
      <c r="AE109" s="234">
        <v>27</v>
      </c>
      <c r="AF109" s="234">
        <v>28</v>
      </c>
      <c r="AG109" s="234">
        <v>29</v>
      </c>
      <c r="AH109" s="234">
        <v>30</v>
      </c>
      <c r="AI109" s="234">
        <v>31</v>
      </c>
      <c r="AJ109" s="234">
        <v>32</v>
      </c>
      <c r="AK109" s="234">
        <v>33</v>
      </c>
      <c r="AL109" s="234">
        <v>34</v>
      </c>
      <c r="AM109" s="234">
        <v>35</v>
      </c>
    </row>
    <row r="110" spans="1:39" outlineLevel="1" x14ac:dyDescent="0.2"/>
    <row r="111" spans="1:39" outlineLevel="1" x14ac:dyDescent="0.2"/>
    <row r="112" spans="1:39" outlineLevel="1" x14ac:dyDescent="0.2">
      <c r="B112" s="30" t="s">
        <v>560</v>
      </c>
      <c r="C112" s="30" t="s">
        <v>559</v>
      </c>
      <c r="D112" s="228"/>
      <c r="E112" s="228">
        <f t="shared" ref="E112:AM112" si="24">D94</f>
        <v>0</v>
      </c>
      <c r="F112" s="268">
        <f>E94</f>
        <v>0</v>
      </c>
      <c r="G112" s="228">
        <f t="shared" si="24"/>
        <v>0</v>
      </c>
      <c r="H112" s="228">
        <f t="shared" si="24"/>
        <v>0</v>
      </c>
      <c r="I112" s="228">
        <f t="shared" si="24"/>
        <v>0</v>
      </c>
      <c r="J112" s="228">
        <f t="shared" si="24"/>
        <v>0</v>
      </c>
      <c r="K112" s="228">
        <f t="shared" si="24"/>
        <v>0</v>
      </c>
      <c r="L112" s="228">
        <f t="shared" si="24"/>
        <v>0</v>
      </c>
      <c r="M112" s="228">
        <f t="shared" si="24"/>
        <v>0</v>
      </c>
      <c r="N112" s="228">
        <f t="shared" si="24"/>
        <v>0</v>
      </c>
      <c r="O112" s="228">
        <f t="shared" si="24"/>
        <v>0</v>
      </c>
      <c r="P112" s="228">
        <f t="shared" si="24"/>
        <v>0</v>
      </c>
      <c r="Q112" s="228">
        <f t="shared" si="24"/>
        <v>0</v>
      </c>
      <c r="R112" s="228">
        <f t="shared" si="24"/>
        <v>0</v>
      </c>
      <c r="S112" s="228">
        <f t="shared" si="24"/>
        <v>0</v>
      </c>
      <c r="T112" s="228">
        <f t="shared" si="24"/>
        <v>0</v>
      </c>
      <c r="U112" s="228">
        <f t="shared" si="24"/>
        <v>0</v>
      </c>
      <c r="V112" s="228">
        <f t="shared" si="24"/>
        <v>0</v>
      </c>
      <c r="W112" s="228">
        <f t="shared" si="24"/>
        <v>0</v>
      </c>
      <c r="X112" s="228">
        <f t="shared" si="24"/>
        <v>0</v>
      </c>
      <c r="Y112" s="228">
        <f t="shared" si="24"/>
        <v>0</v>
      </c>
      <c r="Z112" s="228">
        <f t="shared" si="24"/>
        <v>0</v>
      </c>
      <c r="AA112" s="228">
        <f t="shared" si="24"/>
        <v>0</v>
      </c>
      <c r="AB112" s="228">
        <f t="shared" si="24"/>
        <v>0</v>
      </c>
      <c r="AC112" s="228">
        <f t="shared" si="24"/>
        <v>0</v>
      </c>
      <c r="AD112" s="228">
        <f t="shared" si="24"/>
        <v>0</v>
      </c>
      <c r="AE112" s="228">
        <f t="shared" si="24"/>
        <v>0</v>
      </c>
      <c r="AF112" s="228">
        <f t="shared" si="24"/>
        <v>0</v>
      </c>
      <c r="AG112" s="228">
        <f t="shared" si="24"/>
        <v>0</v>
      </c>
      <c r="AH112" s="228">
        <f t="shared" si="24"/>
        <v>0</v>
      </c>
      <c r="AI112" s="228">
        <f t="shared" si="24"/>
        <v>0</v>
      </c>
      <c r="AJ112" s="228">
        <f t="shared" si="24"/>
        <v>0</v>
      </c>
      <c r="AK112" s="228">
        <f t="shared" si="24"/>
        <v>0</v>
      </c>
      <c r="AL112" s="228">
        <f t="shared" si="24"/>
        <v>0</v>
      </c>
      <c r="AM112" s="228">
        <f t="shared" si="24"/>
        <v>0</v>
      </c>
    </row>
    <row r="113" spans="2:39" ht="15" outlineLevel="1" x14ac:dyDescent="0.3">
      <c r="B113" s="30" t="s">
        <v>558</v>
      </c>
      <c r="C113" s="253">
        <f>1-C114</f>
        <v>0.4</v>
      </c>
      <c r="D113" s="261"/>
      <c r="E113" s="260">
        <f t="shared" ref="E113:AM113" si="25">E112*$C$113</f>
        <v>0</v>
      </c>
      <c r="F113" s="260">
        <f t="shared" si="25"/>
        <v>0</v>
      </c>
      <c r="G113" s="260">
        <f t="shared" si="25"/>
        <v>0</v>
      </c>
      <c r="H113" s="260">
        <f t="shared" si="25"/>
        <v>0</v>
      </c>
      <c r="I113" s="260">
        <f t="shared" si="25"/>
        <v>0</v>
      </c>
      <c r="J113" s="260">
        <f t="shared" si="25"/>
        <v>0</v>
      </c>
      <c r="K113" s="260">
        <f t="shared" si="25"/>
        <v>0</v>
      </c>
      <c r="L113" s="260">
        <f t="shared" si="25"/>
        <v>0</v>
      </c>
      <c r="M113" s="260">
        <f t="shared" si="25"/>
        <v>0</v>
      </c>
      <c r="N113" s="260">
        <f t="shared" si="25"/>
        <v>0</v>
      </c>
      <c r="O113" s="260">
        <f t="shared" si="25"/>
        <v>0</v>
      </c>
      <c r="P113" s="260">
        <f t="shared" si="25"/>
        <v>0</v>
      </c>
      <c r="Q113" s="260">
        <f t="shared" si="25"/>
        <v>0</v>
      </c>
      <c r="R113" s="260">
        <f t="shared" si="25"/>
        <v>0</v>
      </c>
      <c r="S113" s="260">
        <f t="shared" si="25"/>
        <v>0</v>
      </c>
      <c r="T113" s="260">
        <f t="shared" si="25"/>
        <v>0</v>
      </c>
      <c r="U113" s="260">
        <f t="shared" si="25"/>
        <v>0</v>
      </c>
      <c r="V113" s="260">
        <f t="shared" si="25"/>
        <v>0</v>
      </c>
      <c r="W113" s="260">
        <f t="shared" si="25"/>
        <v>0</v>
      </c>
      <c r="X113" s="260">
        <f t="shared" si="25"/>
        <v>0</v>
      </c>
      <c r="Y113" s="260">
        <f t="shared" si="25"/>
        <v>0</v>
      </c>
      <c r="Z113" s="260">
        <f t="shared" si="25"/>
        <v>0</v>
      </c>
      <c r="AA113" s="260">
        <f t="shared" si="25"/>
        <v>0</v>
      </c>
      <c r="AB113" s="260">
        <f t="shared" si="25"/>
        <v>0</v>
      </c>
      <c r="AC113" s="260">
        <f t="shared" si="25"/>
        <v>0</v>
      </c>
      <c r="AD113" s="260">
        <f t="shared" si="25"/>
        <v>0</v>
      </c>
      <c r="AE113" s="260">
        <f t="shared" si="25"/>
        <v>0</v>
      </c>
      <c r="AF113" s="260">
        <f t="shared" si="25"/>
        <v>0</v>
      </c>
      <c r="AG113" s="260">
        <f t="shared" si="25"/>
        <v>0</v>
      </c>
      <c r="AH113" s="260">
        <f t="shared" si="25"/>
        <v>0</v>
      </c>
      <c r="AI113" s="260">
        <f t="shared" si="25"/>
        <v>0</v>
      </c>
      <c r="AJ113" s="260">
        <f t="shared" si="25"/>
        <v>0</v>
      </c>
      <c r="AK113" s="260">
        <f t="shared" si="25"/>
        <v>0</v>
      </c>
      <c r="AL113" s="260">
        <f t="shared" si="25"/>
        <v>0</v>
      </c>
      <c r="AM113" s="260">
        <f t="shared" si="25"/>
        <v>0</v>
      </c>
    </row>
    <row r="114" spans="2:39" ht="15" outlineLevel="1" x14ac:dyDescent="0.3">
      <c r="B114" s="30" t="s">
        <v>557</v>
      </c>
      <c r="C114" s="253">
        <f>G41</f>
        <v>0.6</v>
      </c>
      <c r="D114" s="259"/>
      <c r="E114" s="258">
        <f t="shared" ref="E114:AM114" si="26">E112*$C$114</f>
        <v>0</v>
      </c>
      <c r="F114" s="258">
        <f t="shared" si="26"/>
        <v>0</v>
      </c>
      <c r="G114" s="258">
        <f t="shared" si="26"/>
        <v>0</v>
      </c>
      <c r="H114" s="258">
        <f t="shared" si="26"/>
        <v>0</v>
      </c>
      <c r="I114" s="258">
        <f t="shared" si="26"/>
        <v>0</v>
      </c>
      <c r="J114" s="258">
        <f t="shared" si="26"/>
        <v>0</v>
      </c>
      <c r="K114" s="258">
        <f t="shared" si="26"/>
        <v>0</v>
      </c>
      <c r="L114" s="258">
        <f t="shared" si="26"/>
        <v>0</v>
      </c>
      <c r="M114" s="258">
        <f t="shared" si="26"/>
        <v>0</v>
      </c>
      <c r="N114" s="258">
        <f t="shared" si="26"/>
        <v>0</v>
      </c>
      <c r="O114" s="258">
        <f t="shared" si="26"/>
        <v>0</v>
      </c>
      <c r="P114" s="258">
        <f t="shared" si="26"/>
        <v>0</v>
      </c>
      <c r="Q114" s="258">
        <f t="shared" si="26"/>
        <v>0</v>
      </c>
      <c r="R114" s="258">
        <f t="shared" si="26"/>
        <v>0</v>
      </c>
      <c r="S114" s="258">
        <f t="shared" si="26"/>
        <v>0</v>
      </c>
      <c r="T114" s="258">
        <f t="shared" si="26"/>
        <v>0</v>
      </c>
      <c r="U114" s="258">
        <f t="shared" si="26"/>
        <v>0</v>
      </c>
      <c r="V114" s="258">
        <f t="shared" si="26"/>
        <v>0</v>
      </c>
      <c r="W114" s="258">
        <f t="shared" si="26"/>
        <v>0</v>
      </c>
      <c r="X114" s="258">
        <f t="shared" si="26"/>
        <v>0</v>
      </c>
      <c r="Y114" s="258">
        <f t="shared" si="26"/>
        <v>0</v>
      </c>
      <c r="Z114" s="258">
        <f t="shared" si="26"/>
        <v>0</v>
      </c>
      <c r="AA114" s="258">
        <f t="shared" si="26"/>
        <v>0</v>
      </c>
      <c r="AB114" s="258">
        <f t="shared" si="26"/>
        <v>0</v>
      </c>
      <c r="AC114" s="258">
        <f t="shared" si="26"/>
        <v>0</v>
      </c>
      <c r="AD114" s="258">
        <f t="shared" si="26"/>
        <v>0</v>
      </c>
      <c r="AE114" s="258">
        <f t="shared" si="26"/>
        <v>0</v>
      </c>
      <c r="AF114" s="258">
        <f t="shared" si="26"/>
        <v>0</v>
      </c>
      <c r="AG114" s="258">
        <f t="shared" si="26"/>
        <v>0</v>
      </c>
      <c r="AH114" s="258">
        <f t="shared" si="26"/>
        <v>0</v>
      </c>
      <c r="AI114" s="258">
        <f t="shared" si="26"/>
        <v>0</v>
      </c>
      <c r="AJ114" s="258">
        <f t="shared" si="26"/>
        <v>0</v>
      </c>
      <c r="AK114" s="258">
        <f t="shared" si="26"/>
        <v>0</v>
      </c>
      <c r="AL114" s="258">
        <f t="shared" si="26"/>
        <v>0</v>
      </c>
      <c r="AM114" s="258">
        <f t="shared" si="26"/>
        <v>0</v>
      </c>
    </row>
    <row r="115" spans="2:39" outlineLevel="1" x14ac:dyDescent="0.2"/>
    <row r="116" spans="2:39" outlineLevel="1" x14ac:dyDescent="0.2">
      <c r="B116" s="80" t="s">
        <v>556</v>
      </c>
    </row>
    <row r="117" spans="2:39" outlineLevel="1" x14ac:dyDescent="0.2">
      <c r="B117" s="30" t="s">
        <v>555</v>
      </c>
      <c r="D117" s="261"/>
      <c r="E117" s="260">
        <f t="shared" ref="E117:AM117" si="27">SUM(E119:E120)</f>
        <v>0</v>
      </c>
      <c r="F117" s="260">
        <f t="shared" si="27"/>
        <v>0</v>
      </c>
      <c r="G117" s="260">
        <f t="shared" si="27"/>
        <v>0</v>
      </c>
      <c r="H117" s="260">
        <f t="shared" si="27"/>
        <v>0</v>
      </c>
      <c r="I117" s="260">
        <f t="shared" si="27"/>
        <v>0</v>
      </c>
      <c r="J117" s="260">
        <f t="shared" si="27"/>
        <v>0</v>
      </c>
      <c r="K117" s="260">
        <f t="shared" si="27"/>
        <v>0</v>
      </c>
      <c r="L117" s="260">
        <f t="shared" si="27"/>
        <v>0</v>
      </c>
      <c r="M117" s="260">
        <f t="shared" si="27"/>
        <v>0</v>
      </c>
      <c r="N117" s="260">
        <f t="shared" si="27"/>
        <v>0</v>
      </c>
      <c r="O117" s="260">
        <f t="shared" si="27"/>
        <v>0</v>
      </c>
      <c r="P117" s="260">
        <f t="shared" si="27"/>
        <v>0</v>
      </c>
      <c r="Q117" s="260">
        <f t="shared" si="27"/>
        <v>0</v>
      </c>
      <c r="R117" s="260">
        <f t="shared" si="27"/>
        <v>0</v>
      </c>
      <c r="S117" s="260">
        <f t="shared" si="27"/>
        <v>0</v>
      </c>
      <c r="T117" s="260">
        <f t="shared" si="27"/>
        <v>0</v>
      </c>
      <c r="U117" s="260">
        <f t="shared" si="27"/>
        <v>0</v>
      </c>
      <c r="V117" s="260">
        <f t="shared" si="27"/>
        <v>0</v>
      </c>
      <c r="W117" s="260">
        <f t="shared" si="27"/>
        <v>0</v>
      </c>
      <c r="X117" s="260">
        <f t="shared" si="27"/>
        <v>0</v>
      </c>
      <c r="Y117" s="260">
        <f t="shared" si="27"/>
        <v>0</v>
      </c>
      <c r="Z117" s="260">
        <f t="shared" si="27"/>
        <v>0</v>
      </c>
      <c r="AA117" s="260">
        <f t="shared" si="27"/>
        <v>0</v>
      </c>
      <c r="AB117" s="260">
        <f t="shared" si="27"/>
        <v>0</v>
      </c>
      <c r="AC117" s="260">
        <f t="shared" si="27"/>
        <v>0</v>
      </c>
      <c r="AD117" s="260">
        <f t="shared" si="27"/>
        <v>0</v>
      </c>
      <c r="AE117" s="260">
        <f t="shared" si="27"/>
        <v>0</v>
      </c>
      <c r="AF117" s="260">
        <f t="shared" si="27"/>
        <v>0</v>
      </c>
      <c r="AG117" s="260">
        <f t="shared" si="27"/>
        <v>0</v>
      </c>
      <c r="AH117" s="260">
        <f t="shared" si="27"/>
        <v>0</v>
      </c>
      <c r="AI117" s="260">
        <f t="shared" si="27"/>
        <v>0</v>
      </c>
      <c r="AJ117" s="260">
        <f t="shared" si="27"/>
        <v>0</v>
      </c>
      <c r="AK117" s="260">
        <f t="shared" si="27"/>
        <v>0</v>
      </c>
      <c r="AL117" s="260">
        <f t="shared" si="27"/>
        <v>0</v>
      </c>
      <c r="AM117" s="260">
        <f t="shared" si="27"/>
        <v>0</v>
      </c>
    </row>
    <row r="118" spans="2:39" outlineLevel="1" x14ac:dyDescent="0.2">
      <c r="B118" s="30" t="s">
        <v>554</v>
      </c>
    </row>
    <row r="119" spans="2:39" ht="15" outlineLevel="1" x14ac:dyDescent="0.3">
      <c r="B119" s="30" t="s">
        <v>553</v>
      </c>
      <c r="C119" s="267">
        <f>$C$43</f>
        <v>6.1000000000005938E-2</v>
      </c>
      <c r="D119" s="261"/>
      <c r="E119" s="260">
        <f t="shared" ref="E119:AM119" si="28">E113*$C$119</f>
        <v>0</v>
      </c>
      <c r="F119" s="260">
        <f>F113*$C$119</f>
        <v>0</v>
      </c>
      <c r="G119" s="260">
        <f t="shared" si="28"/>
        <v>0</v>
      </c>
      <c r="H119" s="260">
        <f t="shared" si="28"/>
        <v>0</v>
      </c>
      <c r="I119" s="260">
        <f t="shared" si="28"/>
        <v>0</v>
      </c>
      <c r="J119" s="260">
        <f t="shared" si="28"/>
        <v>0</v>
      </c>
      <c r="K119" s="260">
        <f t="shared" si="28"/>
        <v>0</v>
      </c>
      <c r="L119" s="260">
        <f t="shared" si="28"/>
        <v>0</v>
      </c>
      <c r="M119" s="260">
        <f t="shared" si="28"/>
        <v>0</v>
      </c>
      <c r="N119" s="260">
        <f t="shared" si="28"/>
        <v>0</v>
      </c>
      <c r="O119" s="260">
        <f t="shared" si="28"/>
        <v>0</v>
      </c>
      <c r="P119" s="260">
        <f t="shared" si="28"/>
        <v>0</v>
      </c>
      <c r="Q119" s="260">
        <f t="shared" si="28"/>
        <v>0</v>
      </c>
      <c r="R119" s="260">
        <f t="shared" si="28"/>
        <v>0</v>
      </c>
      <c r="S119" s="260">
        <f t="shared" si="28"/>
        <v>0</v>
      </c>
      <c r="T119" s="260">
        <f t="shared" si="28"/>
        <v>0</v>
      </c>
      <c r="U119" s="260">
        <f t="shared" si="28"/>
        <v>0</v>
      </c>
      <c r="V119" s="260">
        <f t="shared" si="28"/>
        <v>0</v>
      </c>
      <c r="W119" s="260">
        <f t="shared" si="28"/>
        <v>0</v>
      </c>
      <c r="X119" s="260">
        <f t="shared" si="28"/>
        <v>0</v>
      </c>
      <c r="Y119" s="260">
        <f t="shared" si="28"/>
        <v>0</v>
      </c>
      <c r="Z119" s="260">
        <f t="shared" si="28"/>
        <v>0</v>
      </c>
      <c r="AA119" s="260">
        <f t="shared" si="28"/>
        <v>0</v>
      </c>
      <c r="AB119" s="260">
        <f t="shared" si="28"/>
        <v>0</v>
      </c>
      <c r="AC119" s="260">
        <f t="shared" si="28"/>
        <v>0</v>
      </c>
      <c r="AD119" s="260">
        <f t="shared" si="28"/>
        <v>0</v>
      </c>
      <c r="AE119" s="260">
        <f t="shared" si="28"/>
        <v>0</v>
      </c>
      <c r="AF119" s="260">
        <f t="shared" si="28"/>
        <v>0</v>
      </c>
      <c r="AG119" s="260">
        <f t="shared" si="28"/>
        <v>0</v>
      </c>
      <c r="AH119" s="260">
        <f t="shared" si="28"/>
        <v>0</v>
      </c>
      <c r="AI119" s="260">
        <f t="shared" si="28"/>
        <v>0</v>
      </c>
      <c r="AJ119" s="260">
        <f t="shared" si="28"/>
        <v>0</v>
      </c>
      <c r="AK119" s="260">
        <f t="shared" si="28"/>
        <v>0</v>
      </c>
      <c r="AL119" s="260">
        <f t="shared" si="28"/>
        <v>0</v>
      </c>
      <c r="AM119" s="260">
        <f t="shared" si="28"/>
        <v>0</v>
      </c>
    </row>
    <row r="120" spans="2:39" ht="15" outlineLevel="1" x14ac:dyDescent="0.3">
      <c r="B120" s="30" t="s">
        <v>552</v>
      </c>
      <c r="C120" s="267">
        <f>$C$42</f>
        <v>4.9799999999999997E-2</v>
      </c>
      <c r="D120" s="259"/>
      <c r="E120" s="258">
        <f t="shared" ref="E120:AM120" si="29">E114*E66</f>
        <v>0</v>
      </c>
      <c r="F120" s="258">
        <f t="shared" si="29"/>
        <v>0</v>
      </c>
      <c r="G120" s="258">
        <f t="shared" si="29"/>
        <v>0</v>
      </c>
      <c r="H120" s="258">
        <f t="shared" si="29"/>
        <v>0</v>
      </c>
      <c r="I120" s="258">
        <f t="shared" si="29"/>
        <v>0</v>
      </c>
      <c r="J120" s="258">
        <f t="shared" si="29"/>
        <v>0</v>
      </c>
      <c r="K120" s="258">
        <f t="shared" si="29"/>
        <v>0</v>
      </c>
      <c r="L120" s="258">
        <f t="shared" si="29"/>
        <v>0</v>
      </c>
      <c r="M120" s="258">
        <f t="shared" si="29"/>
        <v>0</v>
      </c>
      <c r="N120" s="258">
        <f t="shared" si="29"/>
        <v>0</v>
      </c>
      <c r="O120" s="258">
        <f t="shared" si="29"/>
        <v>0</v>
      </c>
      <c r="P120" s="258">
        <f t="shared" si="29"/>
        <v>0</v>
      </c>
      <c r="Q120" s="258">
        <f t="shared" si="29"/>
        <v>0</v>
      </c>
      <c r="R120" s="258">
        <f t="shared" si="29"/>
        <v>0</v>
      </c>
      <c r="S120" s="258">
        <f t="shared" si="29"/>
        <v>0</v>
      </c>
      <c r="T120" s="258">
        <f t="shared" si="29"/>
        <v>0</v>
      </c>
      <c r="U120" s="258">
        <f t="shared" si="29"/>
        <v>0</v>
      </c>
      <c r="V120" s="258">
        <f t="shared" si="29"/>
        <v>0</v>
      </c>
      <c r="W120" s="258">
        <f t="shared" si="29"/>
        <v>0</v>
      </c>
      <c r="X120" s="258">
        <f t="shared" si="29"/>
        <v>0</v>
      </c>
      <c r="Y120" s="258">
        <f t="shared" si="29"/>
        <v>0</v>
      </c>
      <c r="Z120" s="258">
        <f t="shared" si="29"/>
        <v>0</v>
      </c>
      <c r="AA120" s="258">
        <f t="shared" si="29"/>
        <v>0</v>
      </c>
      <c r="AB120" s="258">
        <f t="shared" si="29"/>
        <v>0</v>
      </c>
      <c r="AC120" s="258">
        <f t="shared" si="29"/>
        <v>0</v>
      </c>
      <c r="AD120" s="258">
        <f t="shared" si="29"/>
        <v>0</v>
      </c>
      <c r="AE120" s="258">
        <f t="shared" si="29"/>
        <v>0</v>
      </c>
      <c r="AF120" s="258">
        <f t="shared" si="29"/>
        <v>0</v>
      </c>
      <c r="AG120" s="258">
        <f t="shared" si="29"/>
        <v>0</v>
      </c>
      <c r="AH120" s="258">
        <f t="shared" si="29"/>
        <v>0</v>
      </c>
      <c r="AI120" s="258">
        <f t="shared" si="29"/>
        <v>0</v>
      </c>
      <c r="AJ120" s="258">
        <f t="shared" si="29"/>
        <v>0</v>
      </c>
      <c r="AK120" s="258">
        <f t="shared" si="29"/>
        <v>0</v>
      </c>
      <c r="AL120" s="258">
        <f t="shared" si="29"/>
        <v>0</v>
      </c>
      <c r="AM120" s="258">
        <f t="shared" si="29"/>
        <v>0</v>
      </c>
    </row>
    <row r="121" spans="2:39" outlineLevel="1" x14ac:dyDescent="0.2"/>
    <row r="122" spans="2:39" outlineLevel="1" x14ac:dyDescent="0.2">
      <c r="B122" s="30" t="s">
        <v>551</v>
      </c>
      <c r="D122" s="261"/>
      <c r="E122" s="260">
        <f t="shared" ref="E122:AM122" si="30">E93</f>
        <v>0</v>
      </c>
      <c r="F122" s="260">
        <f t="shared" si="30"/>
        <v>0</v>
      </c>
      <c r="G122" s="260">
        <f t="shared" si="30"/>
        <v>0</v>
      </c>
      <c r="H122" s="260">
        <f t="shared" si="30"/>
        <v>0</v>
      </c>
      <c r="I122" s="260">
        <f t="shared" si="30"/>
        <v>0</v>
      </c>
      <c r="J122" s="260">
        <f t="shared" si="30"/>
        <v>0</v>
      </c>
      <c r="K122" s="260">
        <f t="shared" si="30"/>
        <v>0</v>
      </c>
      <c r="L122" s="260">
        <f t="shared" si="30"/>
        <v>0</v>
      </c>
      <c r="M122" s="260">
        <f t="shared" si="30"/>
        <v>0</v>
      </c>
      <c r="N122" s="260">
        <f t="shared" si="30"/>
        <v>0</v>
      </c>
      <c r="O122" s="260">
        <f t="shared" si="30"/>
        <v>0</v>
      </c>
      <c r="P122" s="260">
        <f t="shared" si="30"/>
        <v>0</v>
      </c>
      <c r="Q122" s="260">
        <f t="shared" si="30"/>
        <v>0</v>
      </c>
      <c r="R122" s="260">
        <f t="shared" si="30"/>
        <v>0</v>
      </c>
      <c r="S122" s="260">
        <f t="shared" si="30"/>
        <v>0</v>
      </c>
      <c r="T122" s="260">
        <f t="shared" si="30"/>
        <v>0</v>
      </c>
      <c r="U122" s="260">
        <f t="shared" si="30"/>
        <v>0</v>
      </c>
      <c r="V122" s="260">
        <f t="shared" si="30"/>
        <v>0</v>
      </c>
      <c r="W122" s="260">
        <f t="shared" si="30"/>
        <v>0</v>
      </c>
      <c r="X122" s="260">
        <f t="shared" si="30"/>
        <v>0</v>
      </c>
      <c r="Y122" s="260">
        <f t="shared" si="30"/>
        <v>0</v>
      </c>
      <c r="Z122" s="260">
        <f t="shared" si="30"/>
        <v>0</v>
      </c>
      <c r="AA122" s="260">
        <f t="shared" si="30"/>
        <v>0</v>
      </c>
      <c r="AB122" s="260">
        <f t="shared" si="30"/>
        <v>0</v>
      </c>
      <c r="AC122" s="260">
        <f t="shared" si="30"/>
        <v>0</v>
      </c>
      <c r="AD122" s="260">
        <f t="shared" si="30"/>
        <v>0</v>
      </c>
      <c r="AE122" s="260">
        <f t="shared" si="30"/>
        <v>0</v>
      </c>
      <c r="AF122" s="260">
        <f t="shared" si="30"/>
        <v>0</v>
      </c>
      <c r="AG122" s="260">
        <f t="shared" si="30"/>
        <v>0</v>
      </c>
      <c r="AH122" s="260">
        <f t="shared" si="30"/>
        <v>0</v>
      </c>
      <c r="AI122" s="260">
        <f t="shared" si="30"/>
        <v>0</v>
      </c>
      <c r="AJ122" s="260">
        <f t="shared" si="30"/>
        <v>0</v>
      </c>
      <c r="AK122" s="260">
        <f t="shared" si="30"/>
        <v>0</v>
      </c>
      <c r="AL122" s="260">
        <f t="shared" si="30"/>
        <v>0</v>
      </c>
      <c r="AM122" s="260">
        <f t="shared" si="30"/>
        <v>0</v>
      </c>
    </row>
    <row r="123" spans="2:39" outlineLevel="1" x14ac:dyDescent="0.2"/>
    <row r="124" spans="2:39" outlineLevel="1" x14ac:dyDescent="0.2">
      <c r="B124" s="30" t="s">
        <v>550</v>
      </c>
      <c r="D124" s="261"/>
      <c r="E124" s="266">
        <f t="shared" ref="E124:AM124" si="31">E55*E63</f>
        <v>0</v>
      </c>
      <c r="F124" s="266">
        <f t="shared" si="31"/>
        <v>0</v>
      </c>
      <c r="G124" s="266">
        <f t="shared" si="31"/>
        <v>0</v>
      </c>
      <c r="H124" s="266">
        <f t="shared" si="31"/>
        <v>0</v>
      </c>
      <c r="I124" s="266">
        <f t="shared" si="31"/>
        <v>0</v>
      </c>
      <c r="J124" s="266">
        <f t="shared" si="31"/>
        <v>0</v>
      </c>
      <c r="K124" s="266">
        <f t="shared" si="31"/>
        <v>0</v>
      </c>
      <c r="L124" s="266">
        <f t="shared" si="31"/>
        <v>0</v>
      </c>
      <c r="M124" s="266">
        <f t="shared" si="31"/>
        <v>0</v>
      </c>
      <c r="N124" s="266">
        <f t="shared" si="31"/>
        <v>0</v>
      </c>
      <c r="O124" s="266">
        <f t="shared" si="31"/>
        <v>0</v>
      </c>
      <c r="P124" s="266">
        <f t="shared" si="31"/>
        <v>0</v>
      </c>
      <c r="Q124" s="266">
        <f t="shared" si="31"/>
        <v>0</v>
      </c>
      <c r="R124" s="266">
        <f t="shared" si="31"/>
        <v>0</v>
      </c>
      <c r="S124" s="266">
        <f t="shared" si="31"/>
        <v>0</v>
      </c>
      <c r="T124" s="266">
        <f t="shared" si="31"/>
        <v>0</v>
      </c>
      <c r="U124" s="266">
        <f t="shared" si="31"/>
        <v>0</v>
      </c>
      <c r="V124" s="266">
        <f t="shared" si="31"/>
        <v>0</v>
      </c>
      <c r="W124" s="266">
        <f t="shared" si="31"/>
        <v>0</v>
      </c>
      <c r="X124" s="266">
        <f t="shared" si="31"/>
        <v>0</v>
      </c>
      <c r="Y124" s="266">
        <f t="shared" si="31"/>
        <v>0</v>
      </c>
      <c r="Z124" s="266">
        <f t="shared" si="31"/>
        <v>0</v>
      </c>
      <c r="AA124" s="266">
        <f t="shared" si="31"/>
        <v>0</v>
      </c>
      <c r="AB124" s="266">
        <f t="shared" si="31"/>
        <v>0</v>
      </c>
      <c r="AC124" s="266">
        <f t="shared" si="31"/>
        <v>0</v>
      </c>
      <c r="AD124" s="266">
        <f t="shared" si="31"/>
        <v>0</v>
      </c>
      <c r="AE124" s="266">
        <f t="shared" si="31"/>
        <v>0</v>
      </c>
      <c r="AF124" s="266">
        <f t="shared" si="31"/>
        <v>0</v>
      </c>
      <c r="AG124" s="266">
        <f t="shared" si="31"/>
        <v>0</v>
      </c>
      <c r="AH124" s="266">
        <f t="shared" si="31"/>
        <v>0</v>
      </c>
      <c r="AI124" s="266">
        <f t="shared" si="31"/>
        <v>0</v>
      </c>
      <c r="AJ124" s="266">
        <f t="shared" si="31"/>
        <v>0</v>
      </c>
      <c r="AK124" s="266">
        <f t="shared" si="31"/>
        <v>0</v>
      </c>
      <c r="AL124" s="266">
        <f t="shared" si="31"/>
        <v>0</v>
      </c>
      <c r="AM124" s="266">
        <f t="shared" si="31"/>
        <v>0</v>
      </c>
    </row>
    <row r="125" spans="2:39" outlineLevel="1" x14ac:dyDescent="0.2"/>
    <row r="126" spans="2:39" outlineLevel="1" x14ac:dyDescent="0.2">
      <c r="B126" s="30" t="s">
        <v>536</v>
      </c>
      <c r="D126" s="261"/>
      <c r="E126" s="260">
        <f t="shared" ref="E126:AM126" si="32">E147</f>
        <v>0</v>
      </c>
      <c r="F126" s="260">
        <f t="shared" si="32"/>
        <v>0</v>
      </c>
      <c r="G126" s="260">
        <f t="shared" si="32"/>
        <v>0</v>
      </c>
      <c r="H126" s="260">
        <f t="shared" si="32"/>
        <v>0</v>
      </c>
      <c r="I126" s="260">
        <f t="shared" si="32"/>
        <v>0</v>
      </c>
      <c r="J126" s="260">
        <f t="shared" si="32"/>
        <v>0</v>
      </c>
      <c r="K126" s="260">
        <f t="shared" si="32"/>
        <v>0</v>
      </c>
      <c r="L126" s="260">
        <f t="shared" si="32"/>
        <v>0</v>
      </c>
      <c r="M126" s="260">
        <f t="shared" si="32"/>
        <v>0</v>
      </c>
      <c r="N126" s="260">
        <f t="shared" si="32"/>
        <v>0</v>
      </c>
      <c r="O126" s="260">
        <f t="shared" si="32"/>
        <v>0</v>
      </c>
      <c r="P126" s="260">
        <f t="shared" si="32"/>
        <v>0</v>
      </c>
      <c r="Q126" s="260">
        <f t="shared" si="32"/>
        <v>0</v>
      </c>
      <c r="R126" s="260">
        <f t="shared" si="32"/>
        <v>0</v>
      </c>
      <c r="S126" s="260">
        <f t="shared" si="32"/>
        <v>0</v>
      </c>
      <c r="T126" s="260">
        <f t="shared" si="32"/>
        <v>0</v>
      </c>
      <c r="U126" s="260">
        <f t="shared" si="32"/>
        <v>0</v>
      </c>
      <c r="V126" s="260">
        <f t="shared" si="32"/>
        <v>0</v>
      </c>
      <c r="W126" s="260">
        <f t="shared" si="32"/>
        <v>0</v>
      </c>
      <c r="X126" s="260">
        <f t="shared" si="32"/>
        <v>0</v>
      </c>
      <c r="Y126" s="260">
        <f t="shared" si="32"/>
        <v>0</v>
      </c>
      <c r="Z126" s="260">
        <f t="shared" si="32"/>
        <v>0</v>
      </c>
      <c r="AA126" s="260">
        <f t="shared" si="32"/>
        <v>0</v>
      </c>
      <c r="AB126" s="260">
        <f t="shared" si="32"/>
        <v>0</v>
      </c>
      <c r="AC126" s="260">
        <f t="shared" si="32"/>
        <v>0</v>
      </c>
      <c r="AD126" s="260">
        <f t="shared" si="32"/>
        <v>0</v>
      </c>
      <c r="AE126" s="260">
        <f t="shared" si="32"/>
        <v>0</v>
      </c>
      <c r="AF126" s="260">
        <f t="shared" si="32"/>
        <v>0</v>
      </c>
      <c r="AG126" s="260">
        <f t="shared" si="32"/>
        <v>0</v>
      </c>
      <c r="AH126" s="260">
        <f t="shared" si="32"/>
        <v>0</v>
      </c>
      <c r="AI126" s="260">
        <f t="shared" si="32"/>
        <v>0</v>
      </c>
      <c r="AJ126" s="260">
        <f t="shared" si="32"/>
        <v>0</v>
      </c>
      <c r="AK126" s="260">
        <f t="shared" si="32"/>
        <v>0</v>
      </c>
      <c r="AL126" s="260">
        <f t="shared" si="32"/>
        <v>0</v>
      </c>
      <c r="AM126" s="260">
        <f t="shared" si="32"/>
        <v>0</v>
      </c>
    </row>
    <row r="127" spans="2:39" ht="15" outlineLevel="1" x14ac:dyDescent="0.3">
      <c r="B127" s="30" t="s">
        <v>549</v>
      </c>
      <c r="C127" s="251">
        <f>G42</f>
        <v>0.58499999999999996</v>
      </c>
      <c r="D127" s="265"/>
      <c r="E127" s="264">
        <f t="shared" ref="E127:AM127" si="33">-E126*$C$127</f>
        <v>0</v>
      </c>
      <c r="F127" s="264">
        <f t="shared" si="33"/>
        <v>0</v>
      </c>
      <c r="G127" s="264">
        <f t="shared" si="33"/>
        <v>0</v>
      </c>
      <c r="H127" s="264">
        <f t="shared" si="33"/>
        <v>0</v>
      </c>
      <c r="I127" s="264">
        <f t="shared" si="33"/>
        <v>0</v>
      </c>
      <c r="J127" s="264">
        <f t="shared" si="33"/>
        <v>0</v>
      </c>
      <c r="K127" s="264">
        <f t="shared" si="33"/>
        <v>0</v>
      </c>
      <c r="L127" s="264">
        <f t="shared" si="33"/>
        <v>0</v>
      </c>
      <c r="M127" s="264">
        <f t="shared" si="33"/>
        <v>0</v>
      </c>
      <c r="N127" s="264">
        <f t="shared" si="33"/>
        <v>0</v>
      </c>
      <c r="O127" s="264">
        <f t="shared" si="33"/>
        <v>0</v>
      </c>
      <c r="P127" s="264">
        <f t="shared" si="33"/>
        <v>0</v>
      </c>
      <c r="Q127" s="264">
        <f t="shared" si="33"/>
        <v>0</v>
      </c>
      <c r="R127" s="264">
        <f t="shared" si="33"/>
        <v>0</v>
      </c>
      <c r="S127" s="264">
        <f t="shared" si="33"/>
        <v>0</v>
      </c>
      <c r="T127" s="264">
        <f t="shared" si="33"/>
        <v>0</v>
      </c>
      <c r="U127" s="264">
        <f t="shared" si="33"/>
        <v>0</v>
      </c>
      <c r="V127" s="264">
        <f t="shared" si="33"/>
        <v>0</v>
      </c>
      <c r="W127" s="264">
        <f t="shared" si="33"/>
        <v>0</v>
      </c>
      <c r="X127" s="264">
        <f t="shared" si="33"/>
        <v>0</v>
      </c>
      <c r="Y127" s="264">
        <f t="shared" si="33"/>
        <v>0</v>
      </c>
      <c r="Z127" s="264">
        <f t="shared" si="33"/>
        <v>0</v>
      </c>
      <c r="AA127" s="264">
        <f t="shared" si="33"/>
        <v>0</v>
      </c>
      <c r="AB127" s="264">
        <f t="shared" si="33"/>
        <v>0</v>
      </c>
      <c r="AC127" s="264">
        <f t="shared" si="33"/>
        <v>0</v>
      </c>
      <c r="AD127" s="264">
        <f t="shared" si="33"/>
        <v>0</v>
      </c>
      <c r="AE127" s="264">
        <f t="shared" si="33"/>
        <v>0</v>
      </c>
      <c r="AF127" s="264">
        <f t="shared" si="33"/>
        <v>0</v>
      </c>
      <c r="AG127" s="264">
        <f t="shared" si="33"/>
        <v>0</v>
      </c>
      <c r="AH127" s="264">
        <f t="shared" si="33"/>
        <v>0</v>
      </c>
      <c r="AI127" s="264">
        <f t="shared" si="33"/>
        <v>0</v>
      </c>
      <c r="AJ127" s="264">
        <f t="shared" si="33"/>
        <v>0</v>
      </c>
      <c r="AK127" s="264">
        <f t="shared" si="33"/>
        <v>0</v>
      </c>
      <c r="AL127" s="264">
        <f t="shared" si="33"/>
        <v>0</v>
      </c>
      <c r="AM127" s="264">
        <f t="shared" si="33"/>
        <v>0</v>
      </c>
    </row>
    <row r="128" spans="2:39" outlineLevel="1" x14ac:dyDescent="0.2"/>
    <row r="129" spans="1:39" outlineLevel="1" x14ac:dyDescent="0.2">
      <c r="B129" s="80" t="s">
        <v>548</v>
      </c>
      <c r="D129" s="263"/>
      <c r="E129" s="262">
        <f t="shared" ref="E129:AM129" si="34">SUM(E119:E127)</f>
        <v>0</v>
      </c>
      <c r="F129" s="262">
        <f t="shared" si="34"/>
        <v>0</v>
      </c>
      <c r="G129" s="262">
        <f t="shared" si="34"/>
        <v>0</v>
      </c>
      <c r="H129" s="262">
        <f t="shared" si="34"/>
        <v>0</v>
      </c>
      <c r="I129" s="262">
        <f t="shared" si="34"/>
        <v>0</v>
      </c>
      <c r="J129" s="262">
        <f t="shared" si="34"/>
        <v>0</v>
      </c>
      <c r="K129" s="262">
        <f t="shared" si="34"/>
        <v>0</v>
      </c>
      <c r="L129" s="262">
        <f t="shared" si="34"/>
        <v>0</v>
      </c>
      <c r="M129" s="262">
        <f t="shared" si="34"/>
        <v>0</v>
      </c>
      <c r="N129" s="262">
        <f t="shared" si="34"/>
        <v>0</v>
      </c>
      <c r="O129" s="262">
        <f t="shared" si="34"/>
        <v>0</v>
      </c>
      <c r="P129" s="262">
        <f t="shared" si="34"/>
        <v>0</v>
      </c>
      <c r="Q129" s="262">
        <f t="shared" si="34"/>
        <v>0</v>
      </c>
      <c r="R129" s="262">
        <f t="shared" si="34"/>
        <v>0</v>
      </c>
      <c r="S129" s="262">
        <f t="shared" si="34"/>
        <v>0</v>
      </c>
      <c r="T129" s="262">
        <f t="shared" si="34"/>
        <v>0</v>
      </c>
      <c r="U129" s="262">
        <f t="shared" si="34"/>
        <v>0</v>
      </c>
      <c r="V129" s="262">
        <f t="shared" si="34"/>
        <v>0</v>
      </c>
      <c r="W129" s="262">
        <f t="shared" si="34"/>
        <v>0</v>
      </c>
      <c r="X129" s="262">
        <f t="shared" si="34"/>
        <v>0</v>
      </c>
      <c r="Y129" s="262">
        <f t="shared" si="34"/>
        <v>0</v>
      </c>
      <c r="Z129" s="262">
        <f t="shared" si="34"/>
        <v>0</v>
      </c>
      <c r="AA129" s="262">
        <f t="shared" si="34"/>
        <v>0</v>
      </c>
      <c r="AB129" s="262">
        <f t="shared" si="34"/>
        <v>0</v>
      </c>
      <c r="AC129" s="262">
        <f t="shared" si="34"/>
        <v>0</v>
      </c>
      <c r="AD129" s="262">
        <f t="shared" si="34"/>
        <v>0</v>
      </c>
      <c r="AE129" s="262">
        <f t="shared" si="34"/>
        <v>0</v>
      </c>
      <c r="AF129" s="262">
        <f t="shared" si="34"/>
        <v>0</v>
      </c>
      <c r="AG129" s="262">
        <f t="shared" si="34"/>
        <v>0</v>
      </c>
      <c r="AH129" s="262">
        <f t="shared" si="34"/>
        <v>0</v>
      </c>
      <c r="AI129" s="262">
        <f t="shared" si="34"/>
        <v>0</v>
      </c>
      <c r="AJ129" s="262">
        <f t="shared" si="34"/>
        <v>0</v>
      </c>
      <c r="AK129" s="262">
        <f t="shared" si="34"/>
        <v>0</v>
      </c>
      <c r="AL129" s="262">
        <f t="shared" si="34"/>
        <v>0</v>
      </c>
      <c r="AM129" s="262">
        <f t="shared" si="34"/>
        <v>0</v>
      </c>
    </row>
    <row r="130" spans="1:39" outlineLevel="1" x14ac:dyDescent="0.2"/>
    <row r="131" spans="1:39" outlineLevel="1" x14ac:dyDescent="0.2">
      <c r="B131" s="80" t="s">
        <v>547</v>
      </c>
    </row>
    <row r="132" spans="1:39" outlineLevel="1" x14ac:dyDescent="0.2">
      <c r="B132" s="30" t="s">
        <v>546</v>
      </c>
      <c r="D132" s="261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0"/>
      <c r="V132" s="260"/>
      <c r="W132" s="260"/>
      <c r="X132" s="260"/>
      <c r="Y132" s="260"/>
      <c r="Z132" s="260"/>
      <c r="AA132" s="260"/>
      <c r="AB132" s="260"/>
      <c r="AC132" s="260"/>
      <c r="AD132" s="260"/>
      <c r="AE132" s="260"/>
      <c r="AF132" s="260"/>
      <c r="AG132" s="260"/>
      <c r="AH132" s="260"/>
      <c r="AI132" s="260"/>
      <c r="AJ132" s="260"/>
      <c r="AK132" s="260"/>
      <c r="AL132" s="260"/>
      <c r="AM132" s="260"/>
    </row>
    <row r="133" spans="1:39" outlineLevel="1" x14ac:dyDescent="0.2"/>
    <row r="134" spans="1:39" outlineLevel="1" x14ac:dyDescent="0.2">
      <c r="B134" s="80" t="s">
        <v>545</v>
      </c>
    </row>
    <row r="135" spans="1:39" outlineLevel="1" x14ac:dyDescent="0.2">
      <c r="B135" s="30" t="s">
        <v>544</v>
      </c>
      <c r="D135" s="261"/>
      <c r="E135" s="260">
        <f t="shared" ref="E135:AM135" si="35">E124</f>
        <v>0</v>
      </c>
      <c r="F135" s="260">
        <f t="shared" si="35"/>
        <v>0</v>
      </c>
      <c r="G135" s="260">
        <f t="shared" si="35"/>
        <v>0</v>
      </c>
      <c r="H135" s="260">
        <f t="shared" si="35"/>
        <v>0</v>
      </c>
      <c r="I135" s="260">
        <f t="shared" si="35"/>
        <v>0</v>
      </c>
      <c r="J135" s="260">
        <f t="shared" si="35"/>
        <v>0</v>
      </c>
      <c r="K135" s="260">
        <f t="shared" si="35"/>
        <v>0</v>
      </c>
      <c r="L135" s="260">
        <f t="shared" si="35"/>
        <v>0</v>
      </c>
      <c r="M135" s="260">
        <f t="shared" si="35"/>
        <v>0</v>
      </c>
      <c r="N135" s="260">
        <f t="shared" si="35"/>
        <v>0</v>
      </c>
      <c r="O135" s="260">
        <f t="shared" si="35"/>
        <v>0</v>
      </c>
      <c r="P135" s="260">
        <f t="shared" si="35"/>
        <v>0</v>
      </c>
      <c r="Q135" s="260">
        <f t="shared" si="35"/>
        <v>0</v>
      </c>
      <c r="R135" s="260">
        <f t="shared" si="35"/>
        <v>0</v>
      </c>
      <c r="S135" s="260">
        <f t="shared" si="35"/>
        <v>0</v>
      </c>
      <c r="T135" s="260">
        <f t="shared" si="35"/>
        <v>0</v>
      </c>
      <c r="U135" s="260">
        <f t="shared" si="35"/>
        <v>0</v>
      </c>
      <c r="V135" s="260">
        <f t="shared" si="35"/>
        <v>0</v>
      </c>
      <c r="W135" s="260">
        <f t="shared" si="35"/>
        <v>0</v>
      </c>
      <c r="X135" s="260">
        <f t="shared" si="35"/>
        <v>0</v>
      </c>
      <c r="Y135" s="260">
        <f t="shared" si="35"/>
        <v>0</v>
      </c>
      <c r="Z135" s="260">
        <f t="shared" si="35"/>
        <v>0</v>
      </c>
      <c r="AA135" s="260">
        <f t="shared" si="35"/>
        <v>0</v>
      </c>
      <c r="AB135" s="260">
        <f t="shared" si="35"/>
        <v>0</v>
      </c>
      <c r="AC135" s="260">
        <f t="shared" si="35"/>
        <v>0</v>
      </c>
      <c r="AD135" s="260">
        <f t="shared" si="35"/>
        <v>0</v>
      </c>
      <c r="AE135" s="260">
        <f t="shared" si="35"/>
        <v>0</v>
      </c>
      <c r="AF135" s="260">
        <f t="shared" si="35"/>
        <v>0</v>
      </c>
      <c r="AG135" s="260">
        <f t="shared" si="35"/>
        <v>0</v>
      </c>
      <c r="AH135" s="260">
        <f t="shared" si="35"/>
        <v>0</v>
      </c>
      <c r="AI135" s="260">
        <f t="shared" si="35"/>
        <v>0</v>
      </c>
      <c r="AJ135" s="260">
        <f t="shared" si="35"/>
        <v>0</v>
      </c>
      <c r="AK135" s="260">
        <f t="shared" si="35"/>
        <v>0</v>
      </c>
      <c r="AL135" s="260">
        <f t="shared" si="35"/>
        <v>0</v>
      </c>
      <c r="AM135" s="260">
        <f t="shared" si="35"/>
        <v>0</v>
      </c>
    </row>
    <row r="136" spans="1:39" outlineLevel="1" x14ac:dyDescent="0.2">
      <c r="B136" s="30" t="s">
        <v>543</v>
      </c>
      <c r="D136" s="259"/>
      <c r="E136" s="258">
        <f t="shared" ref="E136:AM136" si="36">E99</f>
        <v>0</v>
      </c>
      <c r="F136" s="258">
        <f t="shared" si="36"/>
        <v>0</v>
      </c>
      <c r="G136" s="258">
        <f t="shared" si="36"/>
        <v>0</v>
      </c>
      <c r="H136" s="258">
        <f t="shared" si="36"/>
        <v>0</v>
      </c>
      <c r="I136" s="258">
        <f t="shared" si="36"/>
        <v>0</v>
      </c>
      <c r="J136" s="258">
        <f t="shared" si="36"/>
        <v>0</v>
      </c>
      <c r="K136" s="258">
        <f t="shared" si="36"/>
        <v>0</v>
      </c>
      <c r="L136" s="258">
        <f t="shared" si="36"/>
        <v>0</v>
      </c>
      <c r="M136" s="258">
        <f t="shared" si="36"/>
        <v>0</v>
      </c>
      <c r="N136" s="258">
        <f t="shared" si="36"/>
        <v>0</v>
      </c>
      <c r="O136" s="258">
        <f t="shared" si="36"/>
        <v>0</v>
      </c>
      <c r="P136" s="258">
        <f t="shared" si="36"/>
        <v>0</v>
      </c>
      <c r="Q136" s="258">
        <f t="shared" si="36"/>
        <v>0</v>
      </c>
      <c r="R136" s="258">
        <f t="shared" si="36"/>
        <v>0</v>
      </c>
      <c r="S136" s="258">
        <f t="shared" si="36"/>
        <v>0</v>
      </c>
      <c r="T136" s="258">
        <f t="shared" si="36"/>
        <v>0</v>
      </c>
      <c r="U136" s="258">
        <f t="shared" si="36"/>
        <v>0</v>
      </c>
      <c r="V136" s="258">
        <f t="shared" si="36"/>
        <v>0</v>
      </c>
      <c r="W136" s="258">
        <f t="shared" si="36"/>
        <v>0</v>
      </c>
      <c r="X136" s="258">
        <f t="shared" si="36"/>
        <v>0</v>
      </c>
      <c r="Y136" s="258">
        <f t="shared" si="36"/>
        <v>0</v>
      </c>
      <c r="Z136" s="258">
        <f t="shared" si="36"/>
        <v>0</v>
      </c>
      <c r="AA136" s="258">
        <f t="shared" si="36"/>
        <v>0</v>
      </c>
      <c r="AB136" s="258">
        <f t="shared" si="36"/>
        <v>0</v>
      </c>
      <c r="AC136" s="258">
        <f t="shared" si="36"/>
        <v>0</v>
      </c>
      <c r="AD136" s="258">
        <f t="shared" si="36"/>
        <v>0</v>
      </c>
      <c r="AE136" s="258">
        <f t="shared" si="36"/>
        <v>0</v>
      </c>
      <c r="AF136" s="258">
        <f t="shared" si="36"/>
        <v>0</v>
      </c>
      <c r="AG136" s="258">
        <f t="shared" si="36"/>
        <v>0</v>
      </c>
      <c r="AH136" s="258">
        <f t="shared" si="36"/>
        <v>0</v>
      </c>
      <c r="AI136" s="258">
        <f t="shared" si="36"/>
        <v>0</v>
      </c>
      <c r="AJ136" s="258">
        <f t="shared" si="36"/>
        <v>0</v>
      </c>
      <c r="AK136" s="258">
        <f t="shared" si="36"/>
        <v>0</v>
      </c>
      <c r="AL136" s="258">
        <f t="shared" si="36"/>
        <v>0</v>
      </c>
      <c r="AM136" s="258">
        <f t="shared" si="36"/>
        <v>0</v>
      </c>
    </row>
    <row r="137" spans="1:39" outlineLevel="1" x14ac:dyDescent="0.2">
      <c r="B137" s="30" t="s">
        <v>542</v>
      </c>
      <c r="D137" s="259"/>
      <c r="E137" s="258">
        <f t="shared" ref="E137:AM137" si="37">E120</f>
        <v>0</v>
      </c>
      <c r="F137" s="258">
        <f t="shared" si="37"/>
        <v>0</v>
      </c>
      <c r="G137" s="258">
        <f t="shared" si="37"/>
        <v>0</v>
      </c>
      <c r="H137" s="258">
        <f t="shared" si="37"/>
        <v>0</v>
      </c>
      <c r="I137" s="258">
        <f t="shared" si="37"/>
        <v>0</v>
      </c>
      <c r="J137" s="258">
        <f t="shared" si="37"/>
        <v>0</v>
      </c>
      <c r="K137" s="258">
        <f t="shared" si="37"/>
        <v>0</v>
      </c>
      <c r="L137" s="258">
        <f t="shared" si="37"/>
        <v>0</v>
      </c>
      <c r="M137" s="258">
        <f t="shared" si="37"/>
        <v>0</v>
      </c>
      <c r="N137" s="258">
        <f t="shared" si="37"/>
        <v>0</v>
      </c>
      <c r="O137" s="258">
        <f t="shared" si="37"/>
        <v>0</v>
      </c>
      <c r="P137" s="258">
        <f t="shared" si="37"/>
        <v>0</v>
      </c>
      <c r="Q137" s="258">
        <f t="shared" si="37"/>
        <v>0</v>
      </c>
      <c r="R137" s="258">
        <f t="shared" si="37"/>
        <v>0</v>
      </c>
      <c r="S137" s="258">
        <f t="shared" si="37"/>
        <v>0</v>
      </c>
      <c r="T137" s="258">
        <f t="shared" si="37"/>
        <v>0</v>
      </c>
      <c r="U137" s="258">
        <f t="shared" si="37"/>
        <v>0</v>
      </c>
      <c r="V137" s="258">
        <f t="shared" si="37"/>
        <v>0</v>
      </c>
      <c r="W137" s="258">
        <f t="shared" si="37"/>
        <v>0</v>
      </c>
      <c r="X137" s="258">
        <f t="shared" si="37"/>
        <v>0</v>
      </c>
      <c r="Y137" s="258">
        <f t="shared" si="37"/>
        <v>0</v>
      </c>
      <c r="Z137" s="258">
        <f t="shared" si="37"/>
        <v>0</v>
      </c>
      <c r="AA137" s="258">
        <f t="shared" si="37"/>
        <v>0</v>
      </c>
      <c r="AB137" s="258">
        <f t="shared" si="37"/>
        <v>0</v>
      </c>
      <c r="AC137" s="258">
        <f t="shared" si="37"/>
        <v>0</v>
      </c>
      <c r="AD137" s="258">
        <f t="shared" si="37"/>
        <v>0</v>
      </c>
      <c r="AE137" s="258">
        <f t="shared" si="37"/>
        <v>0</v>
      </c>
      <c r="AF137" s="258">
        <f t="shared" si="37"/>
        <v>0</v>
      </c>
      <c r="AG137" s="258">
        <f t="shared" si="37"/>
        <v>0</v>
      </c>
      <c r="AH137" s="258">
        <f t="shared" si="37"/>
        <v>0</v>
      </c>
      <c r="AI137" s="258">
        <f t="shared" si="37"/>
        <v>0</v>
      </c>
      <c r="AJ137" s="258">
        <f t="shared" si="37"/>
        <v>0</v>
      </c>
      <c r="AK137" s="258">
        <f t="shared" si="37"/>
        <v>0</v>
      </c>
      <c r="AL137" s="258">
        <f t="shared" si="37"/>
        <v>0</v>
      </c>
      <c r="AM137" s="258">
        <f t="shared" si="37"/>
        <v>0</v>
      </c>
    </row>
    <row r="138" spans="1:39" outlineLevel="1" x14ac:dyDescent="0.2">
      <c r="B138" s="80" t="s">
        <v>541</v>
      </c>
      <c r="D138" s="257"/>
      <c r="E138" s="256">
        <f t="shared" ref="E138:AM138" si="38">SUM(E135:E137)</f>
        <v>0</v>
      </c>
      <c r="F138" s="256">
        <f t="shared" si="38"/>
        <v>0</v>
      </c>
      <c r="G138" s="256">
        <f t="shared" si="38"/>
        <v>0</v>
      </c>
      <c r="H138" s="256">
        <f t="shared" si="38"/>
        <v>0</v>
      </c>
      <c r="I138" s="256">
        <f t="shared" si="38"/>
        <v>0</v>
      </c>
      <c r="J138" s="256">
        <f t="shared" si="38"/>
        <v>0</v>
      </c>
      <c r="K138" s="256">
        <f t="shared" si="38"/>
        <v>0</v>
      </c>
      <c r="L138" s="256">
        <f t="shared" si="38"/>
        <v>0</v>
      </c>
      <c r="M138" s="256">
        <f t="shared" si="38"/>
        <v>0</v>
      </c>
      <c r="N138" s="256">
        <f t="shared" si="38"/>
        <v>0</v>
      </c>
      <c r="O138" s="256">
        <f t="shared" si="38"/>
        <v>0</v>
      </c>
      <c r="P138" s="256">
        <f t="shared" si="38"/>
        <v>0</v>
      </c>
      <c r="Q138" s="256">
        <f t="shared" si="38"/>
        <v>0</v>
      </c>
      <c r="R138" s="256">
        <f t="shared" si="38"/>
        <v>0</v>
      </c>
      <c r="S138" s="256">
        <f t="shared" si="38"/>
        <v>0</v>
      </c>
      <c r="T138" s="256">
        <f t="shared" si="38"/>
        <v>0</v>
      </c>
      <c r="U138" s="256">
        <f t="shared" si="38"/>
        <v>0</v>
      </c>
      <c r="V138" s="256">
        <f t="shared" si="38"/>
        <v>0</v>
      </c>
      <c r="W138" s="256">
        <f t="shared" si="38"/>
        <v>0</v>
      </c>
      <c r="X138" s="256">
        <f t="shared" si="38"/>
        <v>0</v>
      </c>
      <c r="Y138" s="256">
        <f t="shared" si="38"/>
        <v>0</v>
      </c>
      <c r="Z138" s="256">
        <f t="shared" si="38"/>
        <v>0</v>
      </c>
      <c r="AA138" s="256">
        <f t="shared" si="38"/>
        <v>0</v>
      </c>
      <c r="AB138" s="256">
        <f t="shared" si="38"/>
        <v>0</v>
      </c>
      <c r="AC138" s="256">
        <f t="shared" si="38"/>
        <v>0</v>
      </c>
      <c r="AD138" s="256">
        <f t="shared" si="38"/>
        <v>0</v>
      </c>
      <c r="AE138" s="256">
        <f t="shared" si="38"/>
        <v>0</v>
      </c>
      <c r="AF138" s="256">
        <f t="shared" si="38"/>
        <v>0</v>
      </c>
      <c r="AG138" s="256">
        <f t="shared" si="38"/>
        <v>0</v>
      </c>
      <c r="AH138" s="256">
        <f t="shared" si="38"/>
        <v>0</v>
      </c>
      <c r="AI138" s="256">
        <f t="shared" si="38"/>
        <v>0</v>
      </c>
      <c r="AJ138" s="256">
        <f t="shared" si="38"/>
        <v>0</v>
      </c>
      <c r="AK138" s="256">
        <f t="shared" si="38"/>
        <v>0</v>
      </c>
      <c r="AL138" s="256">
        <f t="shared" si="38"/>
        <v>0</v>
      </c>
      <c r="AM138" s="256">
        <f t="shared" si="38"/>
        <v>0</v>
      </c>
    </row>
    <row r="139" spans="1:39" outlineLevel="1" x14ac:dyDescent="0.2"/>
    <row r="140" spans="1:39" outlineLevel="1" x14ac:dyDescent="0.2">
      <c r="B140" s="80" t="s">
        <v>540</v>
      </c>
    </row>
    <row r="141" spans="1:39" outlineLevel="1" x14ac:dyDescent="0.2">
      <c r="B141" s="30" t="s">
        <v>539</v>
      </c>
      <c r="D141" s="255"/>
      <c r="E141" s="254">
        <f t="shared" ref="E141:AM141" si="39">E142+D143</f>
        <v>0</v>
      </c>
      <c r="F141" s="254">
        <f t="shared" si="39"/>
        <v>0</v>
      </c>
      <c r="G141" s="254">
        <f t="shared" si="39"/>
        <v>0</v>
      </c>
      <c r="H141" s="254">
        <f t="shared" si="39"/>
        <v>0</v>
      </c>
      <c r="I141" s="254">
        <f t="shared" si="39"/>
        <v>0</v>
      </c>
      <c r="J141" s="254">
        <f t="shared" si="39"/>
        <v>0</v>
      </c>
      <c r="K141" s="254">
        <f t="shared" si="39"/>
        <v>0</v>
      </c>
      <c r="L141" s="254">
        <f t="shared" si="39"/>
        <v>0</v>
      </c>
      <c r="M141" s="254">
        <f t="shared" si="39"/>
        <v>0</v>
      </c>
      <c r="N141" s="254">
        <f t="shared" si="39"/>
        <v>0</v>
      </c>
      <c r="O141" s="254">
        <f t="shared" si="39"/>
        <v>0</v>
      </c>
      <c r="P141" s="254">
        <f t="shared" si="39"/>
        <v>0</v>
      </c>
      <c r="Q141" s="254">
        <f t="shared" si="39"/>
        <v>0</v>
      </c>
      <c r="R141" s="254">
        <f t="shared" si="39"/>
        <v>0</v>
      </c>
      <c r="S141" s="254">
        <f t="shared" si="39"/>
        <v>0</v>
      </c>
      <c r="T141" s="254">
        <f t="shared" si="39"/>
        <v>0</v>
      </c>
      <c r="U141" s="254">
        <f t="shared" si="39"/>
        <v>0</v>
      </c>
      <c r="V141" s="254">
        <f t="shared" si="39"/>
        <v>0</v>
      </c>
      <c r="W141" s="254">
        <f t="shared" si="39"/>
        <v>0</v>
      </c>
      <c r="X141" s="254">
        <f t="shared" si="39"/>
        <v>0</v>
      </c>
      <c r="Y141" s="254">
        <f t="shared" si="39"/>
        <v>0</v>
      </c>
      <c r="Z141" s="254">
        <f t="shared" si="39"/>
        <v>0</v>
      </c>
      <c r="AA141" s="254">
        <f t="shared" si="39"/>
        <v>0</v>
      </c>
      <c r="AB141" s="254">
        <f t="shared" si="39"/>
        <v>0</v>
      </c>
      <c r="AC141" s="254">
        <f t="shared" si="39"/>
        <v>0</v>
      </c>
      <c r="AD141" s="254">
        <f t="shared" si="39"/>
        <v>0</v>
      </c>
      <c r="AE141" s="254">
        <f t="shared" si="39"/>
        <v>0</v>
      </c>
      <c r="AF141" s="254">
        <f t="shared" si="39"/>
        <v>0</v>
      </c>
      <c r="AG141" s="254">
        <f t="shared" si="39"/>
        <v>0</v>
      </c>
      <c r="AH141" s="254">
        <f t="shared" si="39"/>
        <v>0</v>
      </c>
      <c r="AI141" s="254">
        <f t="shared" si="39"/>
        <v>0</v>
      </c>
      <c r="AJ141" s="254">
        <f t="shared" si="39"/>
        <v>0</v>
      </c>
      <c r="AK141" s="254">
        <f t="shared" si="39"/>
        <v>0</v>
      </c>
      <c r="AL141" s="254">
        <f t="shared" si="39"/>
        <v>0</v>
      </c>
      <c r="AM141" s="254">
        <f t="shared" si="39"/>
        <v>0</v>
      </c>
    </row>
    <row r="142" spans="1:39" outlineLevel="1" x14ac:dyDescent="0.2">
      <c r="B142" s="30" t="s">
        <v>538</v>
      </c>
      <c r="D142" s="250"/>
      <c r="E142" s="249">
        <f t="shared" ref="E142:AM142" si="40">E129+E132-E138</f>
        <v>0</v>
      </c>
      <c r="F142" s="249">
        <f t="shared" si="40"/>
        <v>0</v>
      </c>
      <c r="G142" s="249">
        <f t="shared" si="40"/>
        <v>0</v>
      </c>
      <c r="H142" s="249">
        <f t="shared" si="40"/>
        <v>0</v>
      </c>
      <c r="I142" s="249">
        <f t="shared" si="40"/>
        <v>0</v>
      </c>
      <c r="J142" s="249">
        <f t="shared" si="40"/>
        <v>0</v>
      </c>
      <c r="K142" s="249">
        <f t="shared" si="40"/>
        <v>0</v>
      </c>
      <c r="L142" s="249">
        <f t="shared" si="40"/>
        <v>0</v>
      </c>
      <c r="M142" s="249">
        <f t="shared" si="40"/>
        <v>0</v>
      </c>
      <c r="N142" s="249">
        <f t="shared" si="40"/>
        <v>0</v>
      </c>
      <c r="O142" s="249">
        <f t="shared" si="40"/>
        <v>0</v>
      </c>
      <c r="P142" s="249">
        <f t="shared" si="40"/>
        <v>0</v>
      </c>
      <c r="Q142" s="249">
        <f t="shared" si="40"/>
        <v>0</v>
      </c>
      <c r="R142" s="249">
        <f t="shared" si="40"/>
        <v>0</v>
      </c>
      <c r="S142" s="249">
        <f t="shared" si="40"/>
        <v>0</v>
      </c>
      <c r="T142" s="249">
        <f t="shared" si="40"/>
        <v>0</v>
      </c>
      <c r="U142" s="249">
        <f t="shared" si="40"/>
        <v>0</v>
      </c>
      <c r="V142" s="249">
        <f t="shared" si="40"/>
        <v>0</v>
      </c>
      <c r="W142" s="249">
        <f t="shared" si="40"/>
        <v>0</v>
      </c>
      <c r="X142" s="249">
        <f t="shared" si="40"/>
        <v>0</v>
      </c>
      <c r="Y142" s="249">
        <f t="shared" si="40"/>
        <v>0</v>
      </c>
      <c r="Z142" s="249">
        <f t="shared" si="40"/>
        <v>0</v>
      </c>
      <c r="AA142" s="249">
        <f t="shared" si="40"/>
        <v>0</v>
      </c>
      <c r="AB142" s="249">
        <f t="shared" si="40"/>
        <v>0</v>
      </c>
      <c r="AC142" s="249">
        <f t="shared" si="40"/>
        <v>0</v>
      </c>
      <c r="AD142" s="249">
        <f t="shared" si="40"/>
        <v>0</v>
      </c>
      <c r="AE142" s="249">
        <f t="shared" si="40"/>
        <v>0</v>
      </c>
      <c r="AF142" s="249">
        <f t="shared" si="40"/>
        <v>0</v>
      </c>
      <c r="AG142" s="249">
        <f t="shared" si="40"/>
        <v>0</v>
      </c>
      <c r="AH142" s="249">
        <f t="shared" si="40"/>
        <v>0</v>
      </c>
      <c r="AI142" s="249">
        <f t="shared" si="40"/>
        <v>0</v>
      </c>
      <c r="AJ142" s="249">
        <f t="shared" si="40"/>
        <v>0</v>
      </c>
      <c r="AK142" s="249">
        <f t="shared" si="40"/>
        <v>0</v>
      </c>
      <c r="AL142" s="249">
        <f t="shared" si="40"/>
        <v>0</v>
      </c>
      <c r="AM142" s="249">
        <f t="shared" si="40"/>
        <v>0</v>
      </c>
    </row>
    <row r="143" spans="1:39" outlineLevel="1" x14ac:dyDescent="0.2">
      <c r="B143" s="30" t="s">
        <v>537</v>
      </c>
      <c r="D143" s="250">
        <v>0</v>
      </c>
      <c r="E143" s="252">
        <v>0</v>
      </c>
      <c r="F143" s="252">
        <v>0</v>
      </c>
      <c r="G143" s="252">
        <v>0</v>
      </c>
      <c r="H143" s="252">
        <v>0</v>
      </c>
      <c r="I143" s="252">
        <v>0</v>
      </c>
      <c r="J143" s="252">
        <v>0</v>
      </c>
      <c r="K143" s="252">
        <v>0</v>
      </c>
      <c r="L143" s="252">
        <v>0</v>
      </c>
      <c r="M143" s="252">
        <v>0</v>
      </c>
      <c r="N143" s="252">
        <v>0</v>
      </c>
      <c r="O143" s="252">
        <v>0</v>
      </c>
      <c r="P143" s="252">
        <v>0</v>
      </c>
      <c r="Q143" s="252">
        <v>0</v>
      </c>
      <c r="R143" s="252">
        <v>0</v>
      </c>
      <c r="S143" s="252">
        <v>0</v>
      </c>
      <c r="T143" s="252">
        <v>0</v>
      </c>
      <c r="U143" s="252">
        <v>0</v>
      </c>
      <c r="V143" s="252">
        <v>0</v>
      </c>
      <c r="W143" s="252">
        <v>0</v>
      </c>
      <c r="X143" s="252">
        <v>0</v>
      </c>
      <c r="Y143" s="252">
        <v>0</v>
      </c>
      <c r="Z143" s="252">
        <v>0</v>
      </c>
      <c r="AA143" s="252">
        <v>0</v>
      </c>
      <c r="AB143" s="252">
        <v>0</v>
      </c>
      <c r="AC143" s="252">
        <v>0</v>
      </c>
      <c r="AD143" s="252">
        <v>0</v>
      </c>
      <c r="AE143" s="252">
        <v>0</v>
      </c>
      <c r="AF143" s="252">
        <v>0</v>
      </c>
      <c r="AG143" s="252">
        <v>0</v>
      </c>
      <c r="AH143" s="252">
        <v>0</v>
      </c>
      <c r="AI143" s="252">
        <v>0</v>
      </c>
      <c r="AJ143" s="252">
        <v>0</v>
      </c>
      <c r="AK143" s="252">
        <v>0</v>
      </c>
      <c r="AL143" s="252">
        <v>0</v>
      </c>
      <c r="AM143" s="252">
        <v>0</v>
      </c>
    </row>
    <row r="144" spans="1:39" ht="15" outlineLevel="1" x14ac:dyDescent="0.3">
      <c r="A144" s="58"/>
      <c r="B144" s="80" t="s">
        <v>536</v>
      </c>
      <c r="C144" s="253">
        <f>Tax_Rate</f>
        <v>0.3</v>
      </c>
      <c r="D144" s="250"/>
      <c r="E144" s="252">
        <f t="shared" ref="E144:AM144" si="41">$C$144*E141</f>
        <v>0</v>
      </c>
      <c r="F144" s="252">
        <f t="shared" si="41"/>
        <v>0</v>
      </c>
      <c r="G144" s="252">
        <f t="shared" si="41"/>
        <v>0</v>
      </c>
      <c r="H144" s="252">
        <f t="shared" si="41"/>
        <v>0</v>
      </c>
      <c r="I144" s="252">
        <f t="shared" si="41"/>
        <v>0</v>
      </c>
      <c r="J144" s="252">
        <f t="shared" si="41"/>
        <v>0</v>
      </c>
      <c r="K144" s="252">
        <f t="shared" si="41"/>
        <v>0</v>
      </c>
      <c r="L144" s="252">
        <f t="shared" si="41"/>
        <v>0</v>
      </c>
      <c r="M144" s="252">
        <f t="shared" si="41"/>
        <v>0</v>
      </c>
      <c r="N144" s="252">
        <f t="shared" si="41"/>
        <v>0</v>
      </c>
      <c r="O144" s="252">
        <f t="shared" si="41"/>
        <v>0</v>
      </c>
      <c r="P144" s="252">
        <f t="shared" si="41"/>
        <v>0</v>
      </c>
      <c r="Q144" s="252">
        <f t="shared" si="41"/>
        <v>0</v>
      </c>
      <c r="R144" s="252">
        <f t="shared" si="41"/>
        <v>0</v>
      </c>
      <c r="S144" s="252">
        <f t="shared" si="41"/>
        <v>0</v>
      </c>
      <c r="T144" s="252">
        <f t="shared" si="41"/>
        <v>0</v>
      </c>
      <c r="U144" s="252">
        <f t="shared" si="41"/>
        <v>0</v>
      </c>
      <c r="V144" s="252">
        <f t="shared" si="41"/>
        <v>0</v>
      </c>
      <c r="W144" s="252">
        <f t="shared" si="41"/>
        <v>0</v>
      </c>
      <c r="X144" s="252">
        <f t="shared" si="41"/>
        <v>0</v>
      </c>
      <c r="Y144" s="252">
        <f t="shared" si="41"/>
        <v>0</v>
      </c>
      <c r="Z144" s="252">
        <f t="shared" si="41"/>
        <v>0</v>
      </c>
      <c r="AA144" s="252">
        <f t="shared" si="41"/>
        <v>0</v>
      </c>
      <c r="AB144" s="252">
        <f t="shared" si="41"/>
        <v>0</v>
      </c>
      <c r="AC144" s="252">
        <f t="shared" si="41"/>
        <v>0</v>
      </c>
      <c r="AD144" s="252">
        <f t="shared" si="41"/>
        <v>0</v>
      </c>
      <c r="AE144" s="252">
        <f t="shared" si="41"/>
        <v>0</v>
      </c>
      <c r="AF144" s="252">
        <f t="shared" si="41"/>
        <v>0</v>
      </c>
      <c r="AG144" s="252">
        <f t="shared" si="41"/>
        <v>0</v>
      </c>
      <c r="AH144" s="252">
        <f t="shared" si="41"/>
        <v>0</v>
      </c>
      <c r="AI144" s="252">
        <f t="shared" si="41"/>
        <v>0</v>
      </c>
      <c r="AJ144" s="252">
        <f t="shared" si="41"/>
        <v>0</v>
      </c>
      <c r="AK144" s="252">
        <f t="shared" si="41"/>
        <v>0</v>
      </c>
      <c r="AL144" s="252">
        <f t="shared" si="41"/>
        <v>0</v>
      </c>
      <c r="AM144" s="252">
        <f t="shared" si="41"/>
        <v>0</v>
      </c>
    </row>
    <row r="145" spans="1:39" ht="15" outlineLevel="1" x14ac:dyDescent="0.3">
      <c r="A145" s="58"/>
      <c r="B145" s="30" t="s">
        <v>535</v>
      </c>
      <c r="C145" s="251">
        <f>G42</f>
        <v>0.58499999999999996</v>
      </c>
      <c r="D145" s="250"/>
      <c r="E145" s="249">
        <f t="shared" ref="E145:AM145" si="42">E144*$C$145</f>
        <v>0</v>
      </c>
      <c r="F145" s="249">
        <f t="shared" si="42"/>
        <v>0</v>
      </c>
      <c r="G145" s="249">
        <f t="shared" si="42"/>
        <v>0</v>
      </c>
      <c r="H145" s="249">
        <f t="shared" si="42"/>
        <v>0</v>
      </c>
      <c r="I145" s="249">
        <f t="shared" si="42"/>
        <v>0</v>
      </c>
      <c r="J145" s="249">
        <f t="shared" si="42"/>
        <v>0</v>
      </c>
      <c r="K145" s="249">
        <f t="shared" si="42"/>
        <v>0</v>
      </c>
      <c r="L145" s="249">
        <f t="shared" si="42"/>
        <v>0</v>
      </c>
      <c r="M145" s="249">
        <f t="shared" si="42"/>
        <v>0</v>
      </c>
      <c r="N145" s="249">
        <f t="shared" si="42"/>
        <v>0</v>
      </c>
      <c r="O145" s="249">
        <f t="shared" si="42"/>
        <v>0</v>
      </c>
      <c r="P145" s="249">
        <f t="shared" si="42"/>
        <v>0</v>
      </c>
      <c r="Q145" s="249">
        <f t="shared" si="42"/>
        <v>0</v>
      </c>
      <c r="R145" s="249">
        <f t="shared" si="42"/>
        <v>0</v>
      </c>
      <c r="S145" s="249">
        <f t="shared" si="42"/>
        <v>0</v>
      </c>
      <c r="T145" s="249">
        <f t="shared" si="42"/>
        <v>0</v>
      </c>
      <c r="U145" s="249">
        <f t="shared" si="42"/>
        <v>0</v>
      </c>
      <c r="V145" s="249">
        <f t="shared" si="42"/>
        <v>0</v>
      </c>
      <c r="W145" s="249">
        <f t="shared" si="42"/>
        <v>0</v>
      </c>
      <c r="X145" s="249">
        <f t="shared" si="42"/>
        <v>0</v>
      </c>
      <c r="Y145" s="249">
        <f t="shared" si="42"/>
        <v>0</v>
      </c>
      <c r="Z145" s="249">
        <f t="shared" si="42"/>
        <v>0</v>
      </c>
      <c r="AA145" s="249">
        <f t="shared" si="42"/>
        <v>0</v>
      </c>
      <c r="AB145" s="249">
        <f t="shared" si="42"/>
        <v>0</v>
      </c>
      <c r="AC145" s="249">
        <f t="shared" si="42"/>
        <v>0</v>
      </c>
      <c r="AD145" s="249">
        <f t="shared" si="42"/>
        <v>0</v>
      </c>
      <c r="AE145" s="249">
        <f t="shared" si="42"/>
        <v>0</v>
      </c>
      <c r="AF145" s="249">
        <f t="shared" si="42"/>
        <v>0</v>
      </c>
      <c r="AG145" s="249">
        <f t="shared" si="42"/>
        <v>0</v>
      </c>
      <c r="AH145" s="249">
        <f t="shared" si="42"/>
        <v>0</v>
      </c>
      <c r="AI145" s="249">
        <f t="shared" si="42"/>
        <v>0</v>
      </c>
      <c r="AJ145" s="249">
        <f t="shared" si="42"/>
        <v>0</v>
      </c>
      <c r="AK145" s="249">
        <f t="shared" si="42"/>
        <v>0</v>
      </c>
      <c r="AL145" s="249">
        <f t="shared" si="42"/>
        <v>0</v>
      </c>
      <c r="AM145" s="249">
        <f t="shared" si="42"/>
        <v>0</v>
      </c>
    </row>
    <row r="146" spans="1:39" outlineLevel="1" x14ac:dyDescent="0.2"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6"/>
      <c r="X146" s="226"/>
      <c r="Y146" s="226"/>
      <c r="Z146" s="226"/>
      <c r="AA146" s="226"/>
      <c r="AB146" s="226"/>
      <c r="AC146" s="226"/>
      <c r="AD146" s="226"/>
      <c r="AE146" s="226"/>
      <c r="AF146" s="226"/>
      <c r="AG146" s="226"/>
      <c r="AH146" s="226"/>
      <c r="AI146" s="226"/>
      <c r="AJ146" s="226"/>
      <c r="AK146" s="226"/>
      <c r="AL146" s="226"/>
      <c r="AM146" s="226"/>
    </row>
    <row r="147" spans="1:39" outlineLevel="1" x14ac:dyDescent="0.2">
      <c r="C147" s="30" t="s">
        <v>534</v>
      </c>
      <c r="E147" s="248">
        <f t="shared" ref="E147:AM147" si="43">(E119+E120+E122+E124+E132-E138+D143)*$C$144/(1-(1-$C$127)*$C$144)</f>
        <v>0</v>
      </c>
      <c r="F147" s="248">
        <f t="shared" si="43"/>
        <v>0</v>
      </c>
      <c r="G147" s="248">
        <f t="shared" si="43"/>
        <v>0</v>
      </c>
      <c r="H147" s="248">
        <f t="shared" si="43"/>
        <v>0</v>
      </c>
      <c r="I147" s="248">
        <f t="shared" si="43"/>
        <v>0</v>
      </c>
      <c r="J147" s="248">
        <f t="shared" si="43"/>
        <v>0</v>
      </c>
      <c r="K147" s="248">
        <f t="shared" si="43"/>
        <v>0</v>
      </c>
      <c r="L147" s="248">
        <f t="shared" si="43"/>
        <v>0</v>
      </c>
      <c r="M147" s="248">
        <f t="shared" si="43"/>
        <v>0</v>
      </c>
      <c r="N147" s="248">
        <f t="shared" si="43"/>
        <v>0</v>
      </c>
      <c r="O147" s="248">
        <f t="shared" si="43"/>
        <v>0</v>
      </c>
      <c r="P147" s="248">
        <f t="shared" si="43"/>
        <v>0</v>
      </c>
      <c r="Q147" s="248">
        <f t="shared" si="43"/>
        <v>0</v>
      </c>
      <c r="R147" s="248">
        <f t="shared" si="43"/>
        <v>0</v>
      </c>
      <c r="S147" s="248">
        <f t="shared" si="43"/>
        <v>0</v>
      </c>
      <c r="T147" s="248">
        <f t="shared" si="43"/>
        <v>0</v>
      </c>
      <c r="U147" s="248">
        <f t="shared" si="43"/>
        <v>0</v>
      </c>
      <c r="V147" s="248">
        <f t="shared" si="43"/>
        <v>0</v>
      </c>
      <c r="W147" s="248">
        <f t="shared" si="43"/>
        <v>0</v>
      </c>
      <c r="X147" s="248">
        <f t="shared" si="43"/>
        <v>0</v>
      </c>
      <c r="Y147" s="248">
        <f t="shared" si="43"/>
        <v>0</v>
      </c>
      <c r="Z147" s="248">
        <f t="shared" si="43"/>
        <v>0</v>
      </c>
      <c r="AA147" s="248">
        <f t="shared" si="43"/>
        <v>0</v>
      </c>
      <c r="AB147" s="248">
        <f t="shared" si="43"/>
        <v>0</v>
      </c>
      <c r="AC147" s="248">
        <f t="shared" si="43"/>
        <v>0</v>
      </c>
      <c r="AD147" s="248">
        <f t="shared" si="43"/>
        <v>0</v>
      </c>
      <c r="AE147" s="248">
        <f t="shared" si="43"/>
        <v>0</v>
      </c>
      <c r="AF147" s="248">
        <f t="shared" si="43"/>
        <v>0</v>
      </c>
      <c r="AG147" s="248">
        <f t="shared" si="43"/>
        <v>0</v>
      </c>
      <c r="AH147" s="248">
        <f t="shared" si="43"/>
        <v>0</v>
      </c>
      <c r="AI147" s="248">
        <f t="shared" si="43"/>
        <v>0</v>
      </c>
      <c r="AJ147" s="248">
        <f t="shared" si="43"/>
        <v>0</v>
      </c>
      <c r="AK147" s="248">
        <f t="shared" si="43"/>
        <v>0</v>
      </c>
      <c r="AL147" s="248">
        <f t="shared" si="43"/>
        <v>0</v>
      </c>
      <c r="AM147" s="248">
        <f t="shared" si="43"/>
        <v>0</v>
      </c>
    </row>
    <row r="148" spans="1:39" outlineLevel="1" x14ac:dyDescent="0.2"/>
    <row r="149" spans="1:39" outlineLevel="1" x14ac:dyDescent="0.2"/>
    <row r="150" spans="1:39" outlineLevel="1" x14ac:dyDescent="0.2"/>
    <row r="151" spans="1:39" ht="18" outlineLevel="1" thickBot="1" x14ac:dyDescent="0.35">
      <c r="B151" s="247" t="s">
        <v>533</v>
      </c>
      <c r="C151" s="246"/>
      <c r="D151" s="246"/>
      <c r="E151" s="246"/>
      <c r="F151" s="246"/>
      <c r="G151" s="246"/>
      <c r="H151" s="246"/>
      <c r="I151" s="246"/>
      <c r="J151" s="246"/>
      <c r="K151" s="246"/>
      <c r="L151" s="246"/>
      <c r="M151" s="246"/>
      <c r="N151" s="246"/>
      <c r="O151" s="246"/>
      <c r="P151" s="245"/>
      <c r="Q151" s="245"/>
      <c r="R151" s="245"/>
      <c r="S151" s="245"/>
      <c r="T151" s="245"/>
      <c r="U151" s="245"/>
      <c r="V151" s="245"/>
      <c r="W151" s="245"/>
      <c r="X151" s="245"/>
      <c r="Y151" s="245"/>
      <c r="Z151" s="245"/>
      <c r="AA151" s="245"/>
      <c r="AB151" s="245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</row>
    <row r="152" spans="1:39" ht="17.25" outlineLevel="1" thickTop="1" thickBot="1" x14ac:dyDescent="0.3">
      <c r="B152" s="238" t="s">
        <v>532</v>
      </c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7"/>
      <c r="N152" s="237"/>
      <c r="O152" s="237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</row>
    <row r="153" spans="1:39" s="80" customFormat="1" ht="13.5" outlineLevel="1" thickTop="1" x14ac:dyDescent="0.2">
      <c r="B153" s="235" t="s">
        <v>530</v>
      </c>
      <c r="C153" s="235"/>
      <c r="D153" s="234"/>
      <c r="E153" s="234">
        <v>1</v>
      </c>
      <c r="F153" s="234">
        <v>2</v>
      </c>
      <c r="G153" s="234">
        <v>3</v>
      </c>
      <c r="H153" s="234">
        <v>4</v>
      </c>
      <c r="I153" s="234">
        <v>5</v>
      </c>
      <c r="J153" s="234">
        <v>6</v>
      </c>
      <c r="K153" s="234">
        <v>7</v>
      </c>
      <c r="L153" s="234">
        <v>8</v>
      </c>
      <c r="M153" s="234">
        <v>9</v>
      </c>
      <c r="N153" s="234">
        <v>10</v>
      </c>
      <c r="O153" s="234">
        <v>11</v>
      </c>
      <c r="P153" s="234">
        <v>12</v>
      </c>
      <c r="Q153" s="234">
        <v>13</v>
      </c>
      <c r="R153" s="234">
        <v>14</v>
      </c>
      <c r="S153" s="234">
        <v>15</v>
      </c>
      <c r="T153" s="234">
        <v>16</v>
      </c>
      <c r="U153" s="234">
        <v>17</v>
      </c>
      <c r="V153" s="234">
        <v>18</v>
      </c>
      <c r="W153" s="234">
        <v>19</v>
      </c>
      <c r="X153" s="234">
        <v>20</v>
      </c>
      <c r="Y153" s="234">
        <v>21</v>
      </c>
      <c r="Z153" s="234">
        <v>22</v>
      </c>
      <c r="AA153" s="234">
        <v>23</v>
      </c>
      <c r="AB153" s="234">
        <v>24</v>
      </c>
      <c r="AC153" s="234">
        <v>25</v>
      </c>
      <c r="AD153" s="234">
        <v>26</v>
      </c>
      <c r="AE153" s="234">
        <v>27</v>
      </c>
      <c r="AF153" s="234">
        <v>28</v>
      </c>
      <c r="AG153" s="234">
        <v>29</v>
      </c>
      <c r="AH153" s="234">
        <v>30</v>
      </c>
      <c r="AI153" s="234">
        <v>31</v>
      </c>
      <c r="AJ153" s="234">
        <v>32</v>
      </c>
      <c r="AK153" s="234">
        <v>33</v>
      </c>
      <c r="AL153" s="234">
        <v>34</v>
      </c>
      <c r="AM153" s="234">
        <v>35</v>
      </c>
    </row>
    <row r="154" spans="1:39" outlineLevel="1" x14ac:dyDescent="0.2"/>
    <row r="155" spans="1:39" outlineLevel="1" x14ac:dyDescent="0.2">
      <c r="B155" s="30" t="s">
        <v>529</v>
      </c>
      <c r="E155" s="242">
        <f t="shared" ref="E155:AM155" si="44">E119+E120</f>
        <v>0</v>
      </c>
      <c r="F155" s="242">
        <f t="shared" si="44"/>
        <v>0</v>
      </c>
      <c r="G155" s="242">
        <f t="shared" si="44"/>
        <v>0</v>
      </c>
      <c r="H155" s="242">
        <f t="shared" si="44"/>
        <v>0</v>
      </c>
      <c r="I155" s="242">
        <f t="shared" si="44"/>
        <v>0</v>
      </c>
      <c r="J155" s="242">
        <f t="shared" si="44"/>
        <v>0</v>
      </c>
      <c r="K155" s="241">
        <f t="shared" si="44"/>
        <v>0</v>
      </c>
      <c r="L155" s="241">
        <f t="shared" si="44"/>
        <v>0</v>
      </c>
      <c r="M155" s="241">
        <f t="shared" si="44"/>
        <v>0</v>
      </c>
      <c r="N155" s="241">
        <f t="shared" si="44"/>
        <v>0</v>
      </c>
      <c r="O155" s="241">
        <f t="shared" si="44"/>
        <v>0</v>
      </c>
      <c r="P155" s="241">
        <f t="shared" si="44"/>
        <v>0</v>
      </c>
      <c r="Q155" s="241">
        <f t="shared" si="44"/>
        <v>0</v>
      </c>
      <c r="R155" s="241">
        <f t="shared" si="44"/>
        <v>0</v>
      </c>
      <c r="S155" s="241">
        <f t="shared" si="44"/>
        <v>0</v>
      </c>
      <c r="T155" s="241">
        <f t="shared" si="44"/>
        <v>0</v>
      </c>
      <c r="U155" s="241">
        <f t="shared" si="44"/>
        <v>0</v>
      </c>
      <c r="V155" s="241">
        <f t="shared" si="44"/>
        <v>0</v>
      </c>
      <c r="W155" s="241">
        <f t="shared" si="44"/>
        <v>0</v>
      </c>
      <c r="X155" s="241">
        <f t="shared" si="44"/>
        <v>0</v>
      </c>
      <c r="Y155" s="241">
        <f t="shared" si="44"/>
        <v>0</v>
      </c>
      <c r="Z155" s="241">
        <f t="shared" si="44"/>
        <v>0</v>
      </c>
      <c r="AA155" s="241">
        <f t="shared" si="44"/>
        <v>0</v>
      </c>
      <c r="AB155" s="241">
        <f t="shared" si="44"/>
        <v>0</v>
      </c>
      <c r="AC155" s="241">
        <f t="shared" si="44"/>
        <v>0</v>
      </c>
      <c r="AD155" s="241">
        <f t="shared" si="44"/>
        <v>0</v>
      </c>
      <c r="AE155" s="241">
        <f t="shared" si="44"/>
        <v>0</v>
      </c>
      <c r="AF155" s="241">
        <f t="shared" si="44"/>
        <v>0</v>
      </c>
      <c r="AG155" s="241">
        <f t="shared" si="44"/>
        <v>0</v>
      </c>
      <c r="AH155" s="241">
        <f t="shared" si="44"/>
        <v>0</v>
      </c>
      <c r="AI155" s="241">
        <f t="shared" si="44"/>
        <v>0</v>
      </c>
      <c r="AJ155" s="241">
        <f t="shared" si="44"/>
        <v>0</v>
      </c>
      <c r="AK155" s="241">
        <f t="shared" si="44"/>
        <v>0</v>
      </c>
      <c r="AL155" s="241">
        <f t="shared" si="44"/>
        <v>0</v>
      </c>
      <c r="AM155" s="241">
        <f t="shared" si="44"/>
        <v>0</v>
      </c>
    </row>
    <row r="156" spans="1:39" outlineLevel="1" x14ac:dyDescent="0.2">
      <c r="B156" s="30" t="s">
        <v>528</v>
      </c>
      <c r="E156" s="242">
        <f t="shared" ref="E156:AM156" si="45">E122</f>
        <v>0</v>
      </c>
      <c r="F156" s="242">
        <f t="shared" si="45"/>
        <v>0</v>
      </c>
      <c r="G156" s="242">
        <f t="shared" si="45"/>
        <v>0</v>
      </c>
      <c r="H156" s="242">
        <f t="shared" si="45"/>
        <v>0</v>
      </c>
      <c r="I156" s="242">
        <f t="shared" si="45"/>
        <v>0</v>
      </c>
      <c r="J156" s="242">
        <f t="shared" si="45"/>
        <v>0</v>
      </c>
      <c r="K156" s="241">
        <f t="shared" si="45"/>
        <v>0</v>
      </c>
      <c r="L156" s="241">
        <f t="shared" si="45"/>
        <v>0</v>
      </c>
      <c r="M156" s="241">
        <f t="shared" si="45"/>
        <v>0</v>
      </c>
      <c r="N156" s="241">
        <f t="shared" si="45"/>
        <v>0</v>
      </c>
      <c r="O156" s="241">
        <f t="shared" si="45"/>
        <v>0</v>
      </c>
      <c r="P156" s="241">
        <f t="shared" si="45"/>
        <v>0</v>
      </c>
      <c r="Q156" s="241">
        <f t="shared" si="45"/>
        <v>0</v>
      </c>
      <c r="R156" s="241">
        <f t="shared" si="45"/>
        <v>0</v>
      </c>
      <c r="S156" s="241">
        <f t="shared" si="45"/>
        <v>0</v>
      </c>
      <c r="T156" s="241">
        <f t="shared" si="45"/>
        <v>0</v>
      </c>
      <c r="U156" s="241">
        <f t="shared" si="45"/>
        <v>0</v>
      </c>
      <c r="V156" s="241">
        <f t="shared" si="45"/>
        <v>0</v>
      </c>
      <c r="W156" s="241">
        <f t="shared" si="45"/>
        <v>0</v>
      </c>
      <c r="X156" s="241">
        <f t="shared" si="45"/>
        <v>0</v>
      </c>
      <c r="Y156" s="241">
        <f t="shared" si="45"/>
        <v>0</v>
      </c>
      <c r="Z156" s="241">
        <f t="shared" si="45"/>
        <v>0</v>
      </c>
      <c r="AA156" s="241">
        <f t="shared" si="45"/>
        <v>0</v>
      </c>
      <c r="AB156" s="241">
        <f t="shared" si="45"/>
        <v>0</v>
      </c>
      <c r="AC156" s="241">
        <f t="shared" si="45"/>
        <v>0</v>
      </c>
      <c r="AD156" s="241">
        <f t="shared" si="45"/>
        <v>0</v>
      </c>
      <c r="AE156" s="241">
        <f t="shared" si="45"/>
        <v>0</v>
      </c>
      <c r="AF156" s="241">
        <f t="shared" si="45"/>
        <v>0</v>
      </c>
      <c r="AG156" s="241">
        <f t="shared" si="45"/>
        <v>0</v>
      </c>
      <c r="AH156" s="241">
        <f t="shared" si="45"/>
        <v>0</v>
      </c>
      <c r="AI156" s="241">
        <f t="shared" si="45"/>
        <v>0</v>
      </c>
      <c r="AJ156" s="241">
        <f t="shared" si="45"/>
        <v>0</v>
      </c>
      <c r="AK156" s="241">
        <f t="shared" si="45"/>
        <v>0</v>
      </c>
      <c r="AL156" s="241">
        <f t="shared" si="45"/>
        <v>0</v>
      </c>
      <c r="AM156" s="241">
        <f t="shared" si="45"/>
        <v>0</v>
      </c>
    </row>
    <row r="157" spans="1:39" outlineLevel="1" x14ac:dyDescent="0.2">
      <c r="B157" s="30" t="s">
        <v>527</v>
      </c>
      <c r="E157" s="242">
        <f t="shared" ref="E157:AM157" si="46">E124</f>
        <v>0</v>
      </c>
      <c r="F157" s="242">
        <f t="shared" si="46"/>
        <v>0</v>
      </c>
      <c r="G157" s="242">
        <f t="shared" si="46"/>
        <v>0</v>
      </c>
      <c r="H157" s="242">
        <f t="shared" si="46"/>
        <v>0</v>
      </c>
      <c r="I157" s="242">
        <f t="shared" si="46"/>
        <v>0</v>
      </c>
      <c r="J157" s="242">
        <f t="shared" si="46"/>
        <v>0</v>
      </c>
      <c r="K157" s="241">
        <f t="shared" si="46"/>
        <v>0</v>
      </c>
      <c r="L157" s="241">
        <f t="shared" si="46"/>
        <v>0</v>
      </c>
      <c r="M157" s="241">
        <f t="shared" si="46"/>
        <v>0</v>
      </c>
      <c r="N157" s="241">
        <f t="shared" si="46"/>
        <v>0</v>
      </c>
      <c r="O157" s="241">
        <f t="shared" si="46"/>
        <v>0</v>
      </c>
      <c r="P157" s="241">
        <f t="shared" si="46"/>
        <v>0</v>
      </c>
      <c r="Q157" s="241">
        <f t="shared" si="46"/>
        <v>0</v>
      </c>
      <c r="R157" s="241">
        <f t="shared" si="46"/>
        <v>0</v>
      </c>
      <c r="S157" s="241">
        <f t="shared" si="46"/>
        <v>0</v>
      </c>
      <c r="T157" s="241">
        <f t="shared" si="46"/>
        <v>0</v>
      </c>
      <c r="U157" s="241">
        <f t="shared" si="46"/>
        <v>0</v>
      </c>
      <c r="V157" s="241">
        <f t="shared" si="46"/>
        <v>0</v>
      </c>
      <c r="W157" s="241">
        <f t="shared" si="46"/>
        <v>0</v>
      </c>
      <c r="X157" s="241">
        <f t="shared" si="46"/>
        <v>0</v>
      </c>
      <c r="Y157" s="241">
        <f t="shared" si="46"/>
        <v>0</v>
      </c>
      <c r="Z157" s="241">
        <f t="shared" si="46"/>
        <v>0</v>
      </c>
      <c r="AA157" s="241">
        <f t="shared" si="46"/>
        <v>0</v>
      </c>
      <c r="AB157" s="241">
        <f t="shared" si="46"/>
        <v>0</v>
      </c>
      <c r="AC157" s="241">
        <f t="shared" si="46"/>
        <v>0</v>
      </c>
      <c r="AD157" s="241">
        <f t="shared" si="46"/>
        <v>0</v>
      </c>
      <c r="AE157" s="241">
        <f t="shared" si="46"/>
        <v>0</v>
      </c>
      <c r="AF157" s="241">
        <f t="shared" si="46"/>
        <v>0</v>
      </c>
      <c r="AG157" s="241">
        <f t="shared" si="46"/>
        <v>0</v>
      </c>
      <c r="AH157" s="241">
        <f t="shared" si="46"/>
        <v>0</v>
      </c>
      <c r="AI157" s="241">
        <f t="shared" si="46"/>
        <v>0</v>
      </c>
      <c r="AJ157" s="241">
        <f t="shared" si="46"/>
        <v>0</v>
      </c>
      <c r="AK157" s="241">
        <f t="shared" si="46"/>
        <v>0</v>
      </c>
      <c r="AL157" s="241">
        <f t="shared" si="46"/>
        <v>0</v>
      </c>
      <c r="AM157" s="241">
        <f t="shared" si="46"/>
        <v>0</v>
      </c>
    </row>
    <row r="158" spans="1:39" outlineLevel="1" x14ac:dyDescent="0.2">
      <c r="B158" s="30" t="s">
        <v>526</v>
      </c>
      <c r="E158" s="244"/>
      <c r="F158" s="244"/>
      <c r="G158" s="244"/>
      <c r="H158" s="244"/>
      <c r="I158" s="244"/>
      <c r="J158" s="244"/>
      <c r="K158" s="243"/>
      <c r="L158" s="243"/>
      <c r="M158" s="243"/>
      <c r="N158" s="243"/>
      <c r="O158" s="243"/>
      <c r="P158" s="243"/>
      <c r="Q158" s="243"/>
      <c r="R158" s="243"/>
      <c r="S158" s="243"/>
      <c r="T158" s="243"/>
      <c r="U158" s="243"/>
      <c r="V158" s="243"/>
      <c r="W158" s="243"/>
      <c r="X158" s="243"/>
      <c r="Y158" s="243"/>
      <c r="Z158" s="243"/>
      <c r="AA158" s="243"/>
      <c r="AB158" s="243"/>
      <c r="AC158" s="243"/>
      <c r="AD158" s="243"/>
      <c r="AE158" s="243"/>
      <c r="AF158" s="243"/>
      <c r="AG158" s="243"/>
      <c r="AH158" s="243"/>
      <c r="AI158" s="243"/>
      <c r="AJ158" s="243"/>
      <c r="AK158" s="243"/>
      <c r="AL158" s="243"/>
      <c r="AM158" s="243"/>
    </row>
    <row r="159" spans="1:39" outlineLevel="1" x14ac:dyDescent="0.2">
      <c r="B159" s="30" t="s">
        <v>525</v>
      </c>
      <c r="E159" s="242">
        <f t="shared" ref="E159:AM159" si="47">E126+E127</f>
        <v>0</v>
      </c>
      <c r="F159" s="242">
        <f t="shared" si="47"/>
        <v>0</v>
      </c>
      <c r="G159" s="242">
        <f t="shared" si="47"/>
        <v>0</v>
      </c>
      <c r="H159" s="242">
        <f t="shared" si="47"/>
        <v>0</v>
      </c>
      <c r="I159" s="242">
        <f t="shared" si="47"/>
        <v>0</v>
      </c>
      <c r="J159" s="242">
        <f t="shared" si="47"/>
        <v>0</v>
      </c>
      <c r="K159" s="241">
        <f t="shared" si="47"/>
        <v>0</v>
      </c>
      <c r="L159" s="241">
        <f t="shared" si="47"/>
        <v>0</v>
      </c>
      <c r="M159" s="241">
        <f t="shared" si="47"/>
        <v>0</v>
      </c>
      <c r="N159" s="241">
        <f t="shared" si="47"/>
        <v>0</v>
      </c>
      <c r="O159" s="241">
        <f t="shared" si="47"/>
        <v>0</v>
      </c>
      <c r="P159" s="241">
        <f t="shared" si="47"/>
        <v>0</v>
      </c>
      <c r="Q159" s="241">
        <f t="shared" si="47"/>
        <v>0</v>
      </c>
      <c r="R159" s="241">
        <f t="shared" si="47"/>
        <v>0</v>
      </c>
      <c r="S159" s="241">
        <f t="shared" si="47"/>
        <v>0</v>
      </c>
      <c r="T159" s="241">
        <f t="shared" si="47"/>
        <v>0</v>
      </c>
      <c r="U159" s="241">
        <f t="shared" si="47"/>
        <v>0</v>
      </c>
      <c r="V159" s="241">
        <f t="shared" si="47"/>
        <v>0</v>
      </c>
      <c r="W159" s="241">
        <f t="shared" si="47"/>
        <v>0</v>
      </c>
      <c r="X159" s="241">
        <f t="shared" si="47"/>
        <v>0</v>
      </c>
      <c r="Y159" s="241">
        <f t="shared" si="47"/>
        <v>0</v>
      </c>
      <c r="Z159" s="241">
        <f t="shared" si="47"/>
        <v>0</v>
      </c>
      <c r="AA159" s="241">
        <f t="shared" si="47"/>
        <v>0</v>
      </c>
      <c r="AB159" s="241">
        <f t="shared" si="47"/>
        <v>0</v>
      </c>
      <c r="AC159" s="241">
        <f t="shared" si="47"/>
        <v>0</v>
      </c>
      <c r="AD159" s="241">
        <f t="shared" si="47"/>
        <v>0</v>
      </c>
      <c r="AE159" s="241">
        <f t="shared" si="47"/>
        <v>0</v>
      </c>
      <c r="AF159" s="241">
        <f t="shared" si="47"/>
        <v>0</v>
      </c>
      <c r="AG159" s="241">
        <f t="shared" si="47"/>
        <v>0</v>
      </c>
      <c r="AH159" s="241">
        <f t="shared" si="47"/>
        <v>0</v>
      </c>
      <c r="AI159" s="241">
        <f t="shared" si="47"/>
        <v>0</v>
      </c>
      <c r="AJ159" s="241">
        <f t="shared" si="47"/>
        <v>0</v>
      </c>
      <c r="AK159" s="241">
        <f t="shared" si="47"/>
        <v>0</v>
      </c>
      <c r="AL159" s="241">
        <f t="shared" si="47"/>
        <v>0</v>
      </c>
      <c r="AM159" s="241">
        <f t="shared" si="47"/>
        <v>0</v>
      </c>
    </row>
    <row r="160" spans="1:39" outlineLevel="1" x14ac:dyDescent="0.2">
      <c r="B160" s="80" t="s">
        <v>531</v>
      </c>
      <c r="E160" s="240">
        <f t="shared" ref="E160:AM160" si="48">SUM(E155:E159)</f>
        <v>0</v>
      </c>
      <c r="F160" s="240">
        <f t="shared" si="48"/>
        <v>0</v>
      </c>
      <c r="G160" s="240">
        <f t="shared" si="48"/>
        <v>0</v>
      </c>
      <c r="H160" s="240">
        <f t="shared" si="48"/>
        <v>0</v>
      </c>
      <c r="I160" s="240">
        <f t="shared" si="48"/>
        <v>0</v>
      </c>
      <c r="J160" s="240">
        <f t="shared" si="48"/>
        <v>0</v>
      </c>
      <c r="K160" s="239">
        <f t="shared" si="48"/>
        <v>0</v>
      </c>
      <c r="L160" s="239">
        <f t="shared" si="48"/>
        <v>0</v>
      </c>
      <c r="M160" s="239">
        <f t="shared" si="48"/>
        <v>0</v>
      </c>
      <c r="N160" s="239">
        <f t="shared" si="48"/>
        <v>0</v>
      </c>
      <c r="O160" s="239">
        <f t="shared" si="48"/>
        <v>0</v>
      </c>
      <c r="P160" s="239">
        <f t="shared" si="48"/>
        <v>0</v>
      </c>
      <c r="Q160" s="239">
        <f t="shared" si="48"/>
        <v>0</v>
      </c>
      <c r="R160" s="239">
        <f t="shared" si="48"/>
        <v>0</v>
      </c>
      <c r="S160" s="239">
        <f t="shared" si="48"/>
        <v>0</v>
      </c>
      <c r="T160" s="239">
        <f t="shared" si="48"/>
        <v>0</v>
      </c>
      <c r="U160" s="239">
        <f t="shared" si="48"/>
        <v>0</v>
      </c>
      <c r="V160" s="239">
        <f t="shared" si="48"/>
        <v>0</v>
      </c>
      <c r="W160" s="239">
        <f t="shared" si="48"/>
        <v>0</v>
      </c>
      <c r="X160" s="239">
        <f t="shared" si="48"/>
        <v>0</v>
      </c>
      <c r="Y160" s="239">
        <f t="shared" si="48"/>
        <v>0</v>
      </c>
      <c r="Z160" s="239">
        <f t="shared" si="48"/>
        <v>0</v>
      </c>
      <c r="AA160" s="239">
        <f t="shared" si="48"/>
        <v>0</v>
      </c>
      <c r="AB160" s="239">
        <f t="shared" si="48"/>
        <v>0</v>
      </c>
      <c r="AC160" s="239">
        <f t="shared" si="48"/>
        <v>0</v>
      </c>
      <c r="AD160" s="239">
        <f t="shared" si="48"/>
        <v>0</v>
      </c>
      <c r="AE160" s="239">
        <f t="shared" si="48"/>
        <v>0</v>
      </c>
      <c r="AF160" s="239">
        <f t="shared" si="48"/>
        <v>0</v>
      </c>
      <c r="AG160" s="239">
        <f t="shared" si="48"/>
        <v>0</v>
      </c>
      <c r="AH160" s="239">
        <f t="shared" si="48"/>
        <v>0</v>
      </c>
      <c r="AI160" s="239">
        <f t="shared" si="48"/>
        <v>0</v>
      </c>
      <c r="AJ160" s="239">
        <f t="shared" si="48"/>
        <v>0</v>
      </c>
      <c r="AK160" s="239">
        <f t="shared" si="48"/>
        <v>0</v>
      </c>
      <c r="AL160" s="239">
        <f t="shared" si="48"/>
        <v>0</v>
      </c>
      <c r="AM160" s="239">
        <f t="shared" si="48"/>
        <v>0</v>
      </c>
    </row>
    <row r="161" spans="1:39" outlineLevel="1" x14ac:dyDescent="0.2"/>
    <row r="162" spans="1:39" ht="16.5" outlineLevel="1" thickBot="1" x14ac:dyDescent="0.3">
      <c r="B162" s="238" t="s">
        <v>1061</v>
      </c>
      <c r="C162" s="237"/>
      <c r="D162" s="237"/>
      <c r="E162" s="237"/>
      <c r="F162" s="237"/>
      <c r="G162" s="237"/>
      <c r="H162" s="237"/>
      <c r="I162" s="237"/>
      <c r="J162" s="237"/>
      <c r="K162" s="237"/>
      <c r="L162" s="237"/>
      <c r="M162" s="237"/>
      <c r="N162" s="237"/>
      <c r="O162" s="237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</row>
    <row r="163" spans="1:39" s="80" customFormat="1" ht="13.5" outlineLevel="1" thickTop="1" x14ac:dyDescent="0.2">
      <c r="B163" s="235" t="s">
        <v>530</v>
      </c>
      <c r="C163" s="235"/>
      <c r="D163" s="234"/>
      <c r="E163" s="234">
        <v>1</v>
      </c>
      <c r="F163" s="234">
        <v>2</v>
      </c>
      <c r="G163" s="234">
        <v>3</v>
      </c>
      <c r="H163" s="234">
        <v>4</v>
      </c>
      <c r="I163" s="234">
        <v>5</v>
      </c>
      <c r="J163" s="234">
        <v>6</v>
      </c>
      <c r="K163" s="234">
        <v>7</v>
      </c>
      <c r="L163" s="234">
        <v>8</v>
      </c>
      <c r="M163" s="234">
        <v>9</v>
      </c>
      <c r="N163" s="234">
        <v>10</v>
      </c>
      <c r="O163" s="234">
        <v>11</v>
      </c>
      <c r="P163" s="234">
        <v>12</v>
      </c>
      <c r="Q163" s="234">
        <v>13</v>
      </c>
      <c r="R163" s="234">
        <v>14</v>
      </c>
      <c r="S163" s="234">
        <v>15</v>
      </c>
      <c r="T163" s="234">
        <v>16</v>
      </c>
      <c r="U163" s="234">
        <v>17</v>
      </c>
      <c r="V163" s="234">
        <v>18</v>
      </c>
      <c r="W163" s="234">
        <v>19</v>
      </c>
      <c r="X163" s="234">
        <v>20</v>
      </c>
      <c r="Y163" s="234">
        <v>21</v>
      </c>
      <c r="Z163" s="234">
        <v>22</v>
      </c>
      <c r="AA163" s="234">
        <v>23</v>
      </c>
      <c r="AB163" s="234">
        <v>24</v>
      </c>
      <c r="AC163" s="234">
        <v>25</v>
      </c>
      <c r="AD163" s="234">
        <v>26</v>
      </c>
      <c r="AE163" s="234">
        <v>27</v>
      </c>
      <c r="AF163" s="234">
        <v>28</v>
      </c>
      <c r="AG163" s="234">
        <v>29</v>
      </c>
      <c r="AH163" s="234">
        <v>30</v>
      </c>
      <c r="AI163" s="234">
        <v>31</v>
      </c>
      <c r="AJ163" s="234">
        <v>32</v>
      </c>
      <c r="AK163" s="234">
        <v>33</v>
      </c>
      <c r="AL163" s="234">
        <v>34</v>
      </c>
      <c r="AM163" s="234">
        <v>35</v>
      </c>
    </row>
    <row r="164" spans="1:39" outlineLevel="1" x14ac:dyDescent="0.2"/>
    <row r="165" spans="1:39" outlineLevel="1" x14ac:dyDescent="0.2">
      <c r="B165" s="30" t="s">
        <v>529</v>
      </c>
      <c r="E165" s="228">
        <f t="shared" ref="E165:AM165" si="49">E155/E$63</f>
        <v>0</v>
      </c>
      <c r="F165" s="228">
        <f t="shared" si="49"/>
        <v>0</v>
      </c>
      <c r="G165" s="228">
        <f t="shared" si="49"/>
        <v>0</v>
      </c>
      <c r="H165" s="228">
        <f t="shared" si="49"/>
        <v>0</v>
      </c>
      <c r="I165" s="228">
        <f t="shared" si="49"/>
        <v>0</v>
      </c>
      <c r="J165" s="228">
        <f t="shared" si="49"/>
        <v>0</v>
      </c>
      <c r="K165" s="228">
        <f t="shared" si="49"/>
        <v>0</v>
      </c>
      <c r="L165" s="228">
        <f t="shared" si="49"/>
        <v>0</v>
      </c>
      <c r="M165" s="228">
        <f t="shared" si="49"/>
        <v>0</v>
      </c>
      <c r="N165" s="228">
        <f t="shared" si="49"/>
        <v>0</v>
      </c>
      <c r="O165" s="228">
        <f t="shared" si="49"/>
        <v>0</v>
      </c>
      <c r="P165" s="228">
        <f t="shared" si="49"/>
        <v>0</v>
      </c>
      <c r="Q165" s="228">
        <f t="shared" si="49"/>
        <v>0</v>
      </c>
      <c r="R165" s="228">
        <f t="shared" si="49"/>
        <v>0</v>
      </c>
      <c r="S165" s="228">
        <f t="shared" si="49"/>
        <v>0</v>
      </c>
      <c r="T165" s="228">
        <f t="shared" si="49"/>
        <v>0</v>
      </c>
      <c r="U165" s="228">
        <f t="shared" si="49"/>
        <v>0</v>
      </c>
      <c r="V165" s="228">
        <f t="shared" si="49"/>
        <v>0</v>
      </c>
      <c r="W165" s="228">
        <f t="shared" si="49"/>
        <v>0</v>
      </c>
      <c r="X165" s="228">
        <f t="shared" si="49"/>
        <v>0</v>
      </c>
      <c r="Y165" s="228">
        <f t="shared" si="49"/>
        <v>0</v>
      </c>
      <c r="Z165" s="228">
        <f t="shared" si="49"/>
        <v>0</v>
      </c>
      <c r="AA165" s="228">
        <f t="shared" si="49"/>
        <v>0</v>
      </c>
      <c r="AB165" s="228">
        <f t="shared" si="49"/>
        <v>0</v>
      </c>
      <c r="AC165" s="228">
        <f t="shared" si="49"/>
        <v>0</v>
      </c>
      <c r="AD165" s="228">
        <f t="shared" si="49"/>
        <v>0</v>
      </c>
      <c r="AE165" s="228">
        <f t="shared" si="49"/>
        <v>0</v>
      </c>
      <c r="AF165" s="228">
        <f t="shared" si="49"/>
        <v>0</v>
      </c>
      <c r="AG165" s="228">
        <f t="shared" si="49"/>
        <v>0</v>
      </c>
      <c r="AH165" s="228">
        <f t="shared" si="49"/>
        <v>0</v>
      </c>
      <c r="AI165" s="228">
        <f t="shared" si="49"/>
        <v>0</v>
      </c>
      <c r="AJ165" s="228">
        <f t="shared" si="49"/>
        <v>0</v>
      </c>
      <c r="AK165" s="228">
        <f t="shared" si="49"/>
        <v>0</v>
      </c>
      <c r="AL165" s="228">
        <f t="shared" si="49"/>
        <v>0</v>
      </c>
      <c r="AM165" s="228">
        <f t="shared" si="49"/>
        <v>0</v>
      </c>
    </row>
    <row r="166" spans="1:39" outlineLevel="1" x14ac:dyDescent="0.2">
      <c r="B166" s="30" t="s">
        <v>528</v>
      </c>
      <c r="C166" s="102">
        <f>AVERAGE(F166:V166)</f>
        <v>0</v>
      </c>
      <c r="E166" s="228">
        <f t="shared" ref="E166:AM166" si="50">E156/E$63</f>
        <v>0</v>
      </c>
      <c r="F166" s="228">
        <f t="shared" si="50"/>
        <v>0</v>
      </c>
      <c r="G166" s="228">
        <f t="shared" si="50"/>
        <v>0</v>
      </c>
      <c r="H166" s="228">
        <f t="shared" si="50"/>
        <v>0</v>
      </c>
      <c r="I166" s="228">
        <f t="shared" si="50"/>
        <v>0</v>
      </c>
      <c r="J166" s="228">
        <f t="shared" si="50"/>
        <v>0</v>
      </c>
      <c r="K166" s="228">
        <f t="shared" si="50"/>
        <v>0</v>
      </c>
      <c r="L166" s="228">
        <f t="shared" si="50"/>
        <v>0</v>
      </c>
      <c r="M166" s="228">
        <f t="shared" si="50"/>
        <v>0</v>
      </c>
      <c r="N166" s="228">
        <f t="shared" si="50"/>
        <v>0</v>
      </c>
      <c r="O166" s="228">
        <f t="shared" si="50"/>
        <v>0</v>
      </c>
      <c r="P166" s="228">
        <f t="shared" si="50"/>
        <v>0</v>
      </c>
      <c r="Q166" s="228">
        <f t="shared" si="50"/>
        <v>0</v>
      </c>
      <c r="R166" s="228">
        <f t="shared" si="50"/>
        <v>0</v>
      </c>
      <c r="S166" s="228">
        <f t="shared" si="50"/>
        <v>0</v>
      </c>
      <c r="T166" s="228">
        <f t="shared" si="50"/>
        <v>0</v>
      </c>
      <c r="U166" s="228">
        <f t="shared" si="50"/>
        <v>0</v>
      </c>
      <c r="V166" s="228">
        <f t="shared" si="50"/>
        <v>0</v>
      </c>
      <c r="W166" s="228">
        <f t="shared" si="50"/>
        <v>0</v>
      </c>
      <c r="X166" s="228">
        <f t="shared" si="50"/>
        <v>0</v>
      </c>
      <c r="Y166" s="228">
        <f t="shared" si="50"/>
        <v>0</v>
      </c>
      <c r="Z166" s="228">
        <f t="shared" si="50"/>
        <v>0</v>
      </c>
      <c r="AA166" s="228">
        <f t="shared" si="50"/>
        <v>0</v>
      </c>
      <c r="AB166" s="228">
        <f t="shared" si="50"/>
        <v>0</v>
      </c>
      <c r="AC166" s="228">
        <f t="shared" si="50"/>
        <v>0</v>
      </c>
      <c r="AD166" s="228">
        <f t="shared" si="50"/>
        <v>0</v>
      </c>
      <c r="AE166" s="228">
        <f t="shared" si="50"/>
        <v>0</v>
      </c>
      <c r="AF166" s="228">
        <f t="shared" si="50"/>
        <v>0</v>
      </c>
      <c r="AG166" s="228">
        <f t="shared" si="50"/>
        <v>0</v>
      </c>
      <c r="AH166" s="228">
        <f t="shared" si="50"/>
        <v>0</v>
      </c>
      <c r="AI166" s="228">
        <f t="shared" si="50"/>
        <v>0</v>
      </c>
      <c r="AJ166" s="228">
        <f t="shared" si="50"/>
        <v>0</v>
      </c>
      <c r="AK166" s="228">
        <f t="shared" si="50"/>
        <v>0</v>
      </c>
      <c r="AL166" s="228">
        <f t="shared" si="50"/>
        <v>0</v>
      </c>
      <c r="AM166" s="228">
        <f t="shared" si="50"/>
        <v>0</v>
      </c>
    </row>
    <row r="167" spans="1:39" outlineLevel="1" x14ac:dyDescent="0.2">
      <c r="B167" s="30" t="s">
        <v>527</v>
      </c>
      <c r="E167" s="228">
        <f t="shared" ref="E167:AM167" si="51">E157/E$63</f>
        <v>0</v>
      </c>
      <c r="F167" s="228">
        <f t="shared" si="51"/>
        <v>0</v>
      </c>
      <c r="G167" s="228">
        <f t="shared" si="51"/>
        <v>0</v>
      </c>
      <c r="H167" s="228">
        <f t="shared" si="51"/>
        <v>0</v>
      </c>
      <c r="I167" s="228">
        <f t="shared" si="51"/>
        <v>0</v>
      </c>
      <c r="J167" s="228">
        <f t="shared" si="51"/>
        <v>0</v>
      </c>
      <c r="K167" s="228">
        <f t="shared" si="51"/>
        <v>0</v>
      </c>
      <c r="L167" s="228">
        <f t="shared" si="51"/>
        <v>0</v>
      </c>
      <c r="M167" s="228">
        <f t="shared" si="51"/>
        <v>0</v>
      </c>
      <c r="N167" s="228">
        <f t="shared" si="51"/>
        <v>0</v>
      </c>
      <c r="O167" s="228">
        <f t="shared" si="51"/>
        <v>0</v>
      </c>
      <c r="P167" s="228">
        <f t="shared" si="51"/>
        <v>0</v>
      </c>
      <c r="Q167" s="228">
        <f t="shared" si="51"/>
        <v>0</v>
      </c>
      <c r="R167" s="228">
        <f t="shared" si="51"/>
        <v>0</v>
      </c>
      <c r="S167" s="228">
        <f t="shared" si="51"/>
        <v>0</v>
      </c>
      <c r="T167" s="228">
        <f t="shared" si="51"/>
        <v>0</v>
      </c>
      <c r="U167" s="228">
        <f t="shared" si="51"/>
        <v>0</v>
      </c>
      <c r="V167" s="228">
        <f t="shared" si="51"/>
        <v>0</v>
      </c>
      <c r="W167" s="228">
        <f t="shared" si="51"/>
        <v>0</v>
      </c>
      <c r="X167" s="228">
        <f t="shared" si="51"/>
        <v>0</v>
      </c>
      <c r="Y167" s="228">
        <f t="shared" si="51"/>
        <v>0</v>
      </c>
      <c r="Z167" s="228">
        <f t="shared" si="51"/>
        <v>0</v>
      </c>
      <c r="AA167" s="228">
        <f t="shared" si="51"/>
        <v>0</v>
      </c>
      <c r="AB167" s="228">
        <f t="shared" si="51"/>
        <v>0</v>
      </c>
      <c r="AC167" s="228">
        <f t="shared" si="51"/>
        <v>0</v>
      </c>
      <c r="AD167" s="228">
        <f t="shared" si="51"/>
        <v>0</v>
      </c>
      <c r="AE167" s="228">
        <f t="shared" si="51"/>
        <v>0</v>
      </c>
      <c r="AF167" s="228">
        <f t="shared" si="51"/>
        <v>0</v>
      </c>
      <c r="AG167" s="228">
        <f t="shared" si="51"/>
        <v>0</v>
      </c>
      <c r="AH167" s="228">
        <f t="shared" si="51"/>
        <v>0</v>
      </c>
      <c r="AI167" s="228">
        <f t="shared" si="51"/>
        <v>0</v>
      </c>
      <c r="AJ167" s="228">
        <f t="shared" si="51"/>
        <v>0</v>
      </c>
      <c r="AK167" s="228">
        <f t="shared" si="51"/>
        <v>0</v>
      </c>
      <c r="AL167" s="228">
        <f t="shared" si="51"/>
        <v>0</v>
      </c>
      <c r="AM167" s="228">
        <f t="shared" si="51"/>
        <v>0</v>
      </c>
    </row>
    <row r="168" spans="1:39" outlineLevel="1" x14ac:dyDescent="0.2">
      <c r="B168" s="30" t="s">
        <v>526</v>
      </c>
      <c r="E168" s="228">
        <f t="shared" ref="E168:AM168" si="52">E158/E$63</f>
        <v>0</v>
      </c>
      <c r="F168" s="228">
        <f t="shared" si="52"/>
        <v>0</v>
      </c>
      <c r="G168" s="228">
        <f t="shared" si="52"/>
        <v>0</v>
      </c>
      <c r="H168" s="228">
        <f t="shared" si="52"/>
        <v>0</v>
      </c>
      <c r="I168" s="228">
        <f t="shared" si="52"/>
        <v>0</v>
      </c>
      <c r="J168" s="228">
        <f t="shared" si="52"/>
        <v>0</v>
      </c>
      <c r="K168" s="228">
        <f t="shared" si="52"/>
        <v>0</v>
      </c>
      <c r="L168" s="228">
        <f t="shared" si="52"/>
        <v>0</v>
      </c>
      <c r="M168" s="228">
        <f t="shared" si="52"/>
        <v>0</v>
      </c>
      <c r="N168" s="228">
        <f t="shared" si="52"/>
        <v>0</v>
      </c>
      <c r="O168" s="228">
        <f t="shared" si="52"/>
        <v>0</v>
      </c>
      <c r="P168" s="228">
        <f t="shared" si="52"/>
        <v>0</v>
      </c>
      <c r="Q168" s="228">
        <f t="shared" si="52"/>
        <v>0</v>
      </c>
      <c r="R168" s="228">
        <f t="shared" si="52"/>
        <v>0</v>
      </c>
      <c r="S168" s="228">
        <f t="shared" si="52"/>
        <v>0</v>
      </c>
      <c r="T168" s="228">
        <f t="shared" si="52"/>
        <v>0</v>
      </c>
      <c r="U168" s="228">
        <f t="shared" si="52"/>
        <v>0</v>
      </c>
      <c r="V168" s="228">
        <f t="shared" si="52"/>
        <v>0</v>
      </c>
      <c r="W168" s="228">
        <f t="shared" si="52"/>
        <v>0</v>
      </c>
      <c r="X168" s="228">
        <f t="shared" si="52"/>
        <v>0</v>
      </c>
      <c r="Y168" s="228">
        <f t="shared" si="52"/>
        <v>0</v>
      </c>
      <c r="Z168" s="228">
        <f t="shared" si="52"/>
        <v>0</v>
      </c>
      <c r="AA168" s="228">
        <f t="shared" si="52"/>
        <v>0</v>
      </c>
      <c r="AB168" s="228">
        <f t="shared" si="52"/>
        <v>0</v>
      </c>
      <c r="AC168" s="228">
        <f t="shared" si="52"/>
        <v>0</v>
      </c>
      <c r="AD168" s="228">
        <f t="shared" si="52"/>
        <v>0</v>
      </c>
      <c r="AE168" s="228">
        <f t="shared" si="52"/>
        <v>0</v>
      </c>
      <c r="AF168" s="228">
        <f t="shared" si="52"/>
        <v>0</v>
      </c>
      <c r="AG168" s="228">
        <f t="shared" si="52"/>
        <v>0</v>
      </c>
      <c r="AH168" s="228">
        <f t="shared" si="52"/>
        <v>0</v>
      </c>
      <c r="AI168" s="228">
        <f t="shared" si="52"/>
        <v>0</v>
      </c>
      <c r="AJ168" s="228">
        <f t="shared" si="52"/>
        <v>0</v>
      </c>
      <c r="AK168" s="228">
        <f t="shared" si="52"/>
        <v>0</v>
      </c>
      <c r="AL168" s="228">
        <f t="shared" si="52"/>
        <v>0</v>
      </c>
      <c r="AM168" s="228">
        <f t="shared" si="52"/>
        <v>0</v>
      </c>
    </row>
    <row r="169" spans="1:39" outlineLevel="1" x14ac:dyDescent="0.2">
      <c r="B169" s="30" t="s">
        <v>525</v>
      </c>
      <c r="E169" s="228">
        <f t="shared" ref="E169:AM169" si="53">E159/E$63</f>
        <v>0</v>
      </c>
      <c r="F169" s="228">
        <f t="shared" si="53"/>
        <v>0</v>
      </c>
      <c r="G169" s="228">
        <f t="shared" si="53"/>
        <v>0</v>
      </c>
      <c r="H169" s="228">
        <f t="shared" si="53"/>
        <v>0</v>
      </c>
      <c r="I169" s="228">
        <f t="shared" si="53"/>
        <v>0</v>
      </c>
      <c r="J169" s="228">
        <f t="shared" si="53"/>
        <v>0</v>
      </c>
      <c r="K169" s="228">
        <f t="shared" si="53"/>
        <v>0</v>
      </c>
      <c r="L169" s="228">
        <f t="shared" si="53"/>
        <v>0</v>
      </c>
      <c r="M169" s="228">
        <f t="shared" si="53"/>
        <v>0</v>
      </c>
      <c r="N169" s="228">
        <f t="shared" si="53"/>
        <v>0</v>
      </c>
      <c r="O169" s="228">
        <f t="shared" si="53"/>
        <v>0</v>
      </c>
      <c r="P169" s="228">
        <f t="shared" si="53"/>
        <v>0</v>
      </c>
      <c r="Q169" s="228">
        <f t="shared" si="53"/>
        <v>0</v>
      </c>
      <c r="R169" s="228">
        <f t="shared" si="53"/>
        <v>0</v>
      </c>
      <c r="S169" s="228">
        <f t="shared" si="53"/>
        <v>0</v>
      </c>
      <c r="T169" s="228">
        <f t="shared" si="53"/>
        <v>0</v>
      </c>
      <c r="U169" s="228">
        <f t="shared" si="53"/>
        <v>0</v>
      </c>
      <c r="V169" s="228">
        <f t="shared" si="53"/>
        <v>0</v>
      </c>
      <c r="W169" s="228">
        <f t="shared" si="53"/>
        <v>0</v>
      </c>
      <c r="X169" s="228">
        <f t="shared" si="53"/>
        <v>0</v>
      </c>
      <c r="Y169" s="228">
        <f t="shared" si="53"/>
        <v>0</v>
      </c>
      <c r="Z169" s="228">
        <f t="shared" si="53"/>
        <v>0</v>
      </c>
      <c r="AA169" s="228">
        <f t="shared" si="53"/>
        <v>0</v>
      </c>
      <c r="AB169" s="228">
        <f t="shared" si="53"/>
        <v>0</v>
      </c>
      <c r="AC169" s="228">
        <f t="shared" si="53"/>
        <v>0</v>
      </c>
      <c r="AD169" s="228">
        <f t="shared" si="53"/>
        <v>0</v>
      </c>
      <c r="AE169" s="228">
        <f t="shared" si="53"/>
        <v>0</v>
      </c>
      <c r="AF169" s="228">
        <f t="shared" si="53"/>
        <v>0</v>
      </c>
      <c r="AG169" s="228">
        <f t="shared" si="53"/>
        <v>0</v>
      </c>
      <c r="AH169" s="228">
        <f t="shared" si="53"/>
        <v>0</v>
      </c>
      <c r="AI169" s="228">
        <f t="shared" si="53"/>
        <v>0</v>
      </c>
      <c r="AJ169" s="228">
        <f t="shared" si="53"/>
        <v>0</v>
      </c>
      <c r="AK169" s="228">
        <f t="shared" si="53"/>
        <v>0</v>
      </c>
      <c r="AL169" s="228">
        <f t="shared" si="53"/>
        <v>0</v>
      </c>
      <c r="AM169" s="228">
        <f t="shared" si="53"/>
        <v>0</v>
      </c>
    </row>
    <row r="170" spans="1:39" outlineLevel="1" x14ac:dyDescent="0.2">
      <c r="B170" s="233" t="s">
        <v>524</v>
      </c>
      <c r="C170" s="232"/>
      <c r="D170" s="232"/>
      <c r="E170" s="231">
        <f t="shared" ref="E170:AM170" si="54">SUM(E165:E169)</f>
        <v>0</v>
      </c>
      <c r="F170" s="231">
        <f t="shared" si="54"/>
        <v>0</v>
      </c>
      <c r="G170" s="231">
        <f t="shared" si="54"/>
        <v>0</v>
      </c>
      <c r="H170" s="231">
        <f t="shared" si="54"/>
        <v>0</v>
      </c>
      <c r="I170" s="231">
        <f t="shared" si="54"/>
        <v>0</v>
      </c>
      <c r="J170" s="231">
        <f t="shared" si="54"/>
        <v>0</v>
      </c>
      <c r="K170" s="231">
        <f t="shared" si="54"/>
        <v>0</v>
      </c>
      <c r="L170" s="231">
        <f t="shared" si="54"/>
        <v>0</v>
      </c>
      <c r="M170" s="231">
        <f t="shared" si="54"/>
        <v>0</v>
      </c>
      <c r="N170" s="231">
        <f t="shared" si="54"/>
        <v>0</v>
      </c>
      <c r="O170" s="231">
        <f t="shared" si="54"/>
        <v>0</v>
      </c>
      <c r="P170" s="231">
        <f t="shared" si="54"/>
        <v>0</v>
      </c>
      <c r="Q170" s="231">
        <f t="shared" si="54"/>
        <v>0</v>
      </c>
      <c r="R170" s="231">
        <f t="shared" si="54"/>
        <v>0</v>
      </c>
      <c r="S170" s="231">
        <f t="shared" si="54"/>
        <v>0</v>
      </c>
      <c r="T170" s="231">
        <f t="shared" si="54"/>
        <v>0</v>
      </c>
      <c r="U170" s="231">
        <f t="shared" si="54"/>
        <v>0</v>
      </c>
      <c r="V170" s="231">
        <f t="shared" si="54"/>
        <v>0</v>
      </c>
      <c r="W170" s="231">
        <f t="shared" si="54"/>
        <v>0</v>
      </c>
      <c r="X170" s="231">
        <f t="shared" si="54"/>
        <v>0</v>
      </c>
      <c r="Y170" s="231">
        <f t="shared" si="54"/>
        <v>0</v>
      </c>
      <c r="Z170" s="231">
        <f t="shared" si="54"/>
        <v>0</v>
      </c>
      <c r="AA170" s="231">
        <f t="shared" si="54"/>
        <v>0</v>
      </c>
      <c r="AB170" s="231">
        <f t="shared" si="54"/>
        <v>0</v>
      </c>
      <c r="AC170" s="231">
        <f t="shared" si="54"/>
        <v>0</v>
      </c>
      <c r="AD170" s="231">
        <f t="shared" si="54"/>
        <v>0</v>
      </c>
      <c r="AE170" s="231">
        <f t="shared" si="54"/>
        <v>0</v>
      </c>
      <c r="AF170" s="231">
        <f t="shared" si="54"/>
        <v>0</v>
      </c>
      <c r="AG170" s="231">
        <f t="shared" si="54"/>
        <v>0</v>
      </c>
      <c r="AH170" s="231">
        <f t="shared" si="54"/>
        <v>0</v>
      </c>
      <c r="AI170" s="231">
        <f t="shared" si="54"/>
        <v>0</v>
      </c>
      <c r="AJ170" s="231">
        <f t="shared" si="54"/>
        <v>0</v>
      </c>
      <c r="AK170" s="231">
        <f t="shared" si="54"/>
        <v>0</v>
      </c>
      <c r="AL170" s="231">
        <f t="shared" si="54"/>
        <v>0</v>
      </c>
      <c r="AM170" s="231">
        <f t="shared" si="54"/>
        <v>0</v>
      </c>
    </row>
    <row r="171" spans="1:39" outlineLevel="1" x14ac:dyDescent="0.2">
      <c r="B171" s="230" t="s">
        <v>624</v>
      </c>
      <c r="C171" s="230"/>
      <c r="R171" s="229"/>
    </row>
    <row r="172" spans="1:39" x14ac:dyDescent="0.2">
      <c r="A172" s="227" t="s">
        <v>523</v>
      </c>
      <c r="B172" s="80" t="s">
        <v>522</v>
      </c>
      <c r="F172" s="228"/>
      <c r="R172" s="228"/>
    </row>
    <row r="174" spans="1:39" x14ac:dyDescent="0.2">
      <c r="A174" s="227"/>
      <c r="B174" s="80"/>
      <c r="D174" s="226"/>
      <c r="E174" s="226"/>
      <c r="F174" s="226"/>
      <c r="G174" s="226"/>
      <c r="H174" s="226"/>
      <c r="I174" s="226"/>
      <c r="J174" s="226"/>
      <c r="K174" s="226"/>
      <c r="L174" s="226"/>
      <c r="M174" s="226"/>
      <c r="N174" s="226"/>
      <c r="O174" s="226"/>
      <c r="P174" s="226"/>
      <c r="Q174" s="226"/>
      <c r="R174" s="226"/>
      <c r="S174" s="226"/>
    </row>
  </sheetData>
  <conditionalFormatting sqref="F28">
    <cfRule type="cellIs" dxfId="259" priority="18" stopIfTrue="1" operator="equal">
      <formula>0</formula>
    </cfRule>
    <cfRule type="cellIs" dxfId="258" priority="19" stopIfTrue="1" operator="notEqual">
      <formula>0</formula>
    </cfRule>
  </conditionalFormatting>
  <conditionalFormatting sqref="F29">
    <cfRule type="cellIs" dxfId="257" priority="16" stopIfTrue="1" operator="equal">
      <formula>0</formula>
    </cfRule>
    <cfRule type="cellIs" dxfId="256" priority="17" stopIfTrue="1" operator="notEqual">
      <formula>0</formula>
    </cfRule>
  </conditionalFormatting>
  <conditionalFormatting sqref="M44">
    <cfRule type="expression" dxfId="255" priority="15">
      <formula>$M$40="HID"</formula>
    </cfRule>
  </conditionalFormatting>
  <conditionalFormatting sqref="M42">
    <cfRule type="expression" dxfId="254" priority="14">
      <formula>$M$40="LED"</formula>
    </cfRule>
  </conditionalFormatting>
  <conditionalFormatting sqref="K44">
    <cfRule type="expression" dxfId="253" priority="13">
      <formula>$M$40="HID"</formula>
    </cfRule>
  </conditionalFormatting>
  <conditionalFormatting sqref="K42">
    <cfRule type="expression" dxfId="252" priority="12">
      <formula>$M$40="LED"</formula>
    </cfRule>
  </conditionalFormatting>
  <conditionalFormatting sqref="N44">
    <cfRule type="expression" dxfId="251" priority="9">
      <formula>$M$40="HID"</formula>
    </cfRule>
  </conditionalFormatting>
  <conditionalFormatting sqref="N42">
    <cfRule type="expression" dxfId="250" priority="8">
      <formula>$M$40="LED"</formula>
    </cfRule>
  </conditionalFormatting>
  <conditionalFormatting sqref="R44">
    <cfRule type="expression" dxfId="249" priority="3">
      <formula>$M$40="HID"</formula>
    </cfRule>
  </conditionalFormatting>
  <conditionalFormatting sqref="K40">
    <cfRule type="expression" dxfId="248" priority="5">
      <formula>$M$40="LED"</formula>
    </cfRule>
  </conditionalFormatting>
  <conditionalFormatting sqref="P44">
    <cfRule type="expression" dxfId="247" priority="4">
      <formula>$M$40="HID"</formula>
    </cfRule>
  </conditionalFormatting>
  <conditionalFormatting sqref="P42">
    <cfRule type="expression" dxfId="246" priority="2">
      <formula>$M$40="LED"</formula>
    </cfRule>
  </conditionalFormatting>
  <conditionalFormatting sqref="R42">
    <cfRule type="expression" dxfId="245" priority="1">
      <formula>$M$40="LED"</formula>
    </cfRule>
  </conditionalFormatting>
  <dataValidations disablePrompts="1" count="3">
    <dataValidation type="list" allowBlank="1" showInputMessage="1" showErrorMessage="1" sqref="M40" xr:uid="{00000000-0002-0000-1800-000000000000}">
      <formula1>"HID,LED"</formula1>
    </dataValidation>
    <dataValidation type="list" allowBlank="1" showInputMessage="1" showErrorMessage="1" sqref="M42" xr:uid="{00000000-0002-0000-1800-000001000000}">
      <formula1>HID_lst</formula1>
    </dataValidation>
    <dataValidation type="list" allowBlank="1" showInputMessage="1" showErrorMessage="1" sqref="M44" xr:uid="{00000000-0002-0000-1800-000002000000}">
      <formula1>LED_Lst</formula1>
    </dataValidation>
  </dataValidations>
  <pageMargins left="0.51181102362204722" right="0.70866141732283472" top="0.47244094488188981" bottom="0.51181102362204722" header="0.31496062992125984" footer="0.23622047244094491"/>
  <pageSetup paperSize="9" scale="13" orientation="landscape" r:id="rId1"/>
  <headerFooter>
    <oddFooter>&amp;L&amp;8File: &amp;F
&amp;D&amp;C&amp;8Worksheet:  &amp;A&amp;R&amp;8Page &amp;P of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7">
    <tabColor theme="5"/>
    <pageSetUpPr fitToPage="1"/>
  </sheetPr>
  <dimension ref="A1:V53"/>
  <sheetViews>
    <sheetView showGridLines="0" zoomScaleNormal="100" workbookViewId="0">
      <selection activeCell="O20" sqref="O20"/>
    </sheetView>
  </sheetViews>
  <sheetFormatPr defaultColWidth="9" defaultRowHeight="12" outlineLevelRow="1" x14ac:dyDescent="0.2"/>
  <cols>
    <col min="1" max="1" width="4.6640625" style="386" customWidth="1"/>
    <col min="2" max="2" width="13.83203125" style="386" customWidth="1"/>
    <col min="3" max="3" width="14" style="386" customWidth="1"/>
    <col min="4" max="9" width="13.83203125" style="386" customWidth="1"/>
    <col min="10" max="10" width="5.5" style="386" customWidth="1"/>
    <col min="11" max="18" width="13.83203125" style="386" customWidth="1"/>
    <col min="19" max="16384" width="9" style="386"/>
  </cols>
  <sheetData>
    <row r="1" spans="1:22" ht="18.75" x14ac:dyDescent="0.3">
      <c r="A1" s="31" t="s">
        <v>19</v>
      </c>
      <c r="B1" s="31"/>
      <c r="C1" s="33"/>
      <c r="D1" s="32"/>
      <c r="E1" s="32"/>
      <c r="F1" s="32"/>
      <c r="G1" s="32"/>
      <c r="H1" s="32"/>
      <c r="I1" s="31"/>
    </row>
    <row r="2" spans="1:22" ht="16.5" thickBot="1" x14ac:dyDescent="0.3">
      <c r="A2" s="394" t="s">
        <v>1321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2" ht="12.75" thickTop="1" x14ac:dyDescent="0.2">
      <c r="Q3" s="150"/>
      <c r="R3" s="150"/>
      <c r="S3" s="150"/>
      <c r="T3" s="150"/>
      <c r="U3" s="150"/>
      <c r="V3" s="150"/>
    </row>
    <row r="4" spans="1:22" ht="18.75" x14ac:dyDescent="0.3">
      <c r="A4" s="307" t="s">
        <v>38</v>
      </c>
      <c r="B4" s="306" t="s">
        <v>675</v>
      </c>
      <c r="C4" s="305"/>
      <c r="D4" s="305"/>
      <c r="E4" s="305"/>
      <c r="F4" s="307"/>
      <c r="G4" s="306"/>
      <c r="H4" s="305"/>
      <c r="I4" s="305"/>
      <c r="J4" s="305"/>
      <c r="K4" s="307"/>
      <c r="L4" s="306"/>
      <c r="M4" s="305"/>
      <c r="N4" s="305"/>
      <c r="O4" s="305"/>
      <c r="P4" s="307"/>
      <c r="Q4" s="306"/>
      <c r="R4" s="305"/>
      <c r="S4" s="305"/>
      <c r="T4" s="305"/>
      <c r="U4" s="150"/>
      <c r="V4" s="150"/>
    </row>
    <row r="6" spans="1:22" x14ac:dyDescent="0.2">
      <c r="C6" s="559" t="s">
        <v>703</v>
      </c>
      <c r="E6" s="410" t="s">
        <v>50</v>
      </c>
      <c r="F6" s="6" t="s">
        <v>775</v>
      </c>
    </row>
    <row r="7" spans="1:22" x14ac:dyDescent="0.2">
      <c r="C7" s="559"/>
      <c r="F7" s="6"/>
      <c r="L7" s="119"/>
      <c r="M7" s="119" t="s">
        <v>1062</v>
      </c>
      <c r="N7" s="119" t="s">
        <v>29</v>
      </c>
      <c r="O7" s="119" t="s">
        <v>1110</v>
      </c>
    </row>
    <row r="8" spans="1:22" x14ac:dyDescent="0.2">
      <c r="C8" s="171" t="s">
        <v>702</v>
      </c>
      <c r="E8" s="410" t="s">
        <v>487</v>
      </c>
      <c r="F8" s="6" t="s">
        <v>775</v>
      </c>
      <c r="L8" s="119" t="s">
        <v>50</v>
      </c>
      <c r="M8" s="787"/>
      <c r="N8" s="787"/>
      <c r="O8" s="642">
        <v>17</v>
      </c>
    </row>
    <row r="9" spans="1:22" ht="4.1500000000000004" customHeight="1" x14ac:dyDescent="0.2">
      <c r="C9" s="559"/>
      <c r="F9" s="6"/>
      <c r="L9" s="119"/>
      <c r="M9" s="444"/>
      <c r="N9" s="444"/>
      <c r="O9" s="642"/>
    </row>
    <row r="10" spans="1:22" x14ac:dyDescent="0.2">
      <c r="C10" s="171" t="s">
        <v>628</v>
      </c>
      <c r="E10" s="410" t="s">
        <v>1165</v>
      </c>
      <c r="F10" s="6" t="s">
        <v>775</v>
      </c>
      <c r="L10" s="119" t="s">
        <v>161</v>
      </c>
      <c r="M10" s="787"/>
      <c r="N10" s="787"/>
      <c r="O10" s="642">
        <v>17</v>
      </c>
    </row>
    <row r="11" spans="1:22" ht="4.1500000000000004" customHeight="1" x14ac:dyDescent="0.2">
      <c r="C11" s="559"/>
    </row>
    <row r="12" spans="1:22" x14ac:dyDescent="0.2">
      <c r="C12" s="171" t="s">
        <v>672</v>
      </c>
      <c r="D12" s="45" t="s">
        <v>671</v>
      </c>
      <c r="E12" s="591">
        <v>4.9799999999999997E-2</v>
      </c>
      <c r="F12" s="615" t="s">
        <v>670</v>
      </c>
      <c r="J12" s="443"/>
      <c r="K12" s="443"/>
      <c r="L12" s="443"/>
      <c r="M12" s="445" t="s">
        <v>27</v>
      </c>
      <c r="N12" s="445" t="s">
        <v>674</v>
      </c>
      <c r="O12" s="445" t="s">
        <v>673</v>
      </c>
      <c r="P12" s="445" t="s">
        <v>53</v>
      </c>
    </row>
    <row r="13" spans="1:22" x14ac:dyDescent="0.2">
      <c r="C13" s="559"/>
      <c r="D13" s="429"/>
      <c r="E13" s="449">
        <v>2.4494974138772552E-2</v>
      </c>
      <c r="F13" s="615" t="s">
        <v>667</v>
      </c>
      <c r="J13" s="443"/>
      <c r="K13" s="443"/>
      <c r="L13" s="443"/>
      <c r="M13" s="445" t="s">
        <v>676</v>
      </c>
      <c r="N13" s="445" t="s">
        <v>669</v>
      </c>
      <c r="O13" s="445" t="s">
        <v>668</v>
      </c>
      <c r="P13" s="445" t="s">
        <v>330</v>
      </c>
    </row>
    <row r="14" spans="1:22" ht="13.5" x14ac:dyDescent="0.25">
      <c r="C14" s="559"/>
      <c r="D14" s="433"/>
      <c r="E14" s="591">
        <v>2.47E-2</v>
      </c>
      <c r="F14" s="615" t="s">
        <v>666</v>
      </c>
      <c r="M14" s="45"/>
      <c r="N14" s="45"/>
      <c r="O14" s="45"/>
      <c r="P14" s="45"/>
      <c r="Q14" s="432"/>
    </row>
    <row r="15" spans="1:22" ht="13.5" x14ac:dyDescent="0.25">
      <c r="C15" s="171" t="s">
        <v>665</v>
      </c>
      <c r="D15" s="45"/>
      <c r="E15" s="53">
        <v>0</v>
      </c>
      <c r="F15" s="615" t="s">
        <v>869</v>
      </c>
      <c r="J15" s="386" t="s">
        <v>1116</v>
      </c>
      <c r="M15" s="775"/>
      <c r="N15" s="446"/>
      <c r="O15" s="45"/>
      <c r="P15" s="779"/>
    </row>
    <row r="16" spans="1:22" x14ac:dyDescent="0.2">
      <c r="C16" s="559"/>
      <c r="D16" s="45"/>
      <c r="E16" s="431"/>
      <c r="J16" s="558" t="s">
        <v>1115</v>
      </c>
      <c r="M16" s="775"/>
      <c r="N16" s="447">
        <v>0.3</v>
      </c>
      <c r="O16" s="45"/>
      <c r="P16" s="779"/>
    </row>
    <row r="17" spans="1:20" ht="13.5" thickBot="1" x14ac:dyDescent="0.25">
      <c r="C17" s="171" t="s">
        <v>968</v>
      </c>
      <c r="D17" s="45" t="s">
        <v>664</v>
      </c>
      <c r="E17" s="643">
        <v>17</v>
      </c>
      <c r="J17" s="558"/>
      <c r="K17" s="558"/>
      <c r="L17" s="558"/>
      <c r="M17" s="448">
        <v>0</v>
      </c>
      <c r="N17" s="448"/>
      <c r="O17" s="448"/>
      <c r="P17" s="448">
        <v>0</v>
      </c>
      <c r="Q17" s="558"/>
    </row>
    <row r="18" spans="1:20" ht="14.25" thickTop="1" x14ac:dyDescent="0.25">
      <c r="C18" s="559"/>
      <c r="D18" s="45"/>
      <c r="I18" s="430"/>
      <c r="J18" s="432"/>
      <c r="K18" s="432"/>
      <c r="L18" s="432"/>
      <c r="M18" s="432"/>
      <c r="N18" s="432"/>
      <c r="O18" s="432"/>
      <c r="P18" s="432"/>
      <c r="Q18" s="432"/>
    </row>
    <row r="19" spans="1:20" ht="12.75" x14ac:dyDescent="0.2">
      <c r="C19" s="171" t="s">
        <v>663</v>
      </c>
      <c r="E19" s="599">
        <v>0</v>
      </c>
      <c r="F19" s="615" t="s">
        <v>869</v>
      </c>
    </row>
    <row r="20" spans="1:20" s="558" customFormat="1" ht="13.5" thickBot="1" x14ac:dyDescent="0.25">
      <c r="C20" s="171" t="s">
        <v>1322</v>
      </c>
      <c r="D20" s="600"/>
      <c r="E20" s="599">
        <v>0</v>
      </c>
      <c r="F20" s="615" t="s">
        <v>869</v>
      </c>
      <c r="M20" s="476"/>
      <c r="N20" s="476"/>
      <c r="O20" s="476"/>
      <c r="P20" s="476"/>
    </row>
    <row r="21" spans="1:20" ht="16.5" thickTop="1" thickBot="1" x14ac:dyDescent="0.35">
      <c r="C21" s="186" t="s">
        <v>1323</v>
      </c>
      <c r="E21" s="434">
        <v>0</v>
      </c>
      <c r="F21" s="615" t="s">
        <v>1324</v>
      </c>
      <c r="G21" s="6" t="s">
        <v>751</v>
      </c>
    </row>
    <row r="22" spans="1:20" ht="12.75" thickTop="1" x14ac:dyDescent="0.2">
      <c r="D22" s="429"/>
      <c r="E22" s="429"/>
      <c r="F22" s="429"/>
      <c r="G22" s="429"/>
      <c r="H22" s="429"/>
    </row>
    <row r="24" spans="1:20" ht="18.75" x14ac:dyDescent="0.3">
      <c r="A24" s="307" t="s">
        <v>38</v>
      </c>
      <c r="B24" s="306" t="s">
        <v>37</v>
      </c>
      <c r="C24" s="305"/>
      <c r="D24" s="305"/>
      <c r="E24" s="305"/>
      <c r="F24" s="307"/>
      <c r="G24" s="306"/>
      <c r="H24" s="305"/>
      <c r="I24" s="305"/>
      <c r="J24" s="305"/>
      <c r="K24" s="307"/>
      <c r="L24" s="306"/>
      <c r="M24" s="305"/>
      <c r="N24" s="305"/>
      <c r="O24" s="305"/>
      <c r="P24" s="307"/>
      <c r="Q24" s="306"/>
      <c r="R24" s="305"/>
      <c r="S24" s="305"/>
      <c r="T24" s="305"/>
    </row>
    <row r="25" spans="1:20" s="428" customFormat="1" ht="18" outlineLevel="1" x14ac:dyDescent="0.25">
      <c r="B25" s="6" t="s">
        <v>662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20" outlineLevel="1" x14ac:dyDescent="0.2"/>
    <row r="27" spans="1:20" ht="15" outlineLevel="1" x14ac:dyDescent="0.3">
      <c r="B27" s="426" t="s">
        <v>661</v>
      </c>
      <c r="C27" s="426"/>
      <c r="D27" s="426"/>
      <c r="E27" s="426"/>
      <c r="F27" s="426"/>
      <c r="G27" s="426"/>
      <c r="H27" s="427" t="s">
        <v>659</v>
      </c>
      <c r="I27" s="155">
        <v>0</v>
      </c>
      <c r="K27" s="426" t="s">
        <v>660</v>
      </c>
      <c r="L27" s="426"/>
      <c r="M27" s="426"/>
      <c r="N27" s="426"/>
      <c r="O27" s="426"/>
      <c r="P27" s="426"/>
      <c r="Q27" s="427" t="s">
        <v>659</v>
      </c>
      <c r="R27" s="155">
        <v>1</v>
      </c>
    </row>
    <row r="28" spans="1:20" ht="15" outlineLevel="1" x14ac:dyDescent="0.3">
      <c r="B28" s="426" t="s">
        <v>658</v>
      </c>
      <c r="C28" s="426"/>
      <c r="D28" s="426"/>
      <c r="E28" s="426"/>
      <c r="F28" s="426"/>
      <c r="G28" s="426"/>
      <c r="H28" s="427"/>
      <c r="I28" s="426"/>
      <c r="K28" s="426" t="s">
        <v>658</v>
      </c>
      <c r="L28" s="426"/>
      <c r="M28" s="426"/>
      <c r="N28" s="426"/>
      <c r="O28" s="426"/>
      <c r="P28" s="426"/>
      <c r="Q28" s="427"/>
      <c r="R28" s="426"/>
      <c r="T28" s="425"/>
    </row>
    <row r="29" spans="1:20" ht="25.5" outlineLevel="1" x14ac:dyDescent="0.2">
      <c r="B29" s="424" t="s">
        <v>44</v>
      </c>
      <c r="C29" s="423" t="s">
        <v>657</v>
      </c>
      <c r="D29" s="423" t="s">
        <v>656</v>
      </c>
      <c r="E29" s="423" t="s">
        <v>655</v>
      </c>
      <c r="F29" s="423" t="s">
        <v>654</v>
      </c>
      <c r="G29" s="423"/>
      <c r="H29" s="423" t="s">
        <v>653</v>
      </c>
      <c r="I29" s="422" t="s">
        <v>652</v>
      </c>
      <c r="K29" s="424" t="s">
        <v>44</v>
      </c>
      <c r="L29" s="423" t="s">
        <v>657</v>
      </c>
      <c r="M29" s="423" t="s">
        <v>656</v>
      </c>
      <c r="N29" s="423" t="s">
        <v>655</v>
      </c>
      <c r="O29" s="423" t="s">
        <v>654</v>
      </c>
      <c r="P29" s="423"/>
      <c r="Q29" s="423" t="s">
        <v>653</v>
      </c>
      <c r="R29" s="422" t="s">
        <v>652</v>
      </c>
    </row>
    <row r="30" spans="1:20" ht="12.75" outlineLevel="1" x14ac:dyDescent="0.2">
      <c r="B30" s="386">
        <v>0</v>
      </c>
      <c r="C30" s="264"/>
      <c r="D30" s="264"/>
      <c r="E30" s="264"/>
      <c r="F30" s="264"/>
      <c r="G30" s="264"/>
      <c r="H30" s="264"/>
      <c r="K30" s="386">
        <v>0</v>
      </c>
      <c r="L30" s="264"/>
      <c r="M30" s="264"/>
      <c r="N30" s="264"/>
      <c r="O30" s="264"/>
      <c r="P30" s="264"/>
      <c r="Q30" s="264"/>
    </row>
    <row r="31" spans="1:20" ht="12.75" outlineLevel="1" x14ac:dyDescent="0.2">
      <c r="B31" s="386">
        <v>1</v>
      </c>
      <c r="C31" s="264"/>
      <c r="D31" s="264">
        <v>0</v>
      </c>
      <c r="E31" s="264">
        <v>0</v>
      </c>
      <c r="F31" s="264">
        <v>0</v>
      </c>
      <c r="G31" s="264"/>
      <c r="H31" s="264">
        <v>0</v>
      </c>
      <c r="I31" s="419">
        <v>0</v>
      </c>
      <c r="J31" s="421"/>
      <c r="K31" s="386">
        <v>1</v>
      </c>
      <c r="L31" s="264"/>
      <c r="M31" s="264">
        <v>0</v>
      </c>
      <c r="N31" s="264">
        <v>0</v>
      </c>
      <c r="O31" s="264">
        <v>0</v>
      </c>
      <c r="P31" s="264"/>
      <c r="Q31" s="264">
        <v>0</v>
      </c>
      <c r="R31" s="419">
        <v>0</v>
      </c>
    </row>
    <row r="32" spans="1:20" ht="12.75" outlineLevel="1" x14ac:dyDescent="0.2">
      <c r="B32" s="386">
        <v>2</v>
      </c>
      <c r="C32" s="264"/>
      <c r="D32" s="264">
        <v>0</v>
      </c>
      <c r="E32" s="264">
        <v>0</v>
      </c>
      <c r="F32" s="264">
        <v>0</v>
      </c>
      <c r="G32" s="264"/>
      <c r="H32" s="264">
        <v>0</v>
      </c>
      <c r="I32" s="419">
        <v>0</v>
      </c>
      <c r="K32" s="386">
        <v>2</v>
      </c>
      <c r="L32" s="264"/>
      <c r="M32" s="264">
        <v>0</v>
      </c>
      <c r="N32" s="264">
        <v>0</v>
      </c>
      <c r="O32" s="264">
        <v>0</v>
      </c>
      <c r="P32" s="264"/>
      <c r="Q32" s="264">
        <v>0</v>
      </c>
      <c r="R32" s="419">
        <v>0</v>
      </c>
    </row>
    <row r="33" spans="2:18" ht="12.75" outlineLevel="1" x14ac:dyDescent="0.2">
      <c r="B33" s="386">
        <v>3</v>
      </c>
      <c r="C33" s="264"/>
      <c r="D33" s="264">
        <v>0</v>
      </c>
      <c r="E33" s="264">
        <v>0</v>
      </c>
      <c r="F33" s="264">
        <v>0</v>
      </c>
      <c r="G33" s="264"/>
      <c r="H33" s="264">
        <v>0</v>
      </c>
      <c r="I33" s="419">
        <v>0</v>
      </c>
      <c r="K33" s="386">
        <v>3</v>
      </c>
      <c r="L33" s="264"/>
      <c r="M33" s="264">
        <v>0</v>
      </c>
      <c r="N33" s="264">
        <v>0</v>
      </c>
      <c r="O33" s="264">
        <v>0</v>
      </c>
      <c r="P33" s="264"/>
      <c r="Q33" s="264">
        <v>0</v>
      </c>
      <c r="R33" s="419">
        <v>0</v>
      </c>
    </row>
    <row r="34" spans="2:18" ht="12.75" outlineLevel="1" x14ac:dyDescent="0.2">
      <c r="B34" s="386">
        <v>4</v>
      </c>
      <c r="C34" s="264"/>
      <c r="D34" s="264">
        <v>0</v>
      </c>
      <c r="E34" s="264">
        <v>0</v>
      </c>
      <c r="F34" s="264">
        <v>0</v>
      </c>
      <c r="G34" s="264"/>
      <c r="H34" s="264">
        <v>0</v>
      </c>
      <c r="I34" s="419">
        <v>0</v>
      </c>
      <c r="K34" s="386">
        <v>4</v>
      </c>
      <c r="L34" s="264"/>
      <c r="M34" s="264">
        <v>0</v>
      </c>
      <c r="N34" s="264">
        <v>0</v>
      </c>
      <c r="O34" s="264">
        <v>0</v>
      </c>
      <c r="P34" s="264"/>
      <c r="Q34" s="264">
        <v>0</v>
      </c>
      <c r="R34" s="419">
        <v>0</v>
      </c>
    </row>
    <row r="35" spans="2:18" ht="12.75" outlineLevel="1" x14ac:dyDescent="0.2">
      <c r="B35" s="386">
        <v>5</v>
      </c>
      <c r="C35" s="264"/>
      <c r="D35" s="264">
        <v>0</v>
      </c>
      <c r="E35" s="264">
        <v>0</v>
      </c>
      <c r="F35" s="264">
        <v>0</v>
      </c>
      <c r="G35" s="264"/>
      <c r="H35" s="264">
        <v>0</v>
      </c>
      <c r="I35" s="419">
        <v>0</v>
      </c>
      <c r="K35" s="386">
        <v>5</v>
      </c>
      <c r="L35" s="264"/>
      <c r="M35" s="264">
        <v>0</v>
      </c>
      <c r="N35" s="264">
        <v>0</v>
      </c>
      <c r="O35" s="264">
        <v>0</v>
      </c>
      <c r="P35" s="264"/>
      <c r="Q35" s="264">
        <v>0</v>
      </c>
      <c r="R35" s="419">
        <v>0</v>
      </c>
    </row>
    <row r="36" spans="2:18" ht="12.75" outlineLevel="1" x14ac:dyDescent="0.2">
      <c r="B36" s="386">
        <v>6</v>
      </c>
      <c r="C36" s="264"/>
      <c r="D36" s="264">
        <v>0</v>
      </c>
      <c r="E36" s="264">
        <v>0</v>
      </c>
      <c r="F36" s="264">
        <v>0</v>
      </c>
      <c r="G36" s="264"/>
      <c r="H36" s="264">
        <v>0</v>
      </c>
      <c r="I36" s="419">
        <v>0</v>
      </c>
      <c r="J36" s="420"/>
      <c r="K36" s="386">
        <v>6</v>
      </c>
      <c r="L36" s="264"/>
      <c r="M36" s="264">
        <v>0</v>
      </c>
      <c r="N36" s="264">
        <v>0</v>
      </c>
      <c r="O36" s="264">
        <v>0</v>
      </c>
      <c r="P36" s="264"/>
      <c r="Q36" s="264">
        <v>0</v>
      </c>
      <c r="R36" s="419">
        <v>0</v>
      </c>
    </row>
    <row r="37" spans="2:18" ht="12.75" outlineLevel="1" x14ac:dyDescent="0.2">
      <c r="B37" s="386">
        <v>7</v>
      </c>
      <c r="C37" s="264"/>
      <c r="D37" s="264">
        <v>0</v>
      </c>
      <c r="E37" s="264">
        <v>0</v>
      </c>
      <c r="F37" s="264">
        <v>0</v>
      </c>
      <c r="G37" s="264"/>
      <c r="H37" s="264">
        <v>0</v>
      </c>
      <c r="I37" s="419">
        <v>0</v>
      </c>
      <c r="J37" s="420"/>
      <c r="K37" s="386">
        <v>7</v>
      </c>
      <c r="L37" s="264"/>
      <c r="M37" s="264">
        <v>0</v>
      </c>
      <c r="N37" s="264">
        <v>0</v>
      </c>
      <c r="O37" s="264">
        <v>0</v>
      </c>
      <c r="P37" s="264"/>
      <c r="Q37" s="264">
        <v>0</v>
      </c>
      <c r="R37" s="419">
        <v>0</v>
      </c>
    </row>
    <row r="38" spans="2:18" ht="12.75" outlineLevel="1" x14ac:dyDescent="0.2">
      <c r="B38" s="386">
        <v>8</v>
      </c>
      <c r="C38" s="264"/>
      <c r="D38" s="264">
        <v>0</v>
      </c>
      <c r="E38" s="264">
        <v>0</v>
      </c>
      <c r="F38" s="264">
        <v>0</v>
      </c>
      <c r="G38" s="264"/>
      <c r="H38" s="264">
        <v>0</v>
      </c>
      <c r="I38" s="419">
        <v>0</v>
      </c>
      <c r="K38" s="386">
        <v>8</v>
      </c>
      <c r="L38" s="264"/>
      <c r="M38" s="264">
        <v>0</v>
      </c>
      <c r="N38" s="264">
        <v>0</v>
      </c>
      <c r="O38" s="264">
        <v>0</v>
      </c>
      <c r="P38" s="264"/>
      <c r="Q38" s="264">
        <v>0</v>
      </c>
      <c r="R38" s="419">
        <v>0</v>
      </c>
    </row>
    <row r="39" spans="2:18" ht="12.75" outlineLevel="1" x14ac:dyDescent="0.2">
      <c r="B39" s="386">
        <v>9</v>
      </c>
      <c r="C39" s="264"/>
      <c r="D39" s="264">
        <v>0</v>
      </c>
      <c r="E39" s="264">
        <v>0</v>
      </c>
      <c r="F39" s="264">
        <v>0</v>
      </c>
      <c r="G39" s="264"/>
      <c r="H39" s="264">
        <v>0</v>
      </c>
      <c r="I39" s="419">
        <v>0</v>
      </c>
      <c r="K39" s="386">
        <v>9</v>
      </c>
      <c r="L39" s="264"/>
      <c r="M39" s="264">
        <v>0</v>
      </c>
      <c r="N39" s="264">
        <v>0</v>
      </c>
      <c r="O39" s="264">
        <v>0</v>
      </c>
      <c r="P39" s="264"/>
      <c r="Q39" s="264">
        <v>0</v>
      </c>
      <c r="R39" s="419">
        <v>0</v>
      </c>
    </row>
    <row r="40" spans="2:18" ht="12.75" outlineLevel="1" x14ac:dyDescent="0.2">
      <c r="B40" s="386">
        <v>10</v>
      </c>
      <c r="C40" s="264"/>
      <c r="D40" s="264">
        <v>0</v>
      </c>
      <c r="E40" s="264">
        <v>0</v>
      </c>
      <c r="F40" s="264">
        <v>0</v>
      </c>
      <c r="G40" s="264"/>
      <c r="H40" s="264">
        <v>0</v>
      </c>
      <c r="I40" s="419">
        <v>0</v>
      </c>
      <c r="K40" s="386">
        <v>10</v>
      </c>
      <c r="L40" s="264"/>
      <c r="M40" s="264">
        <v>0</v>
      </c>
      <c r="N40" s="264">
        <v>0</v>
      </c>
      <c r="O40" s="264">
        <v>0</v>
      </c>
      <c r="P40" s="264"/>
      <c r="Q40" s="264">
        <v>0</v>
      </c>
      <c r="R40" s="419">
        <v>0</v>
      </c>
    </row>
    <row r="41" spans="2:18" ht="12.75" outlineLevel="1" x14ac:dyDescent="0.2">
      <c r="B41" s="386">
        <v>11</v>
      </c>
      <c r="C41" s="264"/>
      <c r="D41" s="264">
        <v>0</v>
      </c>
      <c r="E41" s="264">
        <v>0</v>
      </c>
      <c r="F41" s="264">
        <v>0</v>
      </c>
      <c r="G41" s="264"/>
      <c r="H41" s="264">
        <v>0</v>
      </c>
      <c r="I41" s="419">
        <v>0</v>
      </c>
      <c r="K41" s="386">
        <v>11</v>
      </c>
      <c r="L41" s="264"/>
      <c r="M41" s="264">
        <v>0</v>
      </c>
      <c r="N41" s="264">
        <v>0</v>
      </c>
      <c r="O41" s="264">
        <v>0</v>
      </c>
      <c r="P41" s="264"/>
      <c r="Q41" s="264">
        <v>0</v>
      </c>
      <c r="R41" s="419">
        <v>0</v>
      </c>
    </row>
    <row r="42" spans="2:18" ht="12.75" outlineLevel="1" x14ac:dyDescent="0.2">
      <c r="B42" s="386">
        <v>12</v>
      </c>
      <c r="C42" s="264"/>
      <c r="D42" s="264">
        <v>0</v>
      </c>
      <c r="E42" s="264">
        <v>0</v>
      </c>
      <c r="F42" s="264">
        <v>0</v>
      </c>
      <c r="G42" s="264"/>
      <c r="H42" s="264">
        <v>0</v>
      </c>
      <c r="I42" s="419">
        <v>0</v>
      </c>
      <c r="K42" s="386">
        <v>12</v>
      </c>
      <c r="L42" s="264"/>
      <c r="M42" s="264">
        <v>0</v>
      </c>
      <c r="N42" s="264">
        <v>0</v>
      </c>
      <c r="O42" s="264">
        <v>0</v>
      </c>
      <c r="P42" s="264"/>
      <c r="Q42" s="264">
        <v>0</v>
      </c>
      <c r="R42" s="419">
        <v>0</v>
      </c>
    </row>
    <row r="43" spans="2:18" ht="12.75" outlineLevel="1" x14ac:dyDescent="0.2">
      <c r="B43" s="386">
        <v>13</v>
      </c>
      <c r="C43" s="264"/>
      <c r="D43" s="264">
        <v>0</v>
      </c>
      <c r="E43" s="264">
        <v>0</v>
      </c>
      <c r="F43" s="264">
        <v>0</v>
      </c>
      <c r="G43" s="264"/>
      <c r="H43" s="264">
        <v>0</v>
      </c>
      <c r="I43" s="419">
        <v>0</v>
      </c>
      <c r="K43" s="386">
        <v>13</v>
      </c>
      <c r="L43" s="264"/>
      <c r="M43" s="264">
        <v>0</v>
      </c>
      <c r="N43" s="264">
        <v>0</v>
      </c>
      <c r="O43" s="264">
        <v>0</v>
      </c>
      <c r="P43" s="264"/>
      <c r="Q43" s="264">
        <v>0</v>
      </c>
      <c r="R43" s="419">
        <v>0</v>
      </c>
    </row>
    <row r="44" spans="2:18" ht="12.75" outlineLevel="1" x14ac:dyDescent="0.2">
      <c r="B44" s="386">
        <v>14</v>
      </c>
      <c r="C44" s="264"/>
      <c r="D44" s="264">
        <v>0</v>
      </c>
      <c r="E44" s="264">
        <v>0</v>
      </c>
      <c r="F44" s="264">
        <v>0</v>
      </c>
      <c r="G44" s="264"/>
      <c r="H44" s="264">
        <v>0</v>
      </c>
      <c r="I44" s="419">
        <v>0</v>
      </c>
      <c r="K44" s="386">
        <v>14</v>
      </c>
      <c r="L44" s="264"/>
      <c r="M44" s="264">
        <v>0</v>
      </c>
      <c r="N44" s="264">
        <v>0</v>
      </c>
      <c r="O44" s="264">
        <v>0</v>
      </c>
      <c r="P44" s="264"/>
      <c r="Q44" s="264">
        <v>0</v>
      </c>
      <c r="R44" s="419">
        <v>0</v>
      </c>
    </row>
    <row r="45" spans="2:18" ht="12.75" outlineLevel="1" x14ac:dyDescent="0.2">
      <c r="B45" s="386">
        <v>15</v>
      </c>
      <c r="C45" s="264"/>
      <c r="D45" s="264">
        <v>0</v>
      </c>
      <c r="E45" s="264">
        <v>0</v>
      </c>
      <c r="F45" s="264">
        <v>0</v>
      </c>
      <c r="G45" s="264"/>
      <c r="H45" s="264">
        <v>0</v>
      </c>
      <c r="I45" s="419">
        <v>0</v>
      </c>
      <c r="K45" s="386">
        <v>15</v>
      </c>
      <c r="L45" s="264"/>
      <c r="M45" s="264">
        <v>0</v>
      </c>
      <c r="N45" s="264">
        <v>0</v>
      </c>
      <c r="O45" s="264">
        <v>0</v>
      </c>
      <c r="P45" s="264"/>
      <c r="Q45" s="264">
        <v>0</v>
      </c>
      <c r="R45" s="419">
        <v>0</v>
      </c>
    </row>
    <row r="46" spans="2:18" ht="12.75" outlineLevel="1" x14ac:dyDescent="0.2">
      <c r="B46" s="386">
        <v>16</v>
      </c>
      <c r="C46" s="264"/>
      <c r="D46" s="264">
        <v>0</v>
      </c>
      <c r="E46" s="264">
        <v>0</v>
      </c>
      <c r="F46" s="264">
        <v>0</v>
      </c>
      <c r="G46" s="264"/>
      <c r="H46" s="264">
        <v>0</v>
      </c>
      <c r="I46" s="419">
        <v>0</v>
      </c>
      <c r="K46" s="386">
        <v>16</v>
      </c>
      <c r="L46" s="264"/>
      <c r="M46" s="264">
        <v>0</v>
      </c>
      <c r="N46" s="264">
        <v>0</v>
      </c>
      <c r="O46" s="264">
        <v>0</v>
      </c>
      <c r="P46" s="264"/>
      <c r="Q46" s="264">
        <v>0</v>
      </c>
      <c r="R46" s="419">
        <v>0</v>
      </c>
    </row>
    <row r="47" spans="2:18" ht="12.75" outlineLevel="1" x14ac:dyDescent="0.2">
      <c r="B47" s="386">
        <v>17</v>
      </c>
      <c r="C47" s="264"/>
      <c r="D47" s="264">
        <v>0</v>
      </c>
      <c r="E47" s="264">
        <v>0</v>
      </c>
      <c r="F47" s="264">
        <v>0</v>
      </c>
      <c r="G47" s="264"/>
      <c r="H47" s="264">
        <v>0</v>
      </c>
      <c r="I47" s="419">
        <v>0</v>
      </c>
      <c r="K47" s="386">
        <v>17</v>
      </c>
      <c r="L47" s="264"/>
      <c r="M47" s="264">
        <v>0</v>
      </c>
      <c r="N47" s="264">
        <v>0</v>
      </c>
      <c r="O47" s="264">
        <v>0</v>
      </c>
      <c r="P47" s="264"/>
      <c r="Q47" s="264">
        <v>0</v>
      </c>
      <c r="R47" s="419">
        <v>0</v>
      </c>
    </row>
    <row r="48" spans="2:18" ht="12.75" outlineLevel="1" x14ac:dyDescent="0.2">
      <c r="B48" s="386">
        <v>18</v>
      </c>
      <c r="C48" s="264"/>
      <c r="D48" s="264">
        <v>0</v>
      </c>
      <c r="E48" s="264">
        <v>0</v>
      </c>
      <c r="F48" s="264">
        <v>0</v>
      </c>
      <c r="G48" s="264"/>
      <c r="H48" s="264">
        <v>0</v>
      </c>
      <c r="I48" s="419">
        <v>0</v>
      </c>
      <c r="K48" s="386">
        <v>18</v>
      </c>
      <c r="L48" s="264"/>
      <c r="M48" s="264">
        <v>0</v>
      </c>
      <c r="N48" s="264">
        <v>0</v>
      </c>
      <c r="O48" s="264">
        <v>0</v>
      </c>
      <c r="P48" s="264"/>
      <c r="Q48" s="264">
        <v>0</v>
      </c>
      <c r="R48" s="419">
        <v>0</v>
      </c>
    </row>
    <row r="49" spans="1:18" ht="12.75" outlineLevel="1" x14ac:dyDescent="0.2">
      <c r="B49" s="386">
        <v>19</v>
      </c>
      <c r="C49" s="264"/>
      <c r="D49" s="264">
        <v>0</v>
      </c>
      <c r="E49" s="264">
        <v>0</v>
      </c>
      <c r="F49" s="264">
        <v>0</v>
      </c>
      <c r="G49" s="264"/>
      <c r="H49" s="264">
        <v>0</v>
      </c>
      <c r="I49" s="419">
        <v>0</v>
      </c>
      <c r="K49" s="386">
        <v>19</v>
      </c>
      <c r="L49" s="264"/>
      <c r="M49" s="264">
        <v>0</v>
      </c>
      <c r="N49" s="264">
        <v>0</v>
      </c>
      <c r="O49" s="264">
        <v>0</v>
      </c>
      <c r="P49" s="264"/>
      <c r="Q49" s="264">
        <v>0</v>
      </c>
      <c r="R49" s="419">
        <v>0</v>
      </c>
    </row>
    <row r="50" spans="1:18" ht="12.75" outlineLevel="1" x14ac:dyDescent="0.2">
      <c r="B50" s="386">
        <v>20</v>
      </c>
      <c r="C50" s="264"/>
      <c r="D50" s="264">
        <v>0</v>
      </c>
      <c r="E50" s="264">
        <v>0</v>
      </c>
      <c r="F50" s="264">
        <v>0</v>
      </c>
      <c r="G50" s="264"/>
      <c r="H50" s="264">
        <v>0</v>
      </c>
      <c r="I50" s="419">
        <v>0</v>
      </c>
      <c r="K50" s="386">
        <v>20</v>
      </c>
      <c r="L50" s="264"/>
      <c r="M50" s="264">
        <v>0</v>
      </c>
      <c r="N50" s="264">
        <v>0</v>
      </c>
      <c r="O50" s="264">
        <v>0</v>
      </c>
      <c r="P50" s="264"/>
      <c r="Q50" s="264">
        <v>0</v>
      </c>
      <c r="R50" s="419">
        <v>0</v>
      </c>
    </row>
    <row r="51" spans="1:18" outlineLevel="1" x14ac:dyDescent="0.2">
      <c r="D51" s="418">
        <v>0</v>
      </c>
      <c r="E51" s="418">
        <v>0</v>
      </c>
      <c r="F51" s="418">
        <v>0</v>
      </c>
      <c r="M51" s="418">
        <v>0</v>
      </c>
      <c r="N51" s="418">
        <v>0</v>
      </c>
      <c r="O51" s="418">
        <v>0</v>
      </c>
    </row>
    <row r="52" spans="1:18" outlineLevel="1" x14ac:dyDescent="0.2"/>
    <row r="53" spans="1:18" ht="12.75" x14ac:dyDescent="0.2">
      <c r="A53" s="227" t="s">
        <v>523</v>
      </c>
      <c r="B53" s="80" t="s">
        <v>522</v>
      </c>
    </row>
  </sheetData>
  <conditionalFormatting sqref="E10">
    <cfRule type="expression" dxfId="244" priority="11">
      <formula>$E$6="HID"</formula>
    </cfRule>
  </conditionalFormatting>
  <conditionalFormatting sqref="E8">
    <cfRule type="expression" dxfId="243" priority="10">
      <formula>$E$6="LED"</formula>
    </cfRule>
  </conditionalFormatting>
  <conditionalFormatting sqref="C10">
    <cfRule type="expression" dxfId="242" priority="8">
      <formula>$E$6="HID"</formula>
    </cfRule>
  </conditionalFormatting>
  <conditionalFormatting sqref="C8">
    <cfRule type="expression" dxfId="241" priority="7">
      <formula>$E$6="LED"</formula>
    </cfRule>
  </conditionalFormatting>
  <conditionalFormatting sqref="L8:N8">
    <cfRule type="expression" dxfId="240" priority="6">
      <formula>$E$6="LED"</formula>
    </cfRule>
  </conditionalFormatting>
  <conditionalFormatting sqref="F10">
    <cfRule type="expression" dxfId="239" priority="4">
      <formula>$E$6="HID"</formula>
    </cfRule>
  </conditionalFormatting>
  <conditionalFormatting sqref="F8">
    <cfRule type="expression" dxfId="238" priority="3">
      <formula>$E$6="LED"</formula>
    </cfRule>
  </conditionalFormatting>
  <conditionalFormatting sqref="O8">
    <cfRule type="expression" dxfId="237" priority="2">
      <formula>$E$6="LED"</formula>
    </cfRule>
  </conditionalFormatting>
  <conditionalFormatting sqref="O10">
    <cfRule type="expression" dxfId="236" priority="1">
      <formula>$E$6="HID"</formula>
    </cfRule>
  </conditionalFormatting>
  <dataValidations count="3">
    <dataValidation type="list" allowBlank="1" showInputMessage="1" showErrorMessage="1" sqref="E10" xr:uid="{00000000-0002-0000-1900-000000000000}">
      <formula1>LED_Lst</formula1>
    </dataValidation>
    <dataValidation type="list" allowBlank="1" showInputMessage="1" showErrorMessage="1" sqref="E8" xr:uid="{00000000-0002-0000-1900-000001000000}">
      <formula1>HID_lst</formula1>
    </dataValidation>
    <dataValidation type="list" allowBlank="1" showInputMessage="1" showErrorMessage="1" sqref="E6" xr:uid="{00000000-0002-0000-1900-000002000000}">
      <formula1>"HID,LED"</formula1>
    </dataValidation>
  </dataValidations>
  <pageMargins left="0.25" right="0.25" top="0.75" bottom="0.75" header="0.3" footer="0.3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5">
    <tabColor theme="5"/>
  </sheetPr>
  <dimension ref="A1:AL116"/>
  <sheetViews>
    <sheetView showGridLines="0" zoomScaleNormal="100" workbookViewId="0"/>
  </sheetViews>
  <sheetFormatPr defaultRowHeight="12" outlineLevelRow="1" x14ac:dyDescent="0.2"/>
  <cols>
    <col min="1" max="1" width="4.6640625" customWidth="1"/>
    <col min="2" max="2" width="54.5" customWidth="1"/>
    <col min="3" max="3" width="19.1640625" bestFit="1" customWidth="1"/>
    <col min="4" max="4" width="17.83203125" bestFit="1" customWidth="1"/>
    <col min="5" max="5" width="17.6640625" bestFit="1" customWidth="1"/>
    <col min="6" max="7" width="16.83203125" style="386" customWidth="1"/>
    <col min="8" max="8" width="16.83203125" customWidth="1"/>
    <col min="9" max="9" width="16.83203125" style="386" customWidth="1"/>
    <col min="10" max="10" width="16.83203125" customWidth="1"/>
    <col min="11" max="11" width="16.83203125" style="386" customWidth="1"/>
    <col min="12" max="12" width="16.83203125" customWidth="1"/>
    <col min="13" max="13" width="16.83203125" style="386" customWidth="1"/>
    <col min="14" max="15" width="16.83203125" customWidth="1"/>
    <col min="16" max="17" width="13.5" customWidth="1"/>
    <col min="18" max="18" width="16.83203125" customWidth="1"/>
    <col min="19" max="19" width="16.83203125" style="386" customWidth="1"/>
    <col min="20" max="21" width="16.83203125" customWidth="1"/>
    <col min="22" max="22" width="14.33203125" style="386" customWidth="1"/>
    <col min="23" max="23" width="13.5" customWidth="1"/>
    <col min="24" max="25" width="14.83203125" customWidth="1"/>
    <col min="26" max="26" width="17.5" customWidth="1"/>
    <col min="27" max="27" width="20.83203125" bestFit="1" customWidth="1"/>
    <col min="28" max="28" width="15.83203125" customWidth="1"/>
    <col min="29" max="29" width="17.83203125" customWidth="1"/>
    <col min="30" max="30" width="20.5" bestFit="1" customWidth="1"/>
    <col min="31" max="33" width="15.1640625" customWidth="1"/>
    <col min="34" max="35" width="15.5" customWidth="1"/>
    <col min="36" max="36" width="18.1640625" bestFit="1" customWidth="1"/>
  </cols>
  <sheetData>
    <row r="1" spans="1:36" ht="18.75" x14ac:dyDescent="0.3">
      <c r="A1" s="31" t="s">
        <v>19</v>
      </c>
      <c r="B1" s="31"/>
      <c r="C1" s="31"/>
      <c r="D1" s="33"/>
      <c r="E1" s="32"/>
      <c r="F1" s="32"/>
      <c r="G1" s="32"/>
      <c r="H1" s="32"/>
      <c r="I1" s="32"/>
      <c r="J1" s="31"/>
      <c r="K1" s="31"/>
      <c r="L1" s="31"/>
      <c r="M1" s="31"/>
      <c r="N1" s="31"/>
      <c r="O1" s="31"/>
    </row>
    <row r="2" spans="1:36" ht="16.5" thickBot="1" x14ac:dyDescent="0.3">
      <c r="A2" s="394" t="s">
        <v>1325</v>
      </c>
      <c r="B2" s="4"/>
      <c r="C2" s="4" t="s">
        <v>650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75" thickTop="1" x14ac:dyDescent="0.2"/>
    <row r="4" spans="1:36" s="386" customFormat="1" ht="18.75" x14ac:dyDescent="0.3">
      <c r="A4" s="307"/>
      <c r="B4" s="306" t="s">
        <v>681</v>
      </c>
      <c r="C4" s="305"/>
      <c r="D4" s="305"/>
      <c r="E4" s="305"/>
      <c r="F4" s="307"/>
      <c r="G4" s="306"/>
      <c r="H4" s="305"/>
      <c r="I4" s="305"/>
      <c r="J4" s="305"/>
      <c r="K4" s="307"/>
      <c r="L4" s="306"/>
      <c r="M4" s="305"/>
      <c r="N4" s="305"/>
      <c r="O4" s="305"/>
      <c r="P4" s="307"/>
      <c r="Q4" s="306"/>
      <c r="R4" s="305"/>
      <c r="S4" s="305"/>
      <c r="T4" s="305"/>
      <c r="U4" s="305"/>
      <c r="V4" s="305"/>
      <c r="W4" s="305"/>
      <c r="X4" s="305"/>
      <c r="Y4" s="305"/>
      <c r="Z4" s="305"/>
      <c r="AA4" s="305"/>
      <c r="AB4" s="305"/>
      <c r="AC4" s="305"/>
      <c r="AD4" s="305"/>
      <c r="AE4" s="305"/>
      <c r="AF4" s="305"/>
      <c r="AG4" s="305"/>
      <c r="AH4" s="305"/>
      <c r="AI4" s="305"/>
      <c r="AJ4" s="305"/>
    </row>
    <row r="5" spans="1:36" x14ac:dyDescent="0.2">
      <c r="AD5" s="386"/>
      <c r="AE5" s="386"/>
      <c r="AF5" s="386"/>
      <c r="AG5" s="386"/>
      <c r="AH5" s="386"/>
      <c r="AI5" s="386"/>
      <c r="AJ5" s="558"/>
    </row>
    <row r="6" spans="1:36" x14ac:dyDescent="0.2">
      <c r="C6" s="706" t="s">
        <v>628</v>
      </c>
      <c r="D6" s="410" t="s">
        <v>1165</v>
      </c>
      <c r="AD6" s="386"/>
      <c r="AE6" s="386"/>
      <c r="AF6" s="386"/>
      <c r="AG6" s="386"/>
      <c r="AH6" s="386"/>
      <c r="AI6" s="386"/>
      <c r="AJ6" s="558"/>
    </row>
    <row r="7" spans="1:36" x14ac:dyDescent="0.2">
      <c r="C7" s="706" t="s">
        <v>649</v>
      </c>
      <c r="D7" s="769">
        <v>37</v>
      </c>
      <c r="AD7" s="386"/>
      <c r="AE7" s="386"/>
      <c r="AF7" s="386"/>
      <c r="AG7" s="386"/>
      <c r="AH7" s="386"/>
      <c r="AI7" s="386"/>
      <c r="AJ7" s="558"/>
    </row>
    <row r="8" spans="1:36" s="386" customFormat="1" x14ac:dyDescent="0.2">
      <c r="C8" s="706" t="s">
        <v>647</v>
      </c>
      <c r="D8" s="597">
        <v>2.8866985736080375E-2</v>
      </c>
      <c r="AJ8" s="558"/>
    </row>
    <row r="9" spans="1:36" s="558" customFormat="1" x14ac:dyDescent="0.2">
      <c r="C9" s="706"/>
    </row>
    <row r="10" spans="1:36" s="558" customFormat="1" x14ac:dyDescent="0.2">
      <c r="C10" s="706"/>
      <c r="D10" s="61" t="s">
        <v>48</v>
      </c>
      <c r="E10" s="61" t="s">
        <v>1213</v>
      </c>
    </row>
    <row r="11" spans="1:36" s="386" customFormat="1" x14ac:dyDescent="0.2">
      <c r="C11" s="706" t="s">
        <v>593</v>
      </c>
      <c r="D11" s="413">
        <v>125.03558201049108</v>
      </c>
      <c r="E11" s="413">
        <v>112.36619830301726</v>
      </c>
      <c r="G11" s="756" t="s">
        <v>991</v>
      </c>
      <c r="AJ11" s="558"/>
    </row>
    <row r="12" spans="1:36" s="386" customFormat="1" x14ac:dyDescent="0.2">
      <c r="C12" s="706" t="s">
        <v>648</v>
      </c>
      <c r="D12" s="413">
        <v>8.3165640383913821</v>
      </c>
      <c r="E12" s="413">
        <v>7.4738779866615808</v>
      </c>
      <c r="G12" s="756" t="s">
        <v>991</v>
      </c>
      <c r="AJ12" s="558"/>
    </row>
    <row r="13" spans="1:36" s="558" customFormat="1" ht="12.75" thickBot="1" x14ac:dyDescent="0.25">
      <c r="C13" s="186" t="s">
        <v>1322</v>
      </c>
      <c r="D13" s="413">
        <v>8.6665957439212171</v>
      </c>
      <c r="E13" s="413">
        <v>7.5653470424013385</v>
      </c>
      <c r="G13" s="411" t="s">
        <v>869</v>
      </c>
    </row>
    <row r="14" spans="1:36" s="558" customFormat="1" ht="16.5" thickTop="1" thickBot="1" x14ac:dyDescent="0.4">
      <c r="C14" s="186" t="s">
        <v>1323</v>
      </c>
      <c r="D14" s="412">
        <v>9.1531381941178598</v>
      </c>
      <c r="E14" s="412">
        <v>7.9900654203387944</v>
      </c>
      <c r="F14" s="412">
        <v>17.143203614456652</v>
      </c>
      <c r="G14" s="756" t="s">
        <v>1324</v>
      </c>
      <c r="H14" s="6" t="s">
        <v>752</v>
      </c>
    </row>
    <row r="15" spans="1:36" s="558" customFormat="1" ht="12.75" thickTop="1" x14ac:dyDescent="0.2"/>
    <row r="16" spans="1:36" s="386" customFormat="1" x14ac:dyDescent="0.2">
      <c r="AJ16" s="558"/>
    </row>
    <row r="17" spans="1:38" s="386" customFormat="1" ht="18.75" x14ac:dyDescent="0.3">
      <c r="A17" s="307"/>
      <c r="B17" s="306" t="s">
        <v>37</v>
      </c>
      <c r="C17" s="305"/>
      <c r="D17" s="305"/>
      <c r="E17" s="305"/>
      <c r="F17" s="307"/>
      <c r="G17" s="306"/>
      <c r="H17" s="305"/>
      <c r="I17" s="305"/>
      <c r="J17" s="305"/>
      <c r="K17" s="307"/>
      <c r="L17" s="306"/>
      <c r="M17" s="305"/>
      <c r="N17" s="305"/>
      <c r="O17" s="305"/>
      <c r="P17" s="307"/>
      <c r="Q17" s="306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</row>
    <row r="18" spans="1:38" s="386" customFormat="1" outlineLevel="1" x14ac:dyDescent="0.2">
      <c r="AJ18" s="558"/>
    </row>
    <row r="19" spans="1:38" s="386" customFormat="1" ht="25.5" outlineLevel="1" x14ac:dyDescent="0.2">
      <c r="C19" s="398" t="s">
        <v>28</v>
      </c>
      <c r="D19" s="461" t="s">
        <v>1041</v>
      </c>
      <c r="E19" s="461" t="s">
        <v>715</v>
      </c>
      <c r="F19" s="461" t="s">
        <v>714</v>
      </c>
      <c r="G19" s="461"/>
      <c r="H19" s="461" t="s">
        <v>593</v>
      </c>
      <c r="I19" s="78">
        <v>1</v>
      </c>
      <c r="J19" s="78">
        <v>2</v>
      </c>
      <c r="K19" s="78">
        <v>3</v>
      </c>
      <c r="L19" s="78">
        <v>4</v>
      </c>
      <c r="M19" s="78">
        <v>5</v>
      </c>
      <c r="N19" s="78">
        <v>6</v>
      </c>
      <c r="O19" s="78">
        <v>7</v>
      </c>
      <c r="P19" s="78">
        <v>8</v>
      </c>
      <c r="Q19" s="78">
        <v>9</v>
      </c>
      <c r="R19" s="78">
        <v>10</v>
      </c>
      <c r="S19" s="78">
        <v>11</v>
      </c>
      <c r="T19" s="78">
        <v>12</v>
      </c>
      <c r="U19" s="78">
        <v>13</v>
      </c>
      <c r="V19" s="78">
        <v>14</v>
      </c>
      <c r="W19" s="78">
        <v>15</v>
      </c>
      <c r="X19" s="78">
        <v>16</v>
      </c>
      <c r="Y19" s="78">
        <v>17</v>
      </c>
      <c r="Z19" s="78">
        <v>18</v>
      </c>
      <c r="AA19" s="78">
        <v>19</v>
      </c>
      <c r="AB19" s="78">
        <v>20</v>
      </c>
      <c r="AL19" s="558"/>
    </row>
    <row r="20" spans="1:38" s="558" customFormat="1" outlineLevel="1" x14ac:dyDescent="0.2">
      <c r="B20" s="38" t="s">
        <v>995</v>
      </c>
    </row>
    <row r="21" spans="1:38" s="386" customFormat="1" ht="4.1500000000000004" customHeight="1" outlineLevel="1" x14ac:dyDescent="0.2">
      <c r="C21" s="61"/>
      <c r="D21" s="61"/>
      <c r="E21" s="61"/>
      <c r="G21" s="558"/>
      <c r="H21" s="558"/>
      <c r="AL21" s="558"/>
    </row>
    <row r="22" spans="1:38" s="386" customFormat="1" outlineLevel="1" x14ac:dyDescent="0.2">
      <c r="B22" s="386" t="s">
        <v>24</v>
      </c>
      <c r="C22" s="462">
        <v>35.607600000000005</v>
      </c>
      <c r="D22" s="462"/>
      <c r="E22" s="463">
        <v>5</v>
      </c>
      <c r="F22" s="463">
        <v>5</v>
      </c>
      <c r="G22" s="558"/>
      <c r="H22" s="755">
        <v>101.06301703375199</v>
      </c>
      <c r="I22" s="578">
        <v>0</v>
      </c>
      <c r="J22" s="578">
        <v>0</v>
      </c>
      <c r="K22" s="578">
        <v>0</v>
      </c>
      <c r="L22" s="578">
        <v>0</v>
      </c>
      <c r="M22" s="578">
        <v>35.607600000000005</v>
      </c>
      <c r="N22" s="578">
        <v>0</v>
      </c>
      <c r="O22" s="578">
        <v>0</v>
      </c>
      <c r="P22" s="578">
        <v>0</v>
      </c>
      <c r="Q22" s="578">
        <v>0</v>
      </c>
      <c r="R22" s="578">
        <v>35.607600000000005</v>
      </c>
      <c r="S22" s="578">
        <v>0</v>
      </c>
      <c r="T22" s="578">
        <v>0</v>
      </c>
      <c r="U22" s="578">
        <v>0</v>
      </c>
      <c r="V22" s="578">
        <v>0</v>
      </c>
      <c r="W22" s="578">
        <v>35.607600000000005</v>
      </c>
      <c r="X22" s="578">
        <v>0</v>
      </c>
      <c r="Y22" s="578">
        <v>0</v>
      </c>
      <c r="Z22" s="578">
        <v>0</v>
      </c>
      <c r="AA22" s="578">
        <v>0</v>
      </c>
      <c r="AB22" s="578">
        <v>35.607600000000005</v>
      </c>
      <c r="AL22" s="558"/>
    </row>
    <row r="23" spans="1:38" s="386" customFormat="1" outlineLevel="1" x14ac:dyDescent="0.2">
      <c r="B23" s="386" t="s">
        <v>829</v>
      </c>
      <c r="C23" s="462">
        <v>133.73259999999999</v>
      </c>
      <c r="D23" s="788"/>
      <c r="E23" s="583">
        <v>5.0000000000000001E-3</v>
      </c>
      <c r="F23" s="583">
        <v>0</v>
      </c>
      <c r="G23" s="558"/>
      <c r="H23" s="789"/>
      <c r="I23" s="790"/>
      <c r="J23" s="790"/>
      <c r="K23" s="790"/>
      <c r="L23" s="790"/>
      <c r="M23" s="790"/>
      <c r="N23" s="790"/>
      <c r="O23" s="790"/>
      <c r="P23" s="790"/>
      <c r="Q23" s="790"/>
      <c r="R23" s="790"/>
      <c r="S23" s="790"/>
      <c r="T23" s="790"/>
      <c r="U23" s="790"/>
      <c r="V23" s="790"/>
      <c r="W23" s="790"/>
      <c r="X23" s="790"/>
      <c r="Y23" s="790"/>
      <c r="Z23" s="790"/>
      <c r="AA23" s="790"/>
      <c r="AB23" s="790"/>
      <c r="AL23" s="558"/>
    </row>
    <row r="24" spans="1:38" s="386" customFormat="1" outlineLevel="1" x14ac:dyDescent="0.2">
      <c r="B24" s="386" t="s">
        <v>195</v>
      </c>
      <c r="C24" s="462">
        <v>133.73259999999999</v>
      </c>
      <c r="D24" s="788"/>
      <c r="E24" s="583">
        <v>5.0000000000000001E-3</v>
      </c>
      <c r="F24" s="583">
        <v>0.01</v>
      </c>
      <c r="G24" s="558"/>
      <c r="H24" s="789"/>
      <c r="I24" s="790"/>
      <c r="J24" s="790"/>
      <c r="K24" s="790"/>
      <c r="L24" s="790"/>
      <c r="M24" s="790"/>
      <c r="N24" s="790"/>
      <c r="O24" s="790"/>
      <c r="P24" s="790"/>
      <c r="Q24" s="790"/>
      <c r="R24" s="790"/>
      <c r="S24" s="790"/>
      <c r="T24" s="790"/>
      <c r="U24" s="790"/>
      <c r="V24" s="790"/>
      <c r="W24" s="790"/>
      <c r="X24" s="790"/>
      <c r="Y24" s="790"/>
      <c r="Z24" s="790"/>
      <c r="AA24" s="790"/>
      <c r="AB24" s="790"/>
      <c r="AL24" s="558"/>
    </row>
    <row r="25" spans="1:38" s="386" customFormat="1" outlineLevel="1" x14ac:dyDescent="0.2">
      <c r="B25" s="386" t="s">
        <v>640</v>
      </c>
      <c r="C25" s="462">
        <v>133.73259999999999</v>
      </c>
      <c r="D25" s="788"/>
      <c r="E25" s="583">
        <v>0</v>
      </c>
      <c r="F25" s="583">
        <v>0.01</v>
      </c>
      <c r="G25" s="558"/>
      <c r="H25" s="789"/>
      <c r="I25" s="790"/>
      <c r="J25" s="790"/>
      <c r="K25" s="790"/>
      <c r="L25" s="790"/>
      <c r="M25" s="790"/>
      <c r="N25" s="790"/>
      <c r="O25" s="790"/>
      <c r="P25" s="790"/>
      <c r="Q25" s="790"/>
      <c r="R25" s="790"/>
      <c r="S25" s="790"/>
      <c r="T25" s="790"/>
      <c r="U25" s="790"/>
      <c r="V25" s="790"/>
      <c r="W25" s="790"/>
      <c r="X25" s="790"/>
      <c r="Y25" s="790"/>
      <c r="Z25" s="790"/>
      <c r="AA25" s="790"/>
      <c r="AB25" s="790"/>
      <c r="AL25" s="558"/>
    </row>
    <row r="26" spans="1:38" s="386" customFormat="1" outlineLevel="1" x14ac:dyDescent="0.2">
      <c r="B26" s="386" t="s">
        <v>1003</v>
      </c>
      <c r="C26" s="462">
        <v>133.73259999999999</v>
      </c>
      <c r="D26" s="788"/>
      <c r="E26" s="583">
        <v>2.5000000000000001E-3</v>
      </c>
      <c r="F26" s="583">
        <v>2.5000000000000001E-3</v>
      </c>
      <c r="G26" s="558"/>
      <c r="H26" s="789"/>
      <c r="I26" s="790"/>
      <c r="J26" s="790"/>
      <c r="K26" s="790"/>
      <c r="L26" s="790"/>
      <c r="M26" s="790"/>
      <c r="N26" s="790"/>
      <c r="O26" s="790"/>
      <c r="P26" s="790"/>
      <c r="Q26" s="790"/>
      <c r="R26" s="790"/>
      <c r="S26" s="790"/>
      <c r="T26" s="790"/>
      <c r="U26" s="790"/>
      <c r="V26" s="790"/>
      <c r="W26" s="790"/>
      <c r="X26" s="790"/>
      <c r="Y26" s="790"/>
      <c r="Z26" s="790"/>
      <c r="AA26" s="790"/>
      <c r="AB26" s="790"/>
      <c r="AL26" s="558"/>
    </row>
    <row r="27" spans="1:38" s="386" customFormat="1" outlineLevel="1" x14ac:dyDescent="0.2">
      <c r="B27" s="386" t="s">
        <v>646</v>
      </c>
      <c r="C27" s="462">
        <v>12.56</v>
      </c>
      <c r="D27" s="758">
        <v>0.25</v>
      </c>
      <c r="E27" s="463">
        <v>4</v>
      </c>
      <c r="F27" s="463">
        <v>3</v>
      </c>
      <c r="G27" s="558"/>
      <c r="H27" s="755">
        <v>11.303181269265259</v>
      </c>
      <c r="I27" s="578">
        <v>0</v>
      </c>
      <c r="J27" s="578">
        <v>0</v>
      </c>
      <c r="K27" s="578">
        <v>0</v>
      </c>
      <c r="L27" s="578">
        <v>3.14</v>
      </c>
      <c r="M27" s="578">
        <v>0</v>
      </c>
      <c r="N27" s="578">
        <v>0</v>
      </c>
      <c r="O27" s="578">
        <v>0</v>
      </c>
      <c r="P27" s="578">
        <v>3.14</v>
      </c>
      <c r="Q27" s="578">
        <v>0</v>
      </c>
      <c r="R27" s="578">
        <v>0</v>
      </c>
      <c r="S27" s="578">
        <v>0</v>
      </c>
      <c r="T27" s="578">
        <v>3.14</v>
      </c>
      <c r="U27" s="578">
        <v>0</v>
      </c>
      <c r="V27" s="578">
        <v>0</v>
      </c>
      <c r="W27" s="578">
        <v>0</v>
      </c>
      <c r="X27" s="578">
        <v>3.14</v>
      </c>
      <c r="Y27" s="578">
        <v>0</v>
      </c>
      <c r="Z27" s="578">
        <v>0</v>
      </c>
      <c r="AA27" s="578">
        <v>0</v>
      </c>
      <c r="AB27" s="578">
        <v>3.14</v>
      </c>
      <c r="AL27" s="558"/>
    </row>
    <row r="28" spans="1:38" s="386" customFormat="1" ht="4.1500000000000004" customHeight="1" outlineLevel="1" x14ac:dyDescent="0.2">
      <c r="C28" s="414"/>
      <c r="D28" s="414"/>
      <c r="E28" s="414"/>
      <c r="G28" s="558"/>
      <c r="H28" s="558"/>
      <c r="AL28" s="558"/>
    </row>
    <row r="29" spans="1:38" s="386" customFormat="1" outlineLevel="1" x14ac:dyDescent="0.2">
      <c r="B29" s="579" t="s">
        <v>994</v>
      </c>
      <c r="C29" s="580"/>
      <c r="D29" s="580"/>
      <c r="E29" s="580"/>
      <c r="F29" s="579"/>
      <c r="G29" s="579"/>
      <c r="H29" s="757">
        <v>237.40178031350834</v>
      </c>
      <c r="I29" s="581">
        <v>2.0686759599999998</v>
      </c>
      <c r="J29" s="581">
        <v>2.0686759599999998</v>
      </c>
      <c r="K29" s="581">
        <v>2.0686759599999998</v>
      </c>
      <c r="L29" s="581">
        <v>5.2086759599999999</v>
      </c>
      <c r="M29" s="581">
        <v>37.676275960000005</v>
      </c>
      <c r="N29" s="581">
        <v>2.0686759599999998</v>
      </c>
      <c r="O29" s="581">
        <v>2.0686759599999998</v>
      </c>
      <c r="P29" s="581">
        <v>5.2086759599999999</v>
      </c>
      <c r="Q29" s="581">
        <v>2.0686759599999998</v>
      </c>
      <c r="R29" s="581">
        <v>37.676275960000005</v>
      </c>
      <c r="S29" s="581">
        <v>16.621294840000004</v>
      </c>
      <c r="T29" s="581">
        <v>19.761294840000005</v>
      </c>
      <c r="U29" s="581">
        <v>16.621294840000004</v>
      </c>
      <c r="V29" s="581">
        <v>16.621294840000004</v>
      </c>
      <c r="W29" s="581">
        <v>52.228894840000002</v>
      </c>
      <c r="X29" s="581">
        <v>19.761294840000005</v>
      </c>
      <c r="Y29" s="581">
        <v>16.621294840000004</v>
      </c>
      <c r="Z29" s="581">
        <v>16.621294840000004</v>
      </c>
      <c r="AA29" s="581">
        <v>16.621294840000004</v>
      </c>
      <c r="AB29" s="581">
        <v>55.368894840000003</v>
      </c>
      <c r="AL29" s="558"/>
    </row>
    <row r="30" spans="1:38" s="386" customFormat="1" outlineLevel="1" x14ac:dyDescent="0.2">
      <c r="AJ30" s="558"/>
    </row>
    <row r="31" spans="1:38" s="558" customFormat="1" outlineLevel="1" x14ac:dyDescent="0.2"/>
    <row r="32" spans="1:38" s="558" customFormat="1" outlineLevel="1" x14ac:dyDescent="0.2">
      <c r="AF32" s="560"/>
      <c r="AG32" s="560"/>
      <c r="AH32" s="560"/>
    </row>
    <row r="33" spans="1:36" s="386" customFormat="1" outlineLevel="1" x14ac:dyDescent="0.2">
      <c r="B33" s="79" t="s">
        <v>642</v>
      </c>
      <c r="AG33" s="560"/>
      <c r="AJ33" s="558"/>
    </row>
    <row r="34" spans="1:36" s="386" customFormat="1" outlineLevel="1" x14ac:dyDescent="0.2">
      <c r="B34" s="211" t="s">
        <v>643</v>
      </c>
      <c r="C34" s="212"/>
      <c r="D34" s="212"/>
      <c r="E34" s="212"/>
      <c r="F34" s="213"/>
      <c r="AG34" s="560"/>
      <c r="AJ34" s="558"/>
    </row>
    <row r="35" spans="1:36" s="386" customFormat="1" outlineLevel="1" x14ac:dyDescent="0.2">
      <c r="B35" s="211" t="s">
        <v>644</v>
      </c>
      <c r="C35" s="212"/>
      <c r="D35" s="212"/>
      <c r="E35" s="212"/>
      <c r="F35" s="213"/>
      <c r="AG35" s="560"/>
      <c r="AH35" s="560"/>
      <c r="AJ35" s="558"/>
    </row>
    <row r="36" spans="1:36" s="386" customFormat="1" ht="12.75" x14ac:dyDescent="0.2">
      <c r="A36" s="227" t="s">
        <v>523</v>
      </c>
      <c r="B36" s="80" t="s">
        <v>522</v>
      </c>
      <c r="AJ36" s="558"/>
    </row>
    <row r="37" spans="1:36" s="386" customFormat="1" ht="18.75" x14ac:dyDescent="0.3">
      <c r="A37" s="307"/>
      <c r="B37" s="306" t="s">
        <v>782</v>
      </c>
      <c r="C37" s="305"/>
      <c r="D37" s="305"/>
      <c r="E37" s="305"/>
      <c r="F37" s="307"/>
      <c r="G37" s="306"/>
      <c r="H37" s="305"/>
      <c r="I37" s="305"/>
      <c r="J37" s="305"/>
      <c r="K37" s="307"/>
      <c r="L37" s="306"/>
      <c r="M37" s="305"/>
      <c r="N37" s="305"/>
      <c r="O37" s="305"/>
      <c r="P37" s="307"/>
      <c r="Q37" s="306"/>
      <c r="R37" s="305"/>
      <c r="S37" s="305"/>
      <c r="T37" s="305"/>
      <c r="U37" s="305"/>
      <c r="V37" s="305"/>
      <c r="W37" s="305"/>
      <c r="X37" s="305"/>
      <c r="Y37" s="305"/>
      <c r="Z37" s="305"/>
      <c r="AA37" s="305"/>
      <c r="AB37" s="305"/>
      <c r="AC37" s="305"/>
      <c r="AD37" s="305"/>
      <c r="AE37" s="305"/>
      <c r="AF37" s="305"/>
      <c r="AG37" s="305"/>
      <c r="AH37" s="305"/>
      <c r="AI37" s="305"/>
      <c r="AJ37" s="305"/>
    </row>
    <row r="38" spans="1:36" s="386" customFormat="1" x14ac:dyDescent="0.2">
      <c r="AG38" s="530"/>
    </row>
    <row r="39" spans="1:36" s="386" customFormat="1" ht="12.75" thickBot="1" x14ac:dyDescent="0.25">
      <c r="I39" s="558"/>
      <c r="J39" s="530" t="s">
        <v>1326</v>
      </c>
      <c r="AD39" s="558"/>
      <c r="AG39" s="530" t="s">
        <v>1325</v>
      </c>
      <c r="AJ39" s="530" t="s">
        <v>1321</v>
      </c>
    </row>
    <row r="40" spans="1:36" s="386" customFormat="1" ht="12.75" x14ac:dyDescent="0.2">
      <c r="F40" s="399" t="s">
        <v>706</v>
      </c>
      <c r="G40" s="400"/>
      <c r="H40" s="400"/>
      <c r="I40" s="400"/>
      <c r="J40" s="400"/>
      <c r="K40" s="399" t="s">
        <v>631</v>
      </c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399" t="s">
        <v>675</v>
      </c>
      <c r="AI40" s="400"/>
      <c r="AJ40" s="401"/>
    </row>
    <row r="41" spans="1:36" ht="12.75" x14ac:dyDescent="0.2">
      <c r="F41" s="415"/>
      <c r="G41" s="402"/>
      <c r="H41" s="402"/>
      <c r="I41" s="402"/>
      <c r="J41" s="601" t="s">
        <v>1324</v>
      </c>
      <c r="K41" s="403" t="s">
        <v>24</v>
      </c>
      <c r="L41" s="404"/>
      <c r="M41" s="406" t="s">
        <v>826</v>
      </c>
      <c r="N41" s="406"/>
      <c r="O41" s="406"/>
      <c r="P41" s="406"/>
      <c r="Q41" s="407" t="s">
        <v>23</v>
      </c>
      <c r="R41" s="406"/>
      <c r="S41" s="406"/>
      <c r="T41" s="404"/>
      <c r="U41" s="406" t="s">
        <v>635</v>
      </c>
      <c r="V41" s="406"/>
      <c r="W41" s="406"/>
      <c r="X41" s="404"/>
      <c r="Y41" s="407" t="s">
        <v>1003</v>
      </c>
      <c r="Z41" s="406"/>
      <c r="AA41" s="406"/>
      <c r="AB41" s="404"/>
      <c r="AC41" s="407" t="s">
        <v>646</v>
      </c>
      <c r="AD41" s="406"/>
      <c r="AE41" s="406"/>
      <c r="AF41" s="404"/>
      <c r="AG41" s="707" t="s">
        <v>1324</v>
      </c>
      <c r="AH41" s="403" t="s">
        <v>677</v>
      </c>
      <c r="AI41" s="406"/>
      <c r="AJ41" s="617" t="s">
        <v>1324</v>
      </c>
    </row>
    <row r="42" spans="1:36" ht="48" x14ac:dyDescent="0.2">
      <c r="B42" s="395" t="s">
        <v>0</v>
      </c>
      <c r="C42" s="395" t="s">
        <v>628</v>
      </c>
      <c r="D42" s="395" t="s">
        <v>629</v>
      </c>
      <c r="E42" s="395" t="s">
        <v>1111</v>
      </c>
      <c r="F42" s="396" t="s">
        <v>630</v>
      </c>
      <c r="G42" s="395" t="s">
        <v>1010</v>
      </c>
      <c r="H42" s="395" t="s">
        <v>1002</v>
      </c>
      <c r="I42" s="395" t="s">
        <v>696</v>
      </c>
      <c r="J42" s="397" t="s">
        <v>467</v>
      </c>
      <c r="K42" s="396" t="s">
        <v>1018</v>
      </c>
      <c r="L42" s="405" t="s">
        <v>645</v>
      </c>
      <c r="M42" s="395" t="s">
        <v>1019</v>
      </c>
      <c r="N42" s="395" t="s">
        <v>830</v>
      </c>
      <c r="O42" s="395" t="s">
        <v>827</v>
      </c>
      <c r="P42" s="405" t="s">
        <v>828</v>
      </c>
      <c r="Q42" s="395" t="s">
        <v>1020</v>
      </c>
      <c r="R42" s="395" t="s">
        <v>634</v>
      </c>
      <c r="S42" s="395" t="s">
        <v>716</v>
      </c>
      <c r="T42" s="405" t="s">
        <v>719</v>
      </c>
      <c r="U42" s="395" t="s">
        <v>1021</v>
      </c>
      <c r="V42" s="395" t="s">
        <v>641</v>
      </c>
      <c r="W42" s="395" t="s">
        <v>717</v>
      </c>
      <c r="X42" s="405" t="s">
        <v>720</v>
      </c>
      <c r="Y42" s="395" t="s">
        <v>1022</v>
      </c>
      <c r="Z42" s="395" t="s">
        <v>1006</v>
      </c>
      <c r="AA42" s="395" t="s">
        <v>1004</v>
      </c>
      <c r="AB42" s="405" t="s">
        <v>1005</v>
      </c>
      <c r="AC42" s="395" t="s">
        <v>1023</v>
      </c>
      <c r="AD42" s="395" t="s">
        <v>1232</v>
      </c>
      <c r="AE42" s="395" t="s">
        <v>718</v>
      </c>
      <c r="AF42" s="405" t="s">
        <v>721</v>
      </c>
      <c r="AG42" s="395" t="s">
        <v>419</v>
      </c>
      <c r="AH42" s="396" t="s">
        <v>697</v>
      </c>
      <c r="AI42" s="395" t="s">
        <v>698</v>
      </c>
      <c r="AJ42" s="397" t="s">
        <v>675</v>
      </c>
    </row>
    <row r="43" spans="1:36" x14ac:dyDescent="0.2">
      <c r="B43" s="677"/>
      <c r="C43" s="658" t="s">
        <v>76</v>
      </c>
      <c r="D43" s="659" t="s">
        <v>636</v>
      </c>
      <c r="E43" s="660">
        <v>17</v>
      </c>
      <c r="F43" s="791"/>
      <c r="G43" s="792"/>
      <c r="H43" s="661"/>
      <c r="I43" s="678">
        <v>420.15740700000003</v>
      </c>
      <c r="J43" s="662">
        <v>34.605651593182479</v>
      </c>
      <c r="K43" s="663">
        <v>28.35</v>
      </c>
      <c r="L43" s="660">
        <v>5</v>
      </c>
      <c r="M43" s="664">
        <v>106.47499999999999</v>
      </c>
      <c r="N43" s="795"/>
      <c r="O43" s="665">
        <v>5.0000000000000001E-3</v>
      </c>
      <c r="P43" s="666"/>
      <c r="Q43" s="664">
        <v>106.47499999999999</v>
      </c>
      <c r="R43" s="795"/>
      <c r="S43" s="665">
        <v>5.0000000000000001E-3</v>
      </c>
      <c r="T43" s="667">
        <v>0.01</v>
      </c>
      <c r="U43" s="664">
        <v>106.47499999999999</v>
      </c>
      <c r="V43" s="795"/>
      <c r="W43" s="668"/>
      <c r="X43" s="667">
        <v>0.01</v>
      </c>
      <c r="Y43" s="664">
        <v>106.47499999999999</v>
      </c>
      <c r="Z43" s="797"/>
      <c r="AA43" s="669">
        <v>2.5000000000000001E-3</v>
      </c>
      <c r="AB43" s="670">
        <v>2.5000000000000001E-3</v>
      </c>
      <c r="AC43" s="671">
        <v>10</v>
      </c>
      <c r="AD43" s="668">
        <v>0.25</v>
      </c>
      <c r="AE43" s="672">
        <v>4</v>
      </c>
      <c r="AF43" s="660">
        <v>3</v>
      </c>
      <c r="AG43" s="673">
        <v>12.343332014522948</v>
      </c>
      <c r="AH43" s="798"/>
      <c r="AI43" s="799"/>
      <c r="AJ43" s="662">
        <v>16.905124306609803</v>
      </c>
    </row>
    <row r="44" spans="1:36" x14ac:dyDescent="0.2">
      <c r="B44" s="677" t="s">
        <v>1156</v>
      </c>
      <c r="C44" s="658" t="s">
        <v>86</v>
      </c>
      <c r="D44" s="659" t="s">
        <v>636</v>
      </c>
      <c r="E44" s="660">
        <v>17</v>
      </c>
      <c r="F44" s="791"/>
      <c r="G44" s="792"/>
      <c r="H44" s="661"/>
      <c r="I44" s="678">
        <v>445.36611300000004</v>
      </c>
      <c r="J44" s="662">
        <v>36.679638744581119</v>
      </c>
      <c r="K44" s="663">
        <v>28.35</v>
      </c>
      <c r="L44" s="660">
        <v>5</v>
      </c>
      <c r="M44" s="664">
        <v>106.47499999999999</v>
      </c>
      <c r="N44" s="795"/>
      <c r="O44" s="665">
        <v>5.0000000000000001E-3</v>
      </c>
      <c r="P44" s="666"/>
      <c r="Q44" s="664">
        <v>106.47499999999999</v>
      </c>
      <c r="R44" s="795"/>
      <c r="S44" s="665">
        <v>5.0000000000000001E-3</v>
      </c>
      <c r="T44" s="667">
        <v>0.01</v>
      </c>
      <c r="U44" s="664">
        <v>106.47499999999999</v>
      </c>
      <c r="V44" s="795"/>
      <c r="W44" s="668"/>
      <c r="X44" s="667">
        <v>0.01</v>
      </c>
      <c r="Y44" s="664">
        <v>106.47499999999999</v>
      </c>
      <c r="Z44" s="797"/>
      <c r="AA44" s="669">
        <v>2.5000000000000001E-3</v>
      </c>
      <c r="AB44" s="670">
        <v>2.5000000000000001E-3</v>
      </c>
      <c r="AC44" s="671">
        <v>10</v>
      </c>
      <c r="AD44" s="668">
        <v>0.25</v>
      </c>
      <c r="AE44" s="672">
        <v>4</v>
      </c>
      <c r="AF44" s="660">
        <v>3</v>
      </c>
      <c r="AG44" s="673">
        <v>12.468948488901379</v>
      </c>
      <c r="AH44" s="798"/>
      <c r="AI44" s="799"/>
      <c r="AJ44" s="662">
        <v>17.813466078636647</v>
      </c>
    </row>
    <row r="45" spans="1:36" x14ac:dyDescent="0.2">
      <c r="B45" s="677"/>
      <c r="C45" s="658" t="s">
        <v>97</v>
      </c>
      <c r="D45" s="659" t="s">
        <v>636</v>
      </c>
      <c r="E45" s="660">
        <v>17</v>
      </c>
      <c r="F45" s="791"/>
      <c r="G45" s="792"/>
      <c r="H45" s="661"/>
      <c r="I45" s="678">
        <v>518.33868300000006</v>
      </c>
      <c r="J45" s="662">
        <v>42.687787090385427</v>
      </c>
      <c r="K45" s="663">
        <v>28.35</v>
      </c>
      <c r="L45" s="660">
        <v>5</v>
      </c>
      <c r="M45" s="664">
        <v>106.47499999999999</v>
      </c>
      <c r="N45" s="795"/>
      <c r="O45" s="665">
        <v>5.0000000000000001E-3</v>
      </c>
      <c r="P45" s="666"/>
      <c r="Q45" s="664">
        <v>106.47499999999999</v>
      </c>
      <c r="R45" s="795"/>
      <c r="S45" s="665">
        <v>5.0000000000000001E-3</v>
      </c>
      <c r="T45" s="667">
        <v>0.01</v>
      </c>
      <c r="U45" s="664">
        <v>106.47499999999999</v>
      </c>
      <c r="V45" s="795"/>
      <c r="W45" s="668"/>
      <c r="X45" s="667">
        <v>0.01</v>
      </c>
      <c r="Y45" s="664">
        <v>106.47499999999999</v>
      </c>
      <c r="Z45" s="797"/>
      <c r="AA45" s="669">
        <v>2.5000000000000001E-3</v>
      </c>
      <c r="AB45" s="670">
        <v>2.5000000000000001E-3</v>
      </c>
      <c r="AC45" s="671">
        <v>10</v>
      </c>
      <c r="AD45" s="668">
        <v>0.25</v>
      </c>
      <c r="AE45" s="672">
        <v>4</v>
      </c>
      <c r="AF45" s="660">
        <v>3</v>
      </c>
      <c r="AG45" s="673">
        <v>12.832575125259993</v>
      </c>
      <c r="AH45" s="798"/>
      <c r="AI45" s="799"/>
      <c r="AJ45" s="662">
        <v>20.442876471345926</v>
      </c>
    </row>
    <row r="46" spans="1:36" x14ac:dyDescent="0.2">
      <c r="B46" s="677"/>
      <c r="C46" s="658" t="s">
        <v>111</v>
      </c>
      <c r="D46" s="659" t="s">
        <v>636</v>
      </c>
      <c r="E46" s="660">
        <v>17</v>
      </c>
      <c r="F46" s="791"/>
      <c r="G46" s="792"/>
      <c r="H46" s="661"/>
      <c r="I46" s="678">
        <v>425.46450300000004</v>
      </c>
      <c r="J46" s="662">
        <v>35.043968465385284</v>
      </c>
      <c r="K46" s="663">
        <v>28.35</v>
      </c>
      <c r="L46" s="660">
        <v>5</v>
      </c>
      <c r="M46" s="664">
        <v>106.47499999999999</v>
      </c>
      <c r="N46" s="795"/>
      <c r="O46" s="665">
        <v>5.0000000000000001E-3</v>
      </c>
      <c r="P46" s="666"/>
      <c r="Q46" s="664">
        <v>106.47499999999999</v>
      </c>
      <c r="R46" s="795"/>
      <c r="S46" s="665">
        <v>5.0000000000000001E-3</v>
      </c>
      <c r="T46" s="667">
        <v>0.01</v>
      </c>
      <c r="U46" s="664">
        <v>106.47499999999999</v>
      </c>
      <c r="V46" s="795"/>
      <c r="W46" s="668"/>
      <c r="X46" s="667">
        <v>0.01</v>
      </c>
      <c r="Y46" s="664">
        <v>106.47499999999999</v>
      </c>
      <c r="Z46" s="797"/>
      <c r="AA46" s="669">
        <v>2.5000000000000001E-3</v>
      </c>
      <c r="AB46" s="670">
        <v>2.5000000000000001E-3</v>
      </c>
      <c r="AC46" s="671">
        <v>10</v>
      </c>
      <c r="AD46" s="668">
        <v>0.25</v>
      </c>
      <c r="AE46" s="672">
        <v>4</v>
      </c>
      <c r="AF46" s="660">
        <v>3</v>
      </c>
      <c r="AG46" s="673">
        <v>12.369777588076303</v>
      </c>
      <c r="AH46" s="798"/>
      <c r="AI46" s="799"/>
      <c r="AJ46" s="662">
        <v>17.096354153352294</v>
      </c>
    </row>
    <row r="47" spans="1:36" x14ac:dyDescent="0.2">
      <c r="B47" s="677"/>
      <c r="C47" s="658" t="s">
        <v>126</v>
      </c>
      <c r="D47" s="659" t="s">
        <v>636</v>
      </c>
      <c r="E47" s="660">
        <v>17</v>
      </c>
      <c r="F47" s="791"/>
      <c r="G47" s="792"/>
      <c r="H47" s="661"/>
      <c r="I47" s="678">
        <v>425.46450300000004</v>
      </c>
      <c r="J47" s="662">
        <v>35.043968465385284</v>
      </c>
      <c r="K47" s="663">
        <v>28.35</v>
      </c>
      <c r="L47" s="660">
        <v>5</v>
      </c>
      <c r="M47" s="664">
        <v>106.47499999999999</v>
      </c>
      <c r="N47" s="795"/>
      <c r="O47" s="665">
        <v>5.0000000000000001E-3</v>
      </c>
      <c r="P47" s="666"/>
      <c r="Q47" s="664">
        <v>106.47499999999999</v>
      </c>
      <c r="R47" s="795"/>
      <c r="S47" s="665">
        <v>5.0000000000000001E-3</v>
      </c>
      <c r="T47" s="667">
        <v>0.01</v>
      </c>
      <c r="U47" s="664">
        <v>106.47499999999999</v>
      </c>
      <c r="V47" s="795"/>
      <c r="W47" s="668"/>
      <c r="X47" s="667">
        <v>0.01</v>
      </c>
      <c r="Y47" s="664">
        <v>106.47499999999999</v>
      </c>
      <c r="Z47" s="797"/>
      <c r="AA47" s="669">
        <v>2.5000000000000001E-3</v>
      </c>
      <c r="AB47" s="670">
        <v>2.5000000000000001E-3</v>
      </c>
      <c r="AC47" s="671">
        <v>10</v>
      </c>
      <c r="AD47" s="668">
        <v>0.25</v>
      </c>
      <c r="AE47" s="672">
        <v>4</v>
      </c>
      <c r="AF47" s="660">
        <v>3</v>
      </c>
      <c r="AG47" s="673">
        <v>12.369777588076303</v>
      </c>
      <c r="AH47" s="798"/>
      <c r="AI47" s="799"/>
      <c r="AJ47" s="662">
        <v>17.096354153352294</v>
      </c>
    </row>
    <row r="48" spans="1:36" x14ac:dyDescent="0.2">
      <c r="B48" s="677" t="s">
        <v>1109</v>
      </c>
      <c r="C48" s="658" t="s">
        <v>477</v>
      </c>
      <c r="D48" s="659" t="s">
        <v>636</v>
      </c>
      <c r="E48" s="660">
        <v>17</v>
      </c>
      <c r="F48" s="791"/>
      <c r="G48" s="792"/>
      <c r="H48" s="661"/>
      <c r="I48" s="678">
        <v>1394.0095230000002</v>
      </c>
      <c r="J48" s="662">
        <v>114.80694855087631</v>
      </c>
      <c r="K48" s="663">
        <v>28.35</v>
      </c>
      <c r="L48" s="660">
        <v>5</v>
      </c>
      <c r="M48" s="664">
        <v>106.47499999999999</v>
      </c>
      <c r="N48" s="795"/>
      <c r="O48" s="665">
        <v>5.0000000000000001E-3</v>
      </c>
      <c r="P48" s="666"/>
      <c r="Q48" s="664">
        <v>106.47499999999999</v>
      </c>
      <c r="R48" s="795"/>
      <c r="S48" s="665">
        <v>5.0000000000000001E-3</v>
      </c>
      <c r="T48" s="667">
        <v>0.01</v>
      </c>
      <c r="U48" s="664">
        <v>106.47499999999999</v>
      </c>
      <c r="V48" s="795"/>
      <c r="W48" s="668"/>
      <c r="X48" s="667">
        <v>0.01</v>
      </c>
      <c r="Y48" s="664">
        <v>106.47499999999999</v>
      </c>
      <c r="Z48" s="797"/>
      <c r="AA48" s="669">
        <v>2.5000000000000001E-3</v>
      </c>
      <c r="AB48" s="670">
        <v>2.5000000000000001E-3</v>
      </c>
      <c r="AC48" s="671">
        <v>10</v>
      </c>
      <c r="AD48" s="668">
        <v>0.25</v>
      </c>
      <c r="AE48" s="672">
        <v>4</v>
      </c>
      <c r="AF48" s="660">
        <v>3</v>
      </c>
      <c r="AG48" s="673">
        <v>17.196094761563366</v>
      </c>
      <c r="AH48" s="798"/>
      <c r="AI48" s="799"/>
      <c r="AJ48" s="662">
        <v>51.99580118385726</v>
      </c>
    </row>
    <row r="49" spans="2:36" x14ac:dyDescent="0.2">
      <c r="B49" s="677" t="s">
        <v>409</v>
      </c>
      <c r="C49" s="658" t="s">
        <v>478</v>
      </c>
      <c r="D49" s="659" t="s">
        <v>636</v>
      </c>
      <c r="E49" s="660">
        <v>17</v>
      </c>
      <c r="F49" s="791"/>
      <c r="G49" s="792"/>
      <c r="H49" s="661"/>
      <c r="I49" s="678">
        <v>1394.0095230000002</v>
      </c>
      <c r="J49" s="662">
        <v>114.80694855087631</v>
      </c>
      <c r="K49" s="663">
        <v>28.35</v>
      </c>
      <c r="L49" s="660">
        <v>5</v>
      </c>
      <c r="M49" s="664">
        <v>106.47499999999999</v>
      </c>
      <c r="N49" s="795"/>
      <c r="O49" s="665">
        <v>5.0000000000000001E-3</v>
      </c>
      <c r="P49" s="666"/>
      <c r="Q49" s="664">
        <v>106.47499999999999</v>
      </c>
      <c r="R49" s="795"/>
      <c r="S49" s="665">
        <v>5.0000000000000001E-3</v>
      </c>
      <c r="T49" s="667">
        <v>0.01</v>
      </c>
      <c r="U49" s="664">
        <v>106.47499999999999</v>
      </c>
      <c r="V49" s="795"/>
      <c r="W49" s="668"/>
      <c r="X49" s="667">
        <v>0.01</v>
      </c>
      <c r="Y49" s="664">
        <v>106.47499999999999</v>
      </c>
      <c r="Z49" s="797"/>
      <c r="AA49" s="669">
        <v>2.5000000000000001E-3</v>
      </c>
      <c r="AB49" s="670">
        <v>2.5000000000000001E-3</v>
      </c>
      <c r="AC49" s="671">
        <v>10</v>
      </c>
      <c r="AD49" s="668">
        <v>0.25</v>
      </c>
      <c r="AE49" s="672">
        <v>4</v>
      </c>
      <c r="AF49" s="660">
        <v>3</v>
      </c>
      <c r="AG49" s="673">
        <v>17.196094761563366</v>
      </c>
      <c r="AH49" s="798"/>
      <c r="AI49" s="799"/>
      <c r="AJ49" s="662">
        <v>51.99580118385726</v>
      </c>
    </row>
    <row r="50" spans="2:36" x14ac:dyDescent="0.2">
      <c r="B50" s="677"/>
      <c r="C50" s="658" t="s">
        <v>127</v>
      </c>
      <c r="D50" s="659" t="s">
        <v>636</v>
      </c>
      <c r="E50" s="660">
        <v>17</v>
      </c>
      <c r="F50" s="791"/>
      <c r="G50" s="792"/>
      <c r="H50" s="661"/>
      <c r="I50" s="678">
        <v>425.46450300000004</v>
      </c>
      <c r="J50" s="662">
        <v>35.043968465385284</v>
      </c>
      <c r="K50" s="663">
        <v>28.35</v>
      </c>
      <c r="L50" s="660">
        <v>5</v>
      </c>
      <c r="M50" s="664">
        <v>106.47499999999999</v>
      </c>
      <c r="N50" s="795"/>
      <c r="O50" s="665">
        <v>5.0000000000000001E-3</v>
      </c>
      <c r="P50" s="666"/>
      <c r="Q50" s="664">
        <v>106.47499999999999</v>
      </c>
      <c r="R50" s="795"/>
      <c r="S50" s="665">
        <v>5.0000000000000001E-3</v>
      </c>
      <c r="T50" s="667">
        <v>0.01</v>
      </c>
      <c r="U50" s="664">
        <v>106.47499999999999</v>
      </c>
      <c r="V50" s="795"/>
      <c r="W50" s="668"/>
      <c r="X50" s="667">
        <v>0.01</v>
      </c>
      <c r="Y50" s="664">
        <v>106.47499999999999</v>
      </c>
      <c r="Z50" s="797"/>
      <c r="AA50" s="669">
        <v>2.5000000000000001E-3</v>
      </c>
      <c r="AB50" s="670">
        <v>2.5000000000000001E-3</v>
      </c>
      <c r="AC50" s="671">
        <v>10</v>
      </c>
      <c r="AD50" s="668">
        <v>0.25</v>
      </c>
      <c r="AE50" s="672">
        <v>4</v>
      </c>
      <c r="AF50" s="660">
        <v>3</v>
      </c>
      <c r="AG50" s="673">
        <v>12.369777588076303</v>
      </c>
      <c r="AH50" s="798"/>
      <c r="AI50" s="799"/>
      <c r="AJ50" s="662">
        <v>17.096354153352294</v>
      </c>
    </row>
    <row r="51" spans="2:36" x14ac:dyDescent="0.2">
      <c r="B51" s="677"/>
      <c r="C51" s="658" t="s">
        <v>207</v>
      </c>
      <c r="D51" s="659" t="s">
        <v>636</v>
      </c>
      <c r="E51" s="660">
        <v>17</v>
      </c>
      <c r="F51" s="791"/>
      <c r="G51" s="793"/>
      <c r="H51" s="674"/>
      <c r="I51" s="678">
        <v>425.46450300000004</v>
      </c>
      <c r="J51" s="662">
        <v>35.043968465385284</v>
      </c>
      <c r="K51" s="663">
        <v>28.35</v>
      </c>
      <c r="L51" s="660">
        <v>5</v>
      </c>
      <c r="M51" s="664">
        <v>106.47499999999999</v>
      </c>
      <c r="N51" s="795"/>
      <c r="O51" s="665">
        <v>5.0000000000000001E-3</v>
      </c>
      <c r="P51" s="666"/>
      <c r="Q51" s="664">
        <v>106.47499999999999</v>
      </c>
      <c r="R51" s="795"/>
      <c r="S51" s="665">
        <v>5.0000000000000001E-3</v>
      </c>
      <c r="T51" s="667">
        <v>0.01</v>
      </c>
      <c r="U51" s="664">
        <v>106.47499999999999</v>
      </c>
      <c r="V51" s="795"/>
      <c r="W51" s="668"/>
      <c r="X51" s="667">
        <v>0.01</v>
      </c>
      <c r="Y51" s="664">
        <v>106.47499999999999</v>
      </c>
      <c r="Z51" s="797"/>
      <c r="AA51" s="669">
        <v>2.5000000000000001E-3</v>
      </c>
      <c r="AB51" s="670">
        <v>2.5000000000000001E-3</v>
      </c>
      <c r="AC51" s="671">
        <v>10</v>
      </c>
      <c r="AD51" s="668">
        <v>0.25</v>
      </c>
      <c r="AE51" s="672">
        <v>4</v>
      </c>
      <c r="AF51" s="660">
        <v>3</v>
      </c>
      <c r="AG51" s="673">
        <v>12.369777588076303</v>
      </c>
      <c r="AH51" s="798"/>
      <c r="AI51" s="799"/>
      <c r="AJ51" s="662">
        <v>17.096354153352294</v>
      </c>
    </row>
    <row r="52" spans="2:36" x14ac:dyDescent="0.2">
      <c r="B52" s="677"/>
      <c r="C52" s="658" t="s">
        <v>132</v>
      </c>
      <c r="D52" s="659" t="s">
        <v>636</v>
      </c>
      <c r="E52" s="660">
        <v>17</v>
      </c>
      <c r="F52" s="791"/>
      <c r="G52" s="793"/>
      <c r="H52" s="674"/>
      <c r="I52" s="678">
        <v>1058.335701</v>
      </c>
      <c r="J52" s="662">
        <v>87.160913635840828</v>
      </c>
      <c r="K52" s="663">
        <v>28.35</v>
      </c>
      <c r="L52" s="660">
        <v>5</v>
      </c>
      <c r="M52" s="664">
        <v>106.47499999999999</v>
      </c>
      <c r="N52" s="795"/>
      <c r="O52" s="665">
        <v>5.0000000000000001E-3</v>
      </c>
      <c r="P52" s="666"/>
      <c r="Q52" s="664">
        <v>106.47499999999999</v>
      </c>
      <c r="R52" s="795"/>
      <c r="S52" s="665">
        <v>5.0000000000000001E-3</v>
      </c>
      <c r="T52" s="667">
        <v>0.01</v>
      </c>
      <c r="U52" s="664">
        <v>106.47499999999999</v>
      </c>
      <c r="V52" s="795"/>
      <c r="W52" s="668"/>
      <c r="X52" s="667">
        <v>0.01</v>
      </c>
      <c r="Y52" s="664">
        <v>106.47499999999999</v>
      </c>
      <c r="Z52" s="797"/>
      <c r="AA52" s="669">
        <v>2.5000000000000001E-3</v>
      </c>
      <c r="AB52" s="670">
        <v>2.5000000000000001E-3</v>
      </c>
      <c r="AC52" s="671">
        <v>10</v>
      </c>
      <c r="AD52" s="668">
        <v>0.25</v>
      </c>
      <c r="AE52" s="672">
        <v>4</v>
      </c>
      <c r="AF52" s="660">
        <v>3</v>
      </c>
      <c r="AG52" s="673">
        <v>15.523412234313739</v>
      </c>
      <c r="AH52" s="798"/>
      <c r="AI52" s="799"/>
      <c r="AJ52" s="662">
        <v>39.900513377394581</v>
      </c>
    </row>
    <row r="53" spans="2:36" x14ac:dyDescent="0.2">
      <c r="B53" s="677"/>
      <c r="C53" s="658" t="s">
        <v>138</v>
      </c>
      <c r="D53" s="659" t="s">
        <v>636</v>
      </c>
      <c r="E53" s="660">
        <v>17</v>
      </c>
      <c r="F53" s="791"/>
      <c r="G53" s="793"/>
      <c r="H53" s="674"/>
      <c r="I53" s="678">
        <v>425.46450300000004</v>
      </c>
      <c r="J53" s="662">
        <v>35.043968465385284</v>
      </c>
      <c r="K53" s="663">
        <v>28.35</v>
      </c>
      <c r="L53" s="660">
        <v>5</v>
      </c>
      <c r="M53" s="664">
        <v>106.47499999999999</v>
      </c>
      <c r="N53" s="795"/>
      <c r="O53" s="665">
        <v>5.0000000000000001E-3</v>
      </c>
      <c r="P53" s="666"/>
      <c r="Q53" s="664">
        <v>106.47499999999999</v>
      </c>
      <c r="R53" s="795"/>
      <c r="S53" s="665">
        <v>5.0000000000000001E-3</v>
      </c>
      <c r="T53" s="667">
        <v>0.01</v>
      </c>
      <c r="U53" s="664">
        <v>106.47499999999999</v>
      </c>
      <c r="V53" s="795"/>
      <c r="W53" s="668"/>
      <c r="X53" s="667">
        <v>0.01</v>
      </c>
      <c r="Y53" s="664">
        <v>106.47499999999999</v>
      </c>
      <c r="Z53" s="797"/>
      <c r="AA53" s="669">
        <v>2.5000000000000001E-3</v>
      </c>
      <c r="AB53" s="670">
        <v>2.5000000000000001E-3</v>
      </c>
      <c r="AC53" s="671">
        <v>10</v>
      </c>
      <c r="AD53" s="668">
        <v>0.25</v>
      </c>
      <c r="AE53" s="672">
        <v>4</v>
      </c>
      <c r="AF53" s="660">
        <v>3</v>
      </c>
      <c r="AG53" s="673">
        <v>12.369777588076303</v>
      </c>
      <c r="AH53" s="798"/>
      <c r="AI53" s="799"/>
      <c r="AJ53" s="662">
        <v>17.096354153352294</v>
      </c>
    </row>
    <row r="54" spans="2:36" x14ac:dyDescent="0.2">
      <c r="B54" s="677"/>
      <c r="C54" s="658" t="s">
        <v>139</v>
      </c>
      <c r="D54" s="659" t="s">
        <v>636</v>
      </c>
      <c r="E54" s="660">
        <v>17</v>
      </c>
      <c r="F54" s="791"/>
      <c r="G54" s="793"/>
      <c r="H54" s="674"/>
      <c r="I54" s="678">
        <v>425.46450300000004</v>
      </c>
      <c r="J54" s="662">
        <v>35.043968465385284</v>
      </c>
      <c r="K54" s="663">
        <v>28.35</v>
      </c>
      <c r="L54" s="660">
        <v>5</v>
      </c>
      <c r="M54" s="664">
        <v>106.47499999999999</v>
      </c>
      <c r="N54" s="795"/>
      <c r="O54" s="665">
        <v>5.0000000000000001E-3</v>
      </c>
      <c r="P54" s="666"/>
      <c r="Q54" s="664">
        <v>106.47499999999999</v>
      </c>
      <c r="R54" s="795"/>
      <c r="S54" s="665">
        <v>5.0000000000000001E-3</v>
      </c>
      <c r="T54" s="667">
        <v>0.01</v>
      </c>
      <c r="U54" s="664">
        <v>106.47499999999999</v>
      </c>
      <c r="V54" s="795"/>
      <c r="W54" s="668"/>
      <c r="X54" s="667">
        <v>0.01</v>
      </c>
      <c r="Y54" s="664">
        <v>106.47499999999999</v>
      </c>
      <c r="Z54" s="797"/>
      <c r="AA54" s="669">
        <v>2.5000000000000001E-3</v>
      </c>
      <c r="AB54" s="670">
        <v>2.5000000000000001E-3</v>
      </c>
      <c r="AC54" s="671">
        <v>10</v>
      </c>
      <c r="AD54" s="668">
        <v>0.25</v>
      </c>
      <c r="AE54" s="672">
        <v>4</v>
      </c>
      <c r="AF54" s="660">
        <v>3</v>
      </c>
      <c r="AG54" s="673">
        <v>12.369777588076303</v>
      </c>
      <c r="AH54" s="798"/>
      <c r="AI54" s="799"/>
      <c r="AJ54" s="662">
        <v>17.096354153352294</v>
      </c>
    </row>
    <row r="55" spans="2:36" x14ac:dyDescent="0.2">
      <c r="B55" s="677"/>
      <c r="C55" s="658" t="s">
        <v>144</v>
      </c>
      <c r="D55" s="659" t="s">
        <v>636</v>
      </c>
      <c r="E55" s="660">
        <v>17</v>
      </c>
      <c r="F55" s="791"/>
      <c r="G55" s="793"/>
      <c r="H55" s="674"/>
      <c r="I55" s="678">
        <v>1058.335701</v>
      </c>
      <c r="J55" s="662">
        <v>87.160913635840828</v>
      </c>
      <c r="K55" s="663">
        <v>28.35</v>
      </c>
      <c r="L55" s="660">
        <v>5</v>
      </c>
      <c r="M55" s="664">
        <v>106.47499999999999</v>
      </c>
      <c r="N55" s="795"/>
      <c r="O55" s="665">
        <v>5.0000000000000001E-3</v>
      </c>
      <c r="P55" s="666"/>
      <c r="Q55" s="664">
        <v>106.47499999999999</v>
      </c>
      <c r="R55" s="795"/>
      <c r="S55" s="665">
        <v>5.0000000000000001E-3</v>
      </c>
      <c r="T55" s="667">
        <v>0.01</v>
      </c>
      <c r="U55" s="664">
        <v>106.47499999999999</v>
      </c>
      <c r="V55" s="795"/>
      <c r="W55" s="668"/>
      <c r="X55" s="667">
        <v>0.01</v>
      </c>
      <c r="Y55" s="664">
        <v>106.47499999999999</v>
      </c>
      <c r="Z55" s="797"/>
      <c r="AA55" s="669">
        <v>2.5000000000000001E-3</v>
      </c>
      <c r="AB55" s="670">
        <v>2.5000000000000001E-3</v>
      </c>
      <c r="AC55" s="671">
        <v>10</v>
      </c>
      <c r="AD55" s="668">
        <v>0.25</v>
      </c>
      <c r="AE55" s="672">
        <v>4</v>
      </c>
      <c r="AF55" s="660">
        <v>3</v>
      </c>
      <c r="AG55" s="673">
        <v>15.523412234313739</v>
      </c>
      <c r="AH55" s="798"/>
      <c r="AI55" s="799"/>
      <c r="AJ55" s="662">
        <v>39.900513377394581</v>
      </c>
    </row>
    <row r="56" spans="2:36" x14ac:dyDescent="0.2">
      <c r="B56" s="677"/>
      <c r="C56" s="658" t="s">
        <v>147</v>
      </c>
      <c r="D56" s="659" t="s">
        <v>636</v>
      </c>
      <c r="E56" s="660">
        <v>17</v>
      </c>
      <c r="F56" s="791"/>
      <c r="G56" s="793"/>
      <c r="H56" s="674"/>
      <c r="I56" s="678">
        <v>1058.335701</v>
      </c>
      <c r="J56" s="662">
        <v>87.160913635840828</v>
      </c>
      <c r="K56" s="663">
        <v>28.35</v>
      </c>
      <c r="L56" s="660">
        <v>5</v>
      </c>
      <c r="M56" s="664">
        <v>106.47499999999999</v>
      </c>
      <c r="N56" s="795"/>
      <c r="O56" s="665">
        <v>5.0000000000000001E-3</v>
      </c>
      <c r="P56" s="666"/>
      <c r="Q56" s="664">
        <v>106.47499999999999</v>
      </c>
      <c r="R56" s="795"/>
      <c r="S56" s="665">
        <v>5.0000000000000001E-3</v>
      </c>
      <c r="T56" s="667">
        <v>0.01</v>
      </c>
      <c r="U56" s="664">
        <v>106.47499999999999</v>
      </c>
      <c r="V56" s="795"/>
      <c r="W56" s="668"/>
      <c r="X56" s="667">
        <v>0.01</v>
      </c>
      <c r="Y56" s="664">
        <v>106.47499999999999</v>
      </c>
      <c r="Z56" s="797"/>
      <c r="AA56" s="669">
        <v>2.5000000000000001E-3</v>
      </c>
      <c r="AB56" s="670">
        <v>2.5000000000000001E-3</v>
      </c>
      <c r="AC56" s="671">
        <v>10</v>
      </c>
      <c r="AD56" s="668">
        <v>0.25</v>
      </c>
      <c r="AE56" s="672">
        <v>4</v>
      </c>
      <c r="AF56" s="660">
        <v>3</v>
      </c>
      <c r="AG56" s="673">
        <v>15.523412234313739</v>
      </c>
      <c r="AH56" s="798"/>
      <c r="AI56" s="799"/>
      <c r="AJ56" s="662">
        <v>39.900513377394581</v>
      </c>
    </row>
    <row r="57" spans="2:36" x14ac:dyDescent="0.2">
      <c r="B57" s="677"/>
      <c r="C57" s="658" t="s">
        <v>94</v>
      </c>
      <c r="D57" s="659" t="s">
        <v>637</v>
      </c>
      <c r="E57" s="660">
        <v>17</v>
      </c>
      <c r="F57" s="791"/>
      <c r="G57" s="793"/>
      <c r="H57" s="674">
        <v>56</v>
      </c>
      <c r="I57" s="678">
        <v>859.67690100000016</v>
      </c>
      <c r="J57" s="662">
        <v>70.804210843882473</v>
      </c>
      <c r="K57" s="663">
        <v>28.35</v>
      </c>
      <c r="L57" s="660">
        <v>5</v>
      </c>
      <c r="M57" s="664">
        <v>106.47499999999999</v>
      </c>
      <c r="N57" s="795"/>
      <c r="O57" s="665">
        <v>5.0000000000000001E-3</v>
      </c>
      <c r="P57" s="666"/>
      <c r="Q57" s="664">
        <v>106.47499999999999</v>
      </c>
      <c r="R57" s="795"/>
      <c r="S57" s="665">
        <v>5.0000000000000001E-3</v>
      </c>
      <c r="T57" s="667">
        <v>0.01</v>
      </c>
      <c r="U57" s="664">
        <v>106.47499999999999</v>
      </c>
      <c r="V57" s="795"/>
      <c r="W57" s="668"/>
      <c r="X57" s="667">
        <v>0.01</v>
      </c>
      <c r="Y57" s="664">
        <v>106.47499999999999</v>
      </c>
      <c r="Z57" s="797"/>
      <c r="AA57" s="669">
        <v>2.5000000000000001E-3</v>
      </c>
      <c r="AB57" s="670">
        <v>2.5000000000000001E-3</v>
      </c>
      <c r="AC57" s="671">
        <v>10</v>
      </c>
      <c r="AD57" s="668">
        <v>0.25</v>
      </c>
      <c r="AE57" s="672">
        <v>4</v>
      </c>
      <c r="AF57" s="660">
        <v>3</v>
      </c>
      <c r="AG57" s="673">
        <v>14.201133556646051</v>
      </c>
      <c r="AH57" s="798"/>
      <c r="AI57" s="799"/>
      <c r="AJ57" s="662">
        <v>33.772231933312902</v>
      </c>
    </row>
    <row r="58" spans="2:36" x14ac:dyDescent="0.2">
      <c r="B58" s="677"/>
      <c r="C58" s="658" t="s">
        <v>101</v>
      </c>
      <c r="D58" s="659" t="s">
        <v>637</v>
      </c>
      <c r="E58" s="660">
        <v>17</v>
      </c>
      <c r="F58" s="791"/>
      <c r="G58" s="793"/>
      <c r="H58" s="674">
        <v>56</v>
      </c>
      <c r="I58" s="678">
        <v>1488.567777</v>
      </c>
      <c r="J58" s="662">
        <v>122.6004363517506</v>
      </c>
      <c r="K58" s="663">
        <v>28.35</v>
      </c>
      <c r="L58" s="660">
        <v>5</v>
      </c>
      <c r="M58" s="664">
        <v>106.47499999999999</v>
      </c>
      <c r="N58" s="795"/>
      <c r="O58" s="665">
        <v>5.0000000000000001E-3</v>
      </c>
      <c r="P58" s="666"/>
      <c r="Q58" s="664">
        <v>106.47499999999999</v>
      </c>
      <c r="R58" s="795"/>
      <c r="S58" s="665">
        <v>5.0000000000000001E-3</v>
      </c>
      <c r="T58" s="667">
        <v>0.01</v>
      </c>
      <c r="U58" s="664">
        <v>106.47499999999999</v>
      </c>
      <c r="V58" s="795"/>
      <c r="W58" s="668"/>
      <c r="X58" s="667">
        <v>0.01</v>
      </c>
      <c r="Y58" s="664">
        <v>106.47499999999999</v>
      </c>
      <c r="Z58" s="797"/>
      <c r="AA58" s="669">
        <v>2.5000000000000001E-3</v>
      </c>
      <c r="AB58" s="670">
        <v>2.5000000000000001E-3</v>
      </c>
      <c r="AC58" s="671">
        <v>10</v>
      </c>
      <c r="AD58" s="668">
        <v>0.25</v>
      </c>
      <c r="AE58" s="672">
        <v>4</v>
      </c>
      <c r="AF58" s="660">
        <v>3</v>
      </c>
      <c r="AG58" s="673">
        <v>17.334934022718471</v>
      </c>
      <c r="AH58" s="798"/>
      <c r="AI58" s="799"/>
      <c r="AJ58" s="662">
        <v>56.432968772298317</v>
      </c>
    </row>
    <row r="59" spans="2:36" x14ac:dyDescent="0.2">
      <c r="B59" s="677"/>
      <c r="C59" s="658" t="s">
        <v>105</v>
      </c>
      <c r="D59" s="659" t="s">
        <v>637</v>
      </c>
      <c r="E59" s="660">
        <v>17</v>
      </c>
      <c r="F59" s="791"/>
      <c r="G59" s="793"/>
      <c r="H59" s="674">
        <v>56</v>
      </c>
      <c r="I59" s="678">
        <v>1488.567777</v>
      </c>
      <c r="J59" s="662">
        <v>122.6004363517506</v>
      </c>
      <c r="K59" s="663">
        <v>28.35</v>
      </c>
      <c r="L59" s="660">
        <v>5</v>
      </c>
      <c r="M59" s="664">
        <v>106.47499999999999</v>
      </c>
      <c r="N59" s="795"/>
      <c r="O59" s="665">
        <v>5.0000000000000001E-3</v>
      </c>
      <c r="P59" s="666"/>
      <c r="Q59" s="664">
        <v>106.47499999999999</v>
      </c>
      <c r="R59" s="795"/>
      <c r="S59" s="665">
        <v>5.0000000000000001E-3</v>
      </c>
      <c r="T59" s="667">
        <v>0.01</v>
      </c>
      <c r="U59" s="664">
        <v>106.47499999999999</v>
      </c>
      <c r="V59" s="795"/>
      <c r="W59" s="668"/>
      <c r="X59" s="667">
        <v>0.01</v>
      </c>
      <c r="Y59" s="664">
        <v>106.47499999999999</v>
      </c>
      <c r="Z59" s="797"/>
      <c r="AA59" s="669">
        <v>2.5000000000000001E-3</v>
      </c>
      <c r="AB59" s="670">
        <v>2.5000000000000001E-3</v>
      </c>
      <c r="AC59" s="671">
        <v>10</v>
      </c>
      <c r="AD59" s="668">
        <v>0.25</v>
      </c>
      <c r="AE59" s="672">
        <v>4</v>
      </c>
      <c r="AF59" s="660">
        <v>3</v>
      </c>
      <c r="AG59" s="673">
        <v>17.334934022718471</v>
      </c>
      <c r="AH59" s="798"/>
      <c r="AI59" s="799"/>
      <c r="AJ59" s="662">
        <v>56.432968772298317</v>
      </c>
    </row>
    <row r="60" spans="2:36" x14ac:dyDescent="0.2">
      <c r="B60" s="677"/>
      <c r="C60" s="658" t="s">
        <v>114</v>
      </c>
      <c r="D60" s="659" t="s">
        <v>637</v>
      </c>
      <c r="E60" s="660">
        <v>17</v>
      </c>
      <c r="F60" s="791"/>
      <c r="G60" s="793"/>
      <c r="H60" s="674">
        <v>56</v>
      </c>
      <c r="I60" s="678">
        <v>859.67690100000016</v>
      </c>
      <c r="J60" s="662">
        <v>70.804210843882473</v>
      </c>
      <c r="K60" s="663">
        <v>28.35</v>
      </c>
      <c r="L60" s="660">
        <v>5</v>
      </c>
      <c r="M60" s="664">
        <v>106.47499999999999</v>
      </c>
      <c r="N60" s="795"/>
      <c r="O60" s="665">
        <v>5.0000000000000001E-3</v>
      </c>
      <c r="P60" s="666"/>
      <c r="Q60" s="664">
        <v>106.47499999999999</v>
      </c>
      <c r="R60" s="795"/>
      <c r="S60" s="665">
        <v>5.0000000000000001E-3</v>
      </c>
      <c r="T60" s="667">
        <v>0.01</v>
      </c>
      <c r="U60" s="664">
        <v>106.47499999999999</v>
      </c>
      <c r="V60" s="795"/>
      <c r="W60" s="668"/>
      <c r="X60" s="667">
        <v>0.01</v>
      </c>
      <c r="Y60" s="664">
        <v>106.47499999999999</v>
      </c>
      <c r="Z60" s="797"/>
      <c r="AA60" s="669">
        <v>2.5000000000000001E-3</v>
      </c>
      <c r="AB60" s="670">
        <v>2.5000000000000001E-3</v>
      </c>
      <c r="AC60" s="671">
        <v>10</v>
      </c>
      <c r="AD60" s="668">
        <v>0.25</v>
      </c>
      <c r="AE60" s="672">
        <v>4</v>
      </c>
      <c r="AF60" s="660">
        <v>3</v>
      </c>
      <c r="AG60" s="673">
        <v>14.201133556646051</v>
      </c>
      <c r="AH60" s="798"/>
      <c r="AI60" s="799"/>
      <c r="AJ60" s="662">
        <v>33.772231933312902</v>
      </c>
    </row>
    <row r="61" spans="2:36" x14ac:dyDescent="0.2">
      <c r="B61" s="677"/>
      <c r="C61" s="658" t="s">
        <v>116</v>
      </c>
      <c r="D61" s="659" t="s">
        <v>637</v>
      </c>
      <c r="E61" s="660">
        <v>17</v>
      </c>
      <c r="F61" s="791"/>
      <c r="G61" s="793"/>
      <c r="H61" s="674">
        <v>56</v>
      </c>
      <c r="I61" s="678">
        <v>859.67690100000016</v>
      </c>
      <c r="J61" s="662">
        <v>70.804210843882473</v>
      </c>
      <c r="K61" s="663">
        <v>28.35</v>
      </c>
      <c r="L61" s="660">
        <v>5</v>
      </c>
      <c r="M61" s="664">
        <v>106.47499999999999</v>
      </c>
      <c r="N61" s="795"/>
      <c r="O61" s="665">
        <v>5.0000000000000001E-3</v>
      </c>
      <c r="P61" s="666"/>
      <c r="Q61" s="664">
        <v>106.47499999999999</v>
      </c>
      <c r="R61" s="795"/>
      <c r="S61" s="665">
        <v>5.0000000000000001E-3</v>
      </c>
      <c r="T61" s="667">
        <v>0.01</v>
      </c>
      <c r="U61" s="664">
        <v>106.47499999999999</v>
      </c>
      <c r="V61" s="795"/>
      <c r="W61" s="668"/>
      <c r="X61" s="667">
        <v>0.01</v>
      </c>
      <c r="Y61" s="664">
        <v>106.47499999999999</v>
      </c>
      <c r="Z61" s="797"/>
      <c r="AA61" s="669">
        <v>2.5000000000000001E-3</v>
      </c>
      <c r="AB61" s="670">
        <v>2.5000000000000001E-3</v>
      </c>
      <c r="AC61" s="671">
        <v>10</v>
      </c>
      <c r="AD61" s="668">
        <v>0.25</v>
      </c>
      <c r="AE61" s="672">
        <v>4</v>
      </c>
      <c r="AF61" s="660">
        <v>3</v>
      </c>
      <c r="AG61" s="673">
        <v>14.201133556646051</v>
      </c>
      <c r="AH61" s="798"/>
      <c r="AI61" s="799"/>
      <c r="AJ61" s="662">
        <v>33.772231933312902</v>
      </c>
    </row>
    <row r="62" spans="2:36" x14ac:dyDescent="0.2">
      <c r="B62" s="677"/>
      <c r="C62" s="658" t="s">
        <v>121</v>
      </c>
      <c r="D62" s="659" t="s">
        <v>637</v>
      </c>
      <c r="E62" s="660">
        <v>17</v>
      </c>
      <c r="F62" s="791"/>
      <c r="G62" s="793"/>
      <c r="H62" s="674">
        <v>56</v>
      </c>
      <c r="I62" s="678">
        <v>740.26724100000013</v>
      </c>
      <c r="J62" s="662">
        <v>60.968807857868292</v>
      </c>
      <c r="K62" s="663">
        <v>28.35</v>
      </c>
      <c r="L62" s="660">
        <v>5</v>
      </c>
      <c r="M62" s="664">
        <v>106.47499999999999</v>
      </c>
      <c r="N62" s="795"/>
      <c r="O62" s="665">
        <v>5.0000000000000001E-3</v>
      </c>
      <c r="P62" s="666"/>
      <c r="Q62" s="664">
        <v>106.47499999999999</v>
      </c>
      <c r="R62" s="795"/>
      <c r="S62" s="665">
        <v>5.0000000000000001E-3</v>
      </c>
      <c r="T62" s="667">
        <v>0.01</v>
      </c>
      <c r="U62" s="664">
        <v>106.47499999999999</v>
      </c>
      <c r="V62" s="795"/>
      <c r="W62" s="668"/>
      <c r="X62" s="667">
        <v>0.01</v>
      </c>
      <c r="Y62" s="664">
        <v>106.47499999999999</v>
      </c>
      <c r="Z62" s="797"/>
      <c r="AA62" s="669">
        <v>2.5000000000000001E-3</v>
      </c>
      <c r="AB62" s="670">
        <v>2.5000000000000001E-3</v>
      </c>
      <c r="AC62" s="671">
        <v>10</v>
      </c>
      <c r="AD62" s="668">
        <v>0.25</v>
      </c>
      <c r="AE62" s="672">
        <v>4</v>
      </c>
      <c r="AF62" s="660">
        <v>3</v>
      </c>
      <c r="AG62" s="673">
        <v>13.60610815169559</v>
      </c>
      <c r="AH62" s="798"/>
      <c r="AI62" s="799"/>
      <c r="AJ62" s="662">
        <v>29.469560381606815</v>
      </c>
    </row>
    <row r="63" spans="2:36" x14ac:dyDescent="0.2">
      <c r="B63" s="677"/>
      <c r="C63" s="658" t="s">
        <v>122</v>
      </c>
      <c r="D63" s="659" t="s">
        <v>637</v>
      </c>
      <c r="E63" s="660">
        <v>17</v>
      </c>
      <c r="F63" s="791"/>
      <c r="G63" s="793"/>
      <c r="H63" s="674">
        <v>56</v>
      </c>
      <c r="I63" s="678">
        <v>859.67690100000016</v>
      </c>
      <c r="J63" s="662">
        <v>70.804210843882473</v>
      </c>
      <c r="K63" s="663">
        <v>28.35</v>
      </c>
      <c r="L63" s="660">
        <v>5</v>
      </c>
      <c r="M63" s="664">
        <v>106.47499999999999</v>
      </c>
      <c r="N63" s="795"/>
      <c r="O63" s="665">
        <v>5.0000000000000001E-3</v>
      </c>
      <c r="P63" s="666"/>
      <c r="Q63" s="664">
        <v>106.47499999999999</v>
      </c>
      <c r="R63" s="795"/>
      <c r="S63" s="665">
        <v>5.0000000000000001E-3</v>
      </c>
      <c r="T63" s="667">
        <v>0.01</v>
      </c>
      <c r="U63" s="664">
        <v>106.47499999999999</v>
      </c>
      <c r="V63" s="795"/>
      <c r="W63" s="668"/>
      <c r="X63" s="667">
        <v>0.01</v>
      </c>
      <c r="Y63" s="664">
        <v>106.47499999999999</v>
      </c>
      <c r="Z63" s="797"/>
      <c r="AA63" s="669">
        <v>2.5000000000000001E-3</v>
      </c>
      <c r="AB63" s="670">
        <v>2.5000000000000001E-3</v>
      </c>
      <c r="AC63" s="671">
        <v>10</v>
      </c>
      <c r="AD63" s="668">
        <v>0.25</v>
      </c>
      <c r="AE63" s="672">
        <v>4</v>
      </c>
      <c r="AF63" s="660">
        <v>3</v>
      </c>
      <c r="AG63" s="673">
        <v>14.201133556646051</v>
      </c>
      <c r="AH63" s="798"/>
      <c r="AI63" s="799"/>
      <c r="AJ63" s="662">
        <v>33.772231933312902</v>
      </c>
    </row>
    <row r="64" spans="2:36" x14ac:dyDescent="0.2">
      <c r="B64" s="677"/>
      <c r="C64" s="658" t="s">
        <v>123</v>
      </c>
      <c r="D64" s="659" t="s">
        <v>637</v>
      </c>
      <c r="E64" s="660">
        <v>17</v>
      </c>
      <c r="F64" s="791"/>
      <c r="G64" s="793"/>
      <c r="H64" s="674">
        <v>56</v>
      </c>
      <c r="I64" s="678">
        <v>859.67690100000016</v>
      </c>
      <c r="J64" s="662">
        <v>70.804210843882473</v>
      </c>
      <c r="K64" s="663">
        <v>28.35</v>
      </c>
      <c r="L64" s="660">
        <v>5</v>
      </c>
      <c r="M64" s="664">
        <v>106.47499999999999</v>
      </c>
      <c r="N64" s="795"/>
      <c r="O64" s="665">
        <v>5.0000000000000001E-3</v>
      </c>
      <c r="P64" s="666"/>
      <c r="Q64" s="664">
        <v>106.47499999999999</v>
      </c>
      <c r="R64" s="795"/>
      <c r="S64" s="665">
        <v>5.0000000000000001E-3</v>
      </c>
      <c r="T64" s="667">
        <v>0.01</v>
      </c>
      <c r="U64" s="664">
        <v>106.47499999999999</v>
      </c>
      <c r="V64" s="795"/>
      <c r="W64" s="668"/>
      <c r="X64" s="667">
        <v>0.01</v>
      </c>
      <c r="Y64" s="664">
        <v>106.47499999999999</v>
      </c>
      <c r="Z64" s="797"/>
      <c r="AA64" s="669">
        <v>2.5000000000000001E-3</v>
      </c>
      <c r="AB64" s="670">
        <v>2.5000000000000001E-3</v>
      </c>
      <c r="AC64" s="671">
        <v>10</v>
      </c>
      <c r="AD64" s="668">
        <v>0.25</v>
      </c>
      <c r="AE64" s="672">
        <v>4</v>
      </c>
      <c r="AF64" s="660">
        <v>3</v>
      </c>
      <c r="AG64" s="673">
        <v>14.201133556646051</v>
      </c>
      <c r="AH64" s="798"/>
      <c r="AI64" s="799"/>
      <c r="AJ64" s="662">
        <v>33.772231933312902</v>
      </c>
    </row>
    <row r="65" spans="2:36" x14ac:dyDescent="0.2">
      <c r="B65" s="677"/>
      <c r="C65" s="658" t="s">
        <v>124</v>
      </c>
      <c r="D65" s="659" t="s">
        <v>637</v>
      </c>
      <c r="E65" s="660">
        <v>17</v>
      </c>
      <c r="F65" s="791"/>
      <c r="G65" s="793"/>
      <c r="H65" s="674">
        <v>56</v>
      </c>
      <c r="I65" s="678">
        <v>1125.0317010000001</v>
      </c>
      <c r="J65" s="662">
        <v>92.655910521505263</v>
      </c>
      <c r="K65" s="663">
        <v>28.35</v>
      </c>
      <c r="L65" s="660">
        <v>5</v>
      </c>
      <c r="M65" s="664">
        <v>106.47499999999999</v>
      </c>
      <c r="N65" s="795"/>
      <c r="O65" s="665">
        <v>5.0000000000000001E-3</v>
      </c>
      <c r="P65" s="666"/>
      <c r="Q65" s="664">
        <v>106.47499999999999</v>
      </c>
      <c r="R65" s="795"/>
      <c r="S65" s="665">
        <v>5.0000000000000001E-3</v>
      </c>
      <c r="T65" s="667">
        <v>0.01</v>
      </c>
      <c r="U65" s="664">
        <v>106.47499999999999</v>
      </c>
      <c r="V65" s="795"/>
      <c r="W65" s="668"/>
      <c r="X65" s="667">
        <v>0.01</v>
      </c>
      <c r="Y65" s="664">
        <v>106.47499999999999</v>
      </c>
      <c r="Z65" s="797"/>
      <c r="AA65" s="669">
        <v>2.5000000000000001E-3</v>
      </c>
      <c r="AB65" s="670">
        <v>2.5000000000000001E-3</v>
      </c>
      <c r="AC65" s="671">
        <v>10</v>
      </c>
      <c r="AD65" s="668">
        <v>0.25</v>
      </c>
      <c r="AE65" s="672">
        <v>4</v>
      </c>
      <c r="AF65" s="660">
        <v>3</v>
      </c>
      <c r="AG65" s="673">
        <v>15.523412234313739</v>
      </c>
      <c r="AH65" s="798"/>
      <c r="AI65" s="799"/>
      <c r="AJ65" s="662">
        <v>43.333724270437543</v>
      </c>
    </row>
    <row r="66" spans="2:36" x14ac:dyDescent="0.2">
      <c r="B66" s="677"/>
      <c r="C66" s="658" t="s">
        <v>141</v>
      </c>
      <c r="D66" s="659" t="s">
        <v>637</v>
      </c>
      <c r="E66" s="660">
        <v>17</v>
      </c>
      <c r="F66" s="791"/>
      <c r="G66" s="793"/>
      <c r="H66" s="674">
        <v>56</v>
      </c>
      <c r="I66" s="678">
        <v>1125.0317010000001</v>
      </c>
      <c r="J66" s="662">
        <v>92.655910521505263</v>
      </c>
      <c r="K66" s="663">
        <v>28.35</v>
      </c>
      <c r="L66" s="660">
        <v>5</v>
      </c>
      <c r="M66" s="664">
        <v>106.47499999999999</v>
      </c>
      <c r="N66" s="795"/>
      <c r="O66" s="665">
        <v>5.0000000000000001E-3</v>
      </c>
      <c r="P66" s="666"/>
      <c r="Q66" s="664">
        <v>106.47499999999999</v>
      </c>
      <c r="R66" s="795"/>
      <c r="S66" s="665">
        <v>5.0000000000000001E-3</v>
      </c>
      <c r="T66" s="667">
        <v>0.01</v>
      </c>
      <c r="U66" s="664">
        <v>106.47499999999999</v>
      </c>
      <c r="V66" s="795"/>
      <c r="W66" s="668"/>
      <c r="X66" s="667">
        <v>0.01</v>
      </c>
      <c r="Y66" s="664">
        <v>106.47499999999999</v>
      </c>
      <c r="Z66" s="797"/>
      <c r="AA66" s="669">
        <v>2.5000000000000001E-3</v>
      </c>
      <c r="AB66" s="670">
        <v>2.5000000000000001E-3</v>
      </c>
      <c r="AC66" s="671">
        <v>10</v>
      </c>
      <c r="AD66" s="668">
        <v>0.25</v>
      </c>
      <c r="AE66" s="672">
        <v>4</v>
      </c>
      <c r="AF66" s="660">
        <v>3</v>
      </c>
      <c r="AG66" s="673">
        <v>15.523412234313739</v>
      </c>
      <c r="AH66" s="798"/>
      <c r="AI66" s="799"/>
      <c r="AJ66" s="662">
        <v>43.333724270437543</v>
      </c>
    </row>
    <row r="67" spans="2:36" x14ac:dyDescent="0.2">
      <c r="B67" s="677"/>
      <c r="C67" s="658" t="s">
        <v>142</v>
      </c>
      <c r="D67" s="659" t="s">
        <v>637</v>
      </c>
      <c r="E67" s="660">
        <v>17</v>
      </c>
      <c r="F67" s="791"/>
      <c r="G67" s="793"/>
      <c r="H67" s="674">
        <v>56</v>
      </c>
      <c r="I67" s="678">
        <v>1488.567777</v>
      </c>
      <c r="J67" s="662">
        <v>122.6004363517506</v>
      </c>
      <c r="K67" s="663">
        <v>28.35</v>
      </c>
      <c r="L67" s="660">
        <v>5</v>
      </c>
      <c r="M67" s="664">
        <v>106.47499999999999</v>
      </c>
      <c r="N67" s="795"/>
      <c r="O67" s="665">
        <v>5.0000000000000001E-3</v>
      </c>
      <c r="P67" s="666"/>
      <c r="Q67" s="664">
        <v>106.47499999999999</v>
      </c>
      <c r="R67" s="795"/>
      <c r="S67" s="665">
        <v>5.0000000000000001E-3</v>
      </c>
      <c r="T67" s="667">
        <v>0.01</v>
      </c>
      <c r="U67" s="664">
        <v>106.47499999999999</v>
      </c>
      <c r="V67" s="795"/>
      <c r="W67" s="668"/>
      <c r="X67" s="667">
        <v>0.01</v>
      </c>
      <c r="Y67" s="664">
        <v>106.47499999999999</v>
      </c>
      <c r="Z67" s="797"/>
      <c r="AA67" s="669">
        <v>2.5000000000000001E-3</v>
      </c>
      <c r="AB67" s="670">
        <v>2.5000000000000001E-3</v>
      </c>
      <c r="AC67" s="671">
        <v>10</v>
      </c>
      <c r="AD67" s="668">
        <v>0.25</v>
      </c>
      <c r="AE67" s="672">
        <v>4</v>
      </c>
      <c r="AF67" s="660">
        <v>3</v>
      </c>
      <c r="AG67" s="673">
        <v>17.334934022718471</v>
      </c>
      <c r="AH67" s="798"/>
      <c r="AI67" s="799"/>
      <c r="AJ67" s="662">
        <v>56.432968772298317</v>
      </c>
    </row>
    <row r="68" spans="2:36" x14ac:dyDescent="0.2">
      <c r="B68" s="677"/>
      <c r="C68" s="658" t="s">
        <v>143</v>
      </c>
      <c r="D68" s="659" t="s">
        <v>637</v>
      </c>
      <c r="E68" s="660">
        <v>17</v>
      </c>
      <c r="F68" s="791"/>
      <c r="G68" s="793"/>
      <c r="H68" s="674">
        <v>56</v>
      </c>
      <c r="I68" s="678">
        <v>859.67690100000016</v>
      </c>
      <c r="J68" s="662">
        <v>70.804210843882473</v>
      </c>
      <c r="K68" s="663">
        <v>28.35</v>
      </c>
      <c r="L68" s="660">
        <v>5</v>
      </c>
      <c r="M68" s="664">
        <v>106.47499999999999</v>
      </c>
      <c r="N68" s="795"/>
      <c r="O68" s="665">
        <v>5.0000000000000001E-3</v>
      </c>
      <c r="P68" s="666"/>
      <c r="Q68" s="664">
        <v>106.47499999999999</v>
      </c>
      <c r="R68" s="795"/>
      <c r="S68" s="665">
        <v>5.0000000000000001E-3</v>
      </c>
      <c r="T68" s="667">
        <v>0.01</v>
      </c>
      <c r="U68" s="664">
        <v>106.47499999999999</v>
      </c>
      <c r="V68" s="795"/>
      <c r="W68" s="668"/>
      <c r="X68" s="667">
        <v>0.01</v>
      </c>
      <c r="Y68" s="664">
        <v>106.47499999999999</v>
      </c>
      <c r="Z68" s="797"/>
      <c r="AA68" s="669">
        <v>2.5000000000000001E-3</v>
      </c>
      <c r="AB68" s="670">
        <v>2.5000000000000001E-3</v>
      </c>
      <c r="AC68" s="671">
        <v>10</v>
      </c>
      <c r="AD68" s="668">
        <v>0.25</v>
      </c>
      <c r="AE68" s="672">
        <v>4</v>
      </c>
      <c r="AF68" s="660">
        <v>3</v>
      </c>
      <c r="AG68" s="673">
        <v>14.201133556646051</v>
      </c>
      <c r="AH68" s="798"/>
      <c r="AI68" s="799"/>
      <c r="AJ68" s="662">
        <v>33.772231933312902</v>
      </c>
    </row>
    <row r="69" spans="2:36" x14ac:dyDescent="0.2">
      <c r="B69" s="677"/>
      <c r="C69" s="658" t="s">
        <v>146</v>
      </c>
      <c r="D69" s="659" t="s">
        <v>637</v>
      </c>
      <c r="E69" s="660">
        <v>17</v>
      </c>
      <c r="F69" s="791"/>
      <c r="G69" s="793"/>
      <c r="H69" s="674">
        <v>56</v>
      </c>
      <c r="I69" s="678">
        <v>926.01560100000006</v>
      </c>
      <c r="J69" s="662">
        <v>76.267135763288181</v>
      </c>
      <c r="K69" s="663">
        <v>28.35</v>
      </c>
      <c r="L69" s="660">
        <v>5</v>
      </c>
      <c r="M69" s="664">
        <v>106.47499999999999</v>
      </c>
      <c r="N69" s="795"/>
      <c r="O69" s="665">
        <v>5.0000000000000001E-3</v>
      </c>
      <c r="P69" s="666"/>
      <c r="Q69" s="664">
        <v>106.47499999999999</v>
      </c>
      <c r="R69" s="795"/>
      <c r="S69" s="665">
        <v>5.0000000000000001E-3</v>
      </c>
      <c r="T69" s="667">
        <v>0.01</v>
      </c>
      <c r="U69" s="664">
        <v>106.47499999999999</v>
      </c>
      <c r="V69" s="795"/>
      <c r="W69" s="668"/>
      <c r="X69" s="667">
        <v>0.01</v>
      </c>
      <c r="Y69" s="664">
        <v>106.47499999999999</v>
      </c>
      <c r="Z69" s="797"/>
      <c r="AA69" s="669">
        <v>2.5000000000000001E-3</v>
      </c>
      <c r="AB69" s="670">
        <v>2.5000000000000001E-3</v>
      </c>
      <c r="AC69" s="671">
        <v>10</v>
      </c>
      <c r="AD69" s="668">
        <v>0.25</v>
      </c>
      <c r="AE69" s="672">
        <v>4</v>
      </c>
      <c r="AF69" s="660">
        <v>3</v>
      </c>
      <c r="AG69" s="673">
        <v>14.531703226062971</v>
      </c>
      <c r="AH69" s="798"/>
      <c r="AI69" s="799"/>
      <c r="AJ69" s="662">
        <v>36.162605017594075</v>
      </c>
    </row>
    <row r="70" spans="2:36" x14ac:dyDescent="0.2">
      <c r="B70" s="677"/>
      <c r="C70" s="658" t="s">
        <v>149</v>
      </c>
      <c r="D70" s="659" t="s">
        <v>637</v>
      </c>
      <c r="E70" s="660">
        <v>17</v>
      </c>
      <c r="F70" s="791"/>
      <c r="G70" s="793"/>
      <c r="H70" s="674">
        <v>56</v>
      </c>
      <c r="I70" s="678">
        <v>1125.0317010000001</v>
      </c>
      <c r="J70" s="662">
        <v>92.655910521505263</v>
      </c>
      <c r="K70" s="663">
        <v>28.35</v>
      </c>
      <c r="L70" s="660">
        <v>5</v>
      </c>
      <c r="M70" s="664">
        <v>106.47499999999999</v>
      </c>
      <c r="N70" s="795"/>
      <c r="O70" s="665">
        <v>5.0000000000000001E-3</v>
      </c>
      <c r="P70" s="666"/>
      <c r="Q70" s="664">
        <v>106.47499999999999</v>
      </c>
      <c r="R70" s="795"/>
      <c r="S70" s="665">
        <v>5.0000000000000001E-3</v>
      </c>
      <c r="T70" s="667">
        <v>0.01</v>
      </c>
      <c r="U70" s="664">
        <v>106.47499999999999</v>
      </c>
      <c r="V70" s="795"/>
      <c r="W70" s="668"/>
      <c r="X70" s="667">
        <v>0.01</v>
      </c>
      <c r="Y70" s="664">
        <v>106.47499999999999</v>
      </c>
      <c r="Z70" s="797"/>
      <c r="AA70" s="669">
        <v>2.5000000000000001E-3</v>
      </c>
      <c r="AB70" s="670">
        <v>2.5000000000000001E-3</v>
      </c>
      <c r="AC70" s="671">
        <v>10</v>
      </c>
      <c r="AD70" s="668">
        <v>0.25</v>
      </c>
      <c r="AE70" s="672">
        <v>4</v>
      </c>
      <c r="AF70" s="660">
        <v>3</v>
      </c>
      <c r="AG70" s="673">
        <v>15.523412234313739</v>
      </c>
      <c r="AH70" s="798"/>
      <c r="AI70" s="799"/>
      <c r="AJ70" s="662">
        <v>43.333724270437543</v>
      </c>
    </row>
    <row r="71" spans="2:36" x14ac:dyDescent="0.2">
      <c r="B71" s="677" t="s">
        <v>1155</v>
      </c>
      <c r="C71" s="658" t="s">
        <v>160</v>
      </c>
      <c r="D71" s="659" t="s">
        <v>637</v>
      </c>
      <c r="E71" s="660">
        <v>17</v>
      </c>
      <c r="F71" s="791"/>
      <c r="G71" s="793"/>
      <c r="H71" s="674">
        <v>56</v>
      </c>
      <c r="I71" s="678">
        <v>740.26724100000013</v>
      </c>
      <c r="J71" s="662">
        <v>60.968807857868292</v>
      </c>
      <c r="K71" s="663">
        <v>28.35</v>
      </c>
      <c r="L71" s="660">
        <v>5</v>
      </c>
      <c r="M71" s="664">
        <v>106.47499999999999</v>
      </c>
      <c r="N71" s="795"/>
      <c r="O71" s="665">
        <v>5.0000000000000001E-3</v>
      </c>
      <c r="P71" s="666"/>
      <c r="Q71" s="664">
        <v>106.47499999999999</v>
      </c>
      <c r="R71" s="795"/>
      <c r="S71" s="665">
        <v>5.0000000000000001E-3</v>
      </c>
      <c r="T71" s="667">
        <v>0.01</v>
      </c>
      <c r="U71" s="664">
        <v>106.47499999999999</v>
      </c>
      <c r="V71" s="795"/>
      <c r="W71" s="668"/>
      <c r="X71" s="667">
        <v>0.01</v>
      </c>
      <c r="Y71" s="664">
        <v>106.47499999999999</v>
      </c>
      <c r="Z71" s="797"/>
      <c r="AA71" s="669">
        <v>2.5000000000000001E-3</v>
      </c>
      <c r="AB71" s="670">
        <v>2.5000000000000001E-3</v>
      </c>
      <c r="AC71" s="671">
        <v>10</v>
      </c>
      <c r="AD71" s="668">
        <v>0.25</v>
      </c>
      <c r="AE71" s="672">
        <v>4</v>
      </c>
      <c r="AF71" s="660">
        <v>3</v>
      </c>
      <c r="AG71" s="673">
        <v>13.60610815169559</v>
      </c>
      <c r="AH71" s="798"/>
      <c r="AI71" s="799"/>
      <c r="AJ71" s="662">
        <v>29.469560381606815</v>
      </c>
    </row>
    <row r="72" spans="2:36" x14ac:dyDescent="0.2">
      <c r="B72" s="679" t="s">
        <v>1017</v>
      </c>
      <c r="C72" s="675" t="s">
        <v>1013</v>
      </c>
      <c r="D72" s="659" t="s">
        <v>636</v>
      </c>
      <c r="E72" s="660">
        <v>17</v>
      </c>
      <c r="F72" s="791"/>
      <c r="G72" s="793"/>
      <c r="H72" s="661"/>
      <c r="I72" s="680">
        <v>470.72250300000002</v>
      </c>
      <c r="J72" s="676">
        <v>38.764316551399332</v>
      </c>
      <c r="K72" s="663">
        <v>28.35</v>
      </c>
      <c r="L72" s="660">
        <v>5</v>
      </c>
      <c r="M72" s="664">
        <v>106.47499999999999</v>
      </c>
      <c r="N72" s="795"/>
      <c r="O72" s="665">
        <v>5.0000000000000001E-3</v>
      </c>
      <c r="P72" s="666"/>
      <c r="Q72" s="664">
        <v>106.47499999999999</v>
      </c>
      <c r="R72" s="795"/>
      <c r="S72" s="665">
        <v>5.0000000000000001E-3</v>
      </c>
      <c r="T72" s="667">
        <v>0.01</v>
      </c>
      <c r="U72" s="664">
        <v>106.47499999999999</v>
      </c>
      <c r="V72" s="795"/>
      <c r="W72" s="668"/>
      <c r="X72" s="667">
        <v>0.01</v>
      </c>
      <c r="Y72" s="664">
        <v>106.47499999999999</v>
      </c>
      <c r="Z72" s="797"/>
      <c r="AA72" s="669">
        <v>2.5000000000000001E-3</v>
      </c>
      <c r="AB72" s="670">
        <v>2.5000000000000001E-3</v>
      </c>
      <c r="AC72" s="671">
        <v>10</v>
      </c>
      <c r="AD72" s="668">
        <v>0.25</v>
      </c>
      <c r="AE72" s="672">
        <v>4</v>
      </c>
      <c r="AF72" s="660">
        <v>3</v>
      </c>
      <c r="AG72" s="673">
        <v>12.369777588076303</v>
      </c>
      <c r="AH72" s="800"/>
      <c r="AI72" s="801"/>
      <c r="AJ72" s="662">
        <v>19.42603297363145</v>
      </c>
    </row>
    <row r="73" spans="2:36" x14ac:dyDescent="0.2">
      <c r="B73" s="679" t="s">
        <v>1016</v>
      </c>
      <c r="C73" s="675" t="s">
        <v>1014</v>
      </c>
      <c r="D73" s="659" t="s">
        <v>637</v>
      </c>
      <c r="E73" s="660">
        <v>17</v>
      </c>
      <c r="F73" s="791"/>
      <c r="G73" s="793"/>
      <c r="H73" s="674">
        <v>56</v>
      </c>
      <c r="I73" s="680">
        <v>784.19846700000016</v>
      </c>
      <c r="J73" s="676">
        <v>64.582249389686538</v>
      </c>
      <c r="K73" s="663">
        <v>28.35</v>
      </c>
      <c r="L73" s="660">
        <v>5</v>
      </c>
      <c r="M73" s="664">
        <v>106.47499999999999</v>
      </c>
      <c r="N73" s="795"/>
      <c r="O73" s="665">
        <v>5.0000000000000001E-3</v>
      </c>
      <c r="P73" s="666"/>
      <c r="Q73" s="664">
        <v>106.47499999999999</v>
      </c>
      <c r="R73" s="795"/>
      <c r="S73" s="665">
        <v>5.0000000000000001E-3</v>
      </c>
      <c r="T73" s="667">
        <v>0.01</v>
      </c>
      <c r="U73" s="664">
        <v>106.47499999999999</v>
      </c>
      <c r="V73" s="795"/>
      <c r="W73" s="668"/>
      <c r="X73" s="667">
        <v>0.01</v>
      </c>
      <c r="Y73" s="664">
        <v>106.47499999999999</v>
      </c>
      <c r="Z73" s="797"/>
      <c r="AA73" s="669">
        <v>2.5000000000000001E-3</v>
      </c>
      <c r="AB73" s="670">
        <v>2.5000000000000001E-3</v>
      </c>
      <c r="AC73" s="671">
        <v>10</v>
      </c>
      <c r="AD73" s="668">
        <v>0.25</v>
      </c>
      <c r="AE73" s="672">
        <v>4</v>
      </c>
      <c r="AF73" s="660">
        <v>3</v>
      </c>
      <c r="AG73" s="673">
        <v>13.599496758307252</v>
      </c>
      <c r="AH73" s="800"/>
      <c r="AI73" s="801"/>
      <c r="AJ73" s="662">
        <v>31.751431740200335</v>
      </c>
    </row>
    <row r="74" spans="2:36" x14ac:dyDescent="0.2">
      <c r="B74" s="679" t="s">
        <v>1016</v>
      </c>
      <c r="C74" s="675" t="s">
        <v>1015</v>
      </c>
      <c r="D74" s="659" t="s">
        <v>637</v>
      </c>
      <c r="E74" s="660">
        <v>17</v>
      </c>
      <c r="F74" s="791"/>
      <c r="G74" s="793"/>
      <c r="H74" s="674">
        <v>56</v>
      </c>
      <c r="I74" s="680">
        <v>976.5806970000001</v>
      </c>
      <c r="J74" s="676">
        <v>80.425800721505027</v>
      </c>
      <c r="K74" s="663">
        <v>28.35</v>
      </c>
      <c r="L74" s="660">
        <v>5</v>
      </c>
      <c r="M74" s="664">
        <v>106.47499999999999</v>
      </c>
      <c r="N74" s="795"/>
      <c r="O74" s="665">
        <v>5.0000000000000001E-3</v>
      </c>
      <c r="P74" s="666"/>
      <c r="Q74" s="664">
        <v>106.47499999999999</v>
      </c>
      <c r="R74" s="795"/>
      <c r="S74" s="665">
        <v>5.0000000000000001E-3</v>
      </c>
      <c r="T74" s="667">
        <v>0.01</v>
      </c>
      <c r="U74" s="664">
        <v>106.47499999999999</v>
      </c>
      <c r="V74" s="795"/>
      <c r="W74" s="668"/>
      <c r="X74" s="667">
        <v>0.01</v>
      </c>
      <c r="Y74" s="664">
        <v>106.47499999999999</v>
      </c>
      <c r="Z74" s="797"/>
      <c r="AA74" s="669">
        <v>2.5000000000000001E-3</v>
      </c>
      <c r="AB74" s="670">
        <v>2.5000000000000001E-3</v>
      </c>
      <c r="AC74" s="671">
        <v>10</v>
      </c>
      <c r="AD74" s="668">
        <v>0.25</v>
      </c>
      <c r="AE74" s="672">
        <v>4</v>
      </c>
      <c r="AF74" s="660">
        <v>3</v>
      </c>
      <c r="AG74" s="673">
        <v>14.558148799616326</v>
      </c>
      <c r="AH74" s="800"/>
      <c r="AI74" s="801"/>
      <c r="AJ74" s="662">
        <v>38.683513684615704</v>
      </c>
    </row>
    <row r="75" spans="2:36" x14ac:dyDescent="0.2">
      <c r="B75" s="708"/>
      <c r="C75" s="709" t="s">
        <v>1089</v>
      </c>
      <c r="D75" s="710" t="s">
        <v>637</v>
      </c>
      <c r="E75" s="660">
        <v>17</v>
      </c>
      <c r="F75" s="791"/>
      <c r="G75" s="794"/>
      <c r="H75" s="674">
        <v>56</v>
      </c>
      <c r="I75" s="712">
        <v>707.09789100000012</v>
      </c>
      <c r="J75" s="713">
        <v>58.232000070455648</v>
      </c>
      <c r="K75" s="714">
        <v>28.35</v>
      </c>
      <c r="L75" s="660">
        <v>5</v>
      </c>
      <c r="M75" s="664">
        <v>106.47499999999999</v>
      </c>
      <c r="N75" s="795"/>
      <c r="O75" s="665">
        <v>5.0000000000000001E-3</v>
      </c>
      <c r="P75" s="715"/>
      <c r="Q75" s="716">
        <v>106.47499999999999</v>
      </c>
      <c r="R75" s="795"/>
      <c r="S75" s="665">
        <v>5.0000000000000001E-3</v>
      </c>
      <c r="T75" s="667">
        <v>0.01</v>
      </c>
      <c r="U75" s="716">
        <v>106.47499999999999</v>
      </c>
      <c r="V75" s="796"/>
      <c r="W75" s="717"/>
      <c r="X75" s="667">
        <v>0.01</v>
      </c>
      <c r="Y75" s="716">
        <v>106.47499999999999</v>
      </c>
      <c r="Z75" s="797"/>
      <c r="AA75" s="669">
        <v>2.5000000000000001E-3</v>
      </c>
      <c r="AB75" s="670">
        <v>2.5000000000000001E-3</v>
      </c>
      <c r="AC75" s="671">
        <v>10</v>
      </c>
      <c r="AD75" s="668">
        <v>0.25</v>
      </c>
      <c r="AE75" s="672">
        <v>4</v>
      </c>
      <c r="AF75" s="660">
        <v>3</v>
      </c>
      <c r="AG75" s="718">
        <v>13.440823316987128</v>
      </c>
      <c r="AH75" s="802"/>
      <c r="AI75" s="803"/>
      <c r="AJ75" s="719">
        <v>28.274373839466229</v>
      </c>
    </row>
    <row r="76" spans="2:36" s="558" customFormat="1" x14ac:dyDescent="0.2">
      <c r="B76" s="708"/>
      <c r="C76" s="709" t="s">
        <v>1159</v>
      </c>
      <c r="D76" s="710" t="s">
        <v>636</v>
      </c>
      <c r="E76" s="660">
        <v>17</v>
      </c>
      <c r="F76" s="791"/>
      <c r="G76" s="794"/>
      <c r="H76" s="711"/>
      <c r="I76" s="712">
        <v>1124.6744010000002</v>
      </c>
      <c r="J76" s="713">
        <v>92.623838555246522</v>
      </c>
      <c r="K76" s="714">
        <v>28.35</v>
      </c>
      <c r="L76" s="660">
        <v>5</v>
      </c>
      <c r="M76" s="664">
        <v>106.47499999999999</v>
      </c>
      <c r="N76" s="795"/>
      <c r="O76" s="665">
        <v>5.0000000000000001E-3</v>
      </c>
      <c r="P76" s="715"/>
      <c r="Q76" s="716">
        <v>106.47499999999999</v>
      </c>
      <c r="R76" s="795"/>
      <c r="S76" s="665">
        <v>5.0000000000000001E-3</v>
      </c>
      <c r="T76" s="667">
        <v>0.01</v>
      </c>
      <c r="U76" s="716">
        <v>106.47499999999999</v>
      </c>
      <c r="V76" s="796"/>
      <c r="W76" s="717"/>
      <c r="X76" s="667">
        <v>0.01</v>
      </c>
      <c r="Y76" s="716">
        <v>106.47499999999999</v>
      </c>
      <c r="Z76" s="797"/>
      <c r="AA76" s="669">
        <v>2.5000000000000001E-3</v>
      </c>
      <c r="AB76" s="670">
        <v>2.5000000000000001E-3</v>
      </c>
      <c r="AC76" s="671">
        <v>10</v>
      </c>
      <c r="AD76" s="668">
        <v>0.25</v>
      </c>
      <c r="AE76" s="672">
        <v>4</v>
      </c>
      <c r="AF76" s="660">
        <v>3</v>
      </c>
      <c r="AG76" s="718">
        <v>15.853981903730661</v>
      </c>
      <c r="AH76" s="802"/>
      <c r="AI76" s="803"/>
      <c r="AJ76" s="719">
        <v>42.290886461675754</v>
      </c>
    </row>
    <row r="77" spans="2:36" s="558" customFormat="1" x14ac:dyDescent="0.2">
      <c r="B77" s="708"/>
      <c r="C77" s="709" t="s">
        <v>1161</v>
      </c>
      <c r="D77" s="710" t="s">
        <v>637</v>
      </c>
      <c r="E77" s="660">
        <v>17</v>
      </c>
      <c r="F77" s="791"/>
      <c r="G77" s="794"/>
      <c r="H77" s="674">
        <v>56</v>
      </c>
      <c r="I77" s="712">
        <v>1450.0913310000001</v>
      </c>
      <c r="J77" s="713">
        <v>119.42531169213512</v>
      </c>
      <c r="K77" s="714">
        <v>28.35</v>
      </c>
      <c r="L77" s="660">
        <v>5</v>
      </c>
      <c r="M77" s="664">
        <v>106.47499999999999</v>
      </c>
      <c r="N77" s="795"/>
      <c r="O77" s="665">
        <v>5.0000000000000001E-3</v>
      </c>
      <c r="P77" s="715"/>
      <c r="Q77" s="716">
        <v>106.47499999999999</v>
      </c>
      <c r="R77" s="795"/>
      <c r="S77" s="665">
        <v>5.0000000000000001E-3</v>
      </c>
      <c r="T77" s="667">
        <v>0.01</v>
      </c>
      <c r="U77" s="716">
        <v>106.47499999999999</v>
      </c>
      <c r="V77" s="796"/>
      <c r="W77" s="717"/>
      <c r="X77" s="667">
        <v>0.01</v>
      </c>
      <c r="Y77" s="716">
        <v>106.47499999999999</v>
      </c>
      <c r="Z77" s="797"/>
      <c r="AA77" s="669">
        <v>2.5000000000000001E-3</v>
      </c>
      <c r="AB77" s="670">
        <v>2.5000000000000001E-3</v>
      </c>
      <c r="AC77" s="671">
        <v>10</v>
      </c>
      <c r="AD77" s="668">
        <v>0.25</v>
      </c>
      <c r="AE77" s="672">
        <v>4</v>
      </c>
      <c r="AF77" s="660">
        <v>3</v>
      </c>
      <c r="AG77" s="718">
        <v>17.143203614456652</v>
      </c>
      <c r="AH77" s="802"/>
      <c r="AI77" s="803"/>
      <c r="AJ77" s="719">
        <v>55.046552383415246</v>
      </c>
    </row>
    <row r="78" spans="2:36" x14ac:dyDescent="0.2">
      <c r="B78" s="708"/>
      <c r="C78" s="709" t="s">
        <v>1163</v>
      </c>
      <c r="D78" s="710" t="s">
        <v>637</v>
      </c>
      <c r="E78" s="660">
        <v>17</v>
      </c>
      <c r="F78" s="791"/>
      <c r="G78" s="794"/>
      <c r="H78" s="674">
        <v>56</v>
      </c>
      <c r="I78" s="712">
        <v>1450.0913310000001</v>
      </c>
      <c r="J78" s="713">
        <v>119.42531169213512</v>
      </c>
      <c r="K78" s="714">
        <v>28.35</v>
      </c>
      <c r="L78" s="660">
        <v>5</v>
      </c>
      <c r="M78" s="664">
        <v>106.47499999999999</v>
      </c>
      <c r="N78" s="795"/>
      <c r="O78" s="665">
        <v>5.0000000000000001E-3</v>
      </c>
      <c r="P78" s="715"/>
      <c r="Q78" s="716">
        <v>106.47499999999999</v>
      </c>
      <c r="R78" s="795"/>
      <c r="S78" s="665">
        <v>5.0000000000000001E-3</v>
      </c>
      <c r="T78" s="667">
        <v>0.01</v>
      </c>
      <c r="U78" s="716">
        <v>106.47499999999999</v>
      </c>
      <c r="V78" s="796"/>
      <c r="W78" s="717"/>
      <c r="X78" s="667">
        <v>0.01</v>
      </c>
      <c r="Y78" s="716">
        <v>106.47499999999999</v>
      </c>
      <c r="Z78" s="797"/>
      <c r="AA78" s="669">
        <v>2.5000000000000001E-3</v>
      </c>
      <c r="AB78" s="670">
        <v>2.5000000000000001E-3</v>
      </c>
      <c r="AC78" s="671">
        <v>10</v>
      </c>
      <c r="AD78" s="668">
        <v>0.25</v>
      </c>
      <c r="AE78" s="672">
        <v>4</v>
      </c>
      <c r="AF78" s="660">
        <v>3</v>
      </c>
      <c r="AG78" s="718">
        <v>17.143203614456652</v>
      </c>
      <c r="AH78" s="802"/>
      <c r="AI78" s="803"/>
      <c r="AJ78" s="719">
        <v>55.046552383415246</v>
      </c>
    </row>
    <row r="79" spans="2:36" x14ac:dyDescent="0.2">
      <c r="B79" s="708"/>
      <c r="C79" s="709" t="s">
        <v>1165</v>
      </c>
      <c r="D79" s="710" t="s">
        <v>637</v>
      </c>
      <c r="E79" s="660">
        <v>17</v>
      </c>
      <c r="F79" s="791"/>
      <c r="G79" s="794"/>
      <c r="H79" s="674">
        <v>56</v>
      </c>
      <c r="I79" s="712">
        <v>1450.0913310000001</v>
      </c>
      <c r="J79" s="713">
        <v>119.42531169213512</v>
      </c>
      <c r="K79" s="714">
        <v>28.35</v>
      </c>
      <c r="L79" s="660">
        <v>5</v>
      </c>
      <c r="M79" s="664">
        <v>106.47499999999999</v>
      </c>
      <c r="N79" s="795"/>
      <c r="O79" s="665">
        <v>5.0000000000000001E-3</v>
      </c>
      <c r="P79" s="715"/>
      <c r="Q79" s="716">
        <v>106.47499999999999</v>
      </c>
      <c r="R79" s="795"/>
      <c r="S79" s="665">
        <v>5.0000000000000001E-3</v>
      </c>
      <c r="T79" s="667">
        <v>0.01</v>
      </c>
      <c r="U79" s="716">
        <v>106.47499999999999</v>
      </c>
      <c r="V79" s="796"/>
      <c r="W79" s="717"/>
      <c r="X79" s="667">
        <v>0.01</v>
      </c>
      <c r="Y79" s="716">
        <v>106.47499999999999</v>
      </c>
      <c r="Z79" s="797"/>
      <c r="AA79" s="669">
        <v>2.5000000000000001E-3</v>
      </c>
      <c r="AB79" s="670">
        <v>2.5000000000000001E-3</v>
      </c>
      <c r="AC79" s="671">
        <v>10</v>
      </c>
      <c r="AD79" s="668">
        <v>0.25</v>
      </c>
      <c r="AE79" s="672">
        <v>4</v>
      </c>
      <c r="AF79" s="660">
        <v>3</v>
      </c>
      <c r="AG79" s="718">
        <v>17.143203614456652</v>
      </c>
      <c r="AH79" s="802"/>
      <c r="AI79" s="803"/>
      <c r="AJ79" s="719">
        <v>55.046552383415246</v>
      </c>
    </row>
    <row r="80" spans="2:36" ht="24" x14ac:dyDescent="0.2">
      <c r="B80" s="220" t="s">
        <v>765</v>
      </c>
      <c r="C80" s="220" t="s">
        <v>765</v>
      </c>
      <c r="D80" s="220" t="s">
        <v>765</v>
      </c>
      <c r="E80" s="220" t="s">
        <v>765</v>
      </c>
      <c r="F80" s="220" t="s">
        <v>765</v>
      </c>
      <c r="G80" s="220" t="s">
        <v>765</v>
      </c>
      <c r="H80" s="220" t="s">
        <v>765</v>
      </c>
      <c r="I80" s="220" t="s">
        <v>774</v>
      </c>
      <c r="J80" s="220" t="s">
        <v>773</v>
      </c>
      <c r="K80" s="511" t="s">
        <v>765</v>
      </c>
      <c r="L80" s="511" t="s">
        <v>765</v>
      </c>
      <c r="M80" s="220" t="s">
        <v>765</v>
      </c>
      <c r="N80" s="220" t="s">
        <v>765</v>
      </c>
      <c r="O80" s="220" t="s">
        <v>765</v>
      </c>
      <c r="P80" s="220" t="s">
        <v>765</v>
      </c>
      <c r="Q80" s="220" t="s">
        <v>765</v>
      </c>
      <c r="R80" s="220" t="s">
        <v>765</v>
      </c>
      <c r="S80" s="220" t="s">
        <v>765</v>
      </c>
      <c r="T80" s="220" t="s">
        <v>765</v>
      </c>
      <c r="U80" s="220" t="s">
        <v>765</v>
      </c>
      <c r="V80" s="220" t="s">
        <v>765</v>
      </c>
      <c r="W80" s="220" t="s">
        <v>765</v>
      </c>
      <c r="X80" s="220" t="s">
        <v>765</v>
      </c>
      <c r="Y80" s="220" t="s">
        <v>765</v>
      </c>
      <c r="Z80" s="220" t="s">
        <v>765</v>
      </c>
      <c r="AA80" s="220" t="s">
        <v>765</v>
      </c>
      <c r="AB80" s="220" t="s">
        <v>765</v>
      </c>
      <c r="AC80" s="220" t="s">
        <v>765</v>
      </c>
      <c r="AD80" s="220" t="s">
        <v>765</v>
      </c>
      <c r="AE80" s="220" t="s">
        <v>765</v>
      </c>
      <c r="AF80" s="220" t="s">
        <v>773</v>
      </c>
      <c r="AG80" s="220" t="s">
        <v>774</v>
      </c>
      <c r="AH80" s="220" t="s">
        <v>774</v>
      </c>
      <c r="AI80" s="220" t="s">
        <v>773</v>
      </c>
    </row>
    <row r="85" spans="3:4" x14ac:dyDescent="0.2">
      <c r="C85" s="386"/>
      <c r="D85" s="386"/>
    </row>
    <row r="86" spans="3:4" x14ac:dyDescent="0.2">
      <c r="C86" s="386"/>
      <c r="D86" s="386"/>
    </row>
    <row r="87" spans="3:4" x14ac:dyDescent="0.2">
      <c r="C87" s="386"/>
      <c r="D87" s="386"/>
    </row>
    <row r="88" spans="3:4" x14ac:dyDescent="0.2">
      <c r="C88" s="386"/>
      <c r="D88" s="386"/>
    </row>
    <row r="89" spans="3:4" x14ac:dyDescent="0.2">
      <c r="C89" s="386"/>
      <c r="D89" s="386"/>
    </row>
    <row r="90" spans="3:4" x14ac:dyDescent="0.2">
      <c r="C90" s="386"/>
      <c r="D90" s="386"/>
    </row>
    <row r="91" spans="3:4" x14ac:dyDescent="0.2">
      <c r="C91" s="386"/>
      <c r="D91" s="386"/>
    </row>
    <row r="92" spans="3:4" x14ac:dyDescent="0.2">
      <c r="C92" s="386"/>
      <c r="D92" s="386"/>
    </row>
    <row r="93" spans="3:4" x14ac:dyDescent="0.2">
      <c r="C93" s="386"/>
      <c r="D93" s="386"/>
    </row>
    <row r="94" spans="3:4" x14ac:dyDescent="0.2">
      <c r="C94" s="386"/>
      <c r="D94" s="386"/>
    </row>
    <row r="95" spans="3:4" x14ac:dyDescent="0.2">
      <c r="C95" s="386"/>
      <c r="D95" s="386"/>
    </row>
    <row r="96" spans="3:4" x14ac:dyDescent="0.2">
      <c r="C96" s="386"/>
      <c r="D96" s="386"/>
    </row>
    <row r="97" spans="3:4" x14ac:dyDescent="0.2">
      <c r="C97" s="386"/>
      <c r="D97" s="386"/>
    </row>
    <row r="98" spans="3:4" x14ac:dyDescent="0.2">
      <c r="C98" s="386"/>
      <c r="D98" s="386"/>
    </row>
    <row r="99" spans="3:4" x14ac:dyDescent="0.2">
      <c r="C99" s="386"/>
      <c r="D99" s="386"/>
    </row>
    <row r="100" spans="3:4" x14ac:dyDescent="0.2">
      <c r="C100" s="386"/>
      <c r="D100" s="386"/>
    </row>
    <row r="101" spans="3:4" x14ac:dyDescent="0.2">
      <c r="C101" s="386"/>
      <c r="D101" s="386"/>
    </row>
    <row r="102" spans="3:4" x14ac:dyDescent="0.2">
      <c r="C102" s="386"/>
      <c r="D102" s="386"/>
    </row>
    <row r="103" spans="3:4" x14ac:dyDescent="0.2">
      <c r="C103" s="386"/>
      <c r="D103" s="386"/>
    </row>
    <row r="104" spans="3:4" x14ac:dyDescent="0.2">
      <c r="C104" s="386"/>
      <c r="D104" s="386"/>
    </row>
    <row r="105" spans="3:4" x14ac:dyDescent="0.2">
      <c r="C105" s="386"/>
      <c r="D105" s="386"/>
    </row>
    <row r="106" spans="3:4" x14ac:dyDescent="0.2">
      <c r="C106" s="386"/>
      <c r="D106" s="386"/>
    </row>
    <row r="107" spans="3:4" x14ac:dyDescent="0.2">
      <c r="C107" s="386"/>
      <c r="D107" s="386"/>
    </row>
    <row r="108" spans="3:4" x14ac:dyDescent="0.2">
      <c r="C108" s="386"/>
      <c r="D108" s="386"/>
    </row>
    <row r="109" spans="3:4" x14ac:dyDescent="0.2">
      <c r="C109" s="386"/>
      <c r="D109" s="386"/>
    </row>
    <row r="110" spans="3:4" x14ac:dyDescent="0.2">
      <c r="C110" s="386"/>
      <c r="D110" s="386"/>
    </row>
    <row r="111" spans="3:4" x14ac:dyDescent="0.2">
      <c r="C111" s="386"/>
      <c r="D111" s="386"/>
    </row>
    <row r="112" spans="3:4" x14ac:dyDescent="0.2">
      <c r="C112" s="386"/>
      <c r="D112" s="386"/>
    </row>
    <row r="113" spans="3:4" x14ac:dyDescent="0.2">
      <c r="C113" s="386"/>
      <c r="D113" s="386"/>
    </row>
    <row r="114" spans="3:4" x14ac:dyDescent="0.2">
      <c r="C114" s="386"/>
      <c r="D114" s="386"/>
    </row>
    <row r="115" spans="3:4" x14ac:dyDescent="0.2">
      <c r="C115" s="386"/>
      <c r="D115" s="386"/>
    </row>
    <row r="116" spans="3:4" x14ac:dyDescent="0.2">
      <c r="C116" s="386"/>
      <c r="D116" s="386"/>
    </row>
  </sheetData>
  <dataValidations disablePrompts="1" count="1">
    <dataValidation type="list" allowBlank="1" showInputMessage="1" showErrorMessage="1" sqref="D6" xr:uid="{00000000-0002-0000-1A00-000000000000}">
      <formula1>LED_Lst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">
    <tabColor theme="5"/>
  </sheetPr>
  <dimension ref="A1:N32"/>
  <sheetViews>
    <sheetView showGridLines="0" zoomScale="115" zoomScaleNormal="115" workbookViewId="0">
      <selection activeCell="I28" sqref="I28"/>
    </sheetView>
  </sheetViews>
  <sheetFormatPr defaultRowHeight="12" x14ac:dyDescent="0.2"/>
  <cols>
    <col min="1" max="1" width="4.6640625" customWidth="1"/>
    <col min="2" max="2" width="14" bestFit="1" customWidth="1"/>
    <col min="3" max="3" width="16.83203125" bestFit="1" customWidth="1"/>
    <col min="4" max="5" width="15.5" customWidth="1"/>
    <col min="6" max="6" width="15.83203125" customWidth="1"/>
    <col min="7" max="7" width="15.6640625" customWidth="1"/>
    <col min="8" max="8" width="15.5" customWidth="1"/>
    <col min="9" max="11" width="19.6640625" bestFit="1" customWidth="1"/>
  </cols>
  <sheetData>
    <row r="1" spans="1:14" ht="18.75" x14ac:dyDescent="0.3">
      <c r="A1" s="31" t="s">
        <v>19</v>
      </c>
      <c r="B1" s="31"/>
      <c r="C1" s="31"/>
      <c r="D1" s="33"/>
      <c r="E1" s="31"/>
      <c r="F1" s="32"/>
      <c r="G1" s="32"/>
    </row>
    <row r="2" spans="1:14" ht="16.5" thickBot="1" x14ac:dyDescent="0.3">
      <c r="A2" s="4" t="s">
        <v>1327</v>
      </c>
      <c r="B2" s="4"/>
      <c r="C2" s="60"/>
      <c r="D2" s="4"/>
      <c r="E2" s="4"/>
      <c r="F2" s="4"/>
      <c r="G2" s="4"/>
      <c r="H2" s="4"/>
      <c r="I2" s="4"/>
      <c r="J2" s="4"/>
      <c r="K2" s="4"/>
    </row>
    <row r="3" spans="1:14" ht="12.75" thickTop="1" x14ac:dyDescent="0.2"/>
    <row r="5" spans="1:14" s="386" customFormat="1" ht="12.75" thickBot="1" x14ac:dyDescent="0.25">
      <c r="J5" s="530" t="s">
        <v>1321</v>
      </c>
      <c r="K5" s="530" t="s">
        <v>1326</v>
      </c>
    </row>
    <row r="6" spans="1:14" ht="12.75" x14ac:dyDescent="0.2">
      <c r="D6" s="399" t="s">
        <v>705</v>
      </c>
      <c r="E6" s="400"/>
      <c r="F6" s="400"/>
      <c r="G6" s="400"/>
      <c r="H6" s="400"/>
      <c r="I6" s="401"/>
      <c r="J6" s="618" t="s">
        <v>1324</v>
      </c>
      <c r="K6" s="618" t="s">
        <v>1324</v>
      </c>
    </row>
    <row r="7" spans="1:14" ht="24" x14ac:dyDescent="0.2">
      <c r="B7" t="s">
        <v>651</v>
      </c>
      <c r="C7" s="61" t="s">
        <v>1111</v>
      </c>
      <c r="D7" s="396" t="s">
        <v>630</v>
      </c>
      <c r="E7" s="395" t="s">
        <v>707</v>
      </c>
      <c r="F7" s="395" t="s">
        <v>1010</v>
      </c>
      <c r="G7" s="395" t="s">
        <v>1002</v>
      </c>
      <c r="H7" s="395" t="s">
        <v>1011</v>
      </c>
      <c r="I7" s="397" t="s">
        <v>231</v>
      </c>
      <c r="J7" s="397" t="s">
        <v>675</v>
      </c>
      <c r="K7" s="397" t="s">
        <v>712</v>
      </c>
    </row>
    <row r="8" spans="1:14" x14ac:dyDescent="0.2">
      <c r="B8" t="s">
        <v>172</v>
      </c>
      <c r="C8" s="409">
        <v>17</v>
      </c>
      <c r="D8" s="807"/>
      <c r="E8" s="808"/>
      <c r="F8" s="408"/>
      <c r="G8" s="500"/>
      <c r="H8" s="408"/>
      <c r="I8" s="809">
        <v>0</v>
      </c>
      <c r="J8" s="450">
        <v>0</v>
      </c>
      <c r="K8" s="450">
        <v>0</v>
      </c>
    </row>
    <row r="9" spans="1:14" x14ac:dyDescent="0.2">
      <c r="B9" t="s">
        <v>173</v>
      </c>
      <c r="C9" s="409">
        <v>17</v>
      </c>
      <c r="D9" s="807"/>
      <c r="E9" s="808"/>
      <c r="F9" s="408"/>
      <c r="G9" s="500"/>
      <c r="H9" s="408"/>
      <c r="I9" s="809">
        <v>0</v>
      </c>
      <c r="J9" s="450">
        <v>0</v>
      </c>
      <c r="K9" s="450">
        <v>0</v>
      </c>
    </row>
    <row r="10" spans="1:14" x14ac:dyDescent="0.2">
      <c r="B10" t="s">
        <v>171</v>
      </c>
      <c r="C10" s="409">
        <v>17</v>
      </c>
      <c r="D10" s="807"/>
      <c r="E10" s="808"/>
      <c r="F10" s="408"/>
      <c r="G10" s="500"/>
      <c r="H10" s="408"/>
      <c r="I10" s="809">
        <v>0</v>
      </c>
      <c r="J10" s="450">
        <v>0</v>
      </c>
      <c r="K10" s="450">
        <v>0</v>
      </c>
    </row>
    <row r="11" spans="1:14" x14ac:dyDescent="0.2">
      <c r="B11" t="s">
        <v>179</v>
      </c>
      <c r="C11" s="409">
        <v>17</v>
      </c>
      <c r="D11" s="807"/>
      <c r="E11" s="808"/>
      <c r="F11" s="408"/>
      <c r="G11" s="500"/>
      <c r="H11" s="408"/>
      <c r="I11" s="809">
        <v>0</v>
      </c>
      <c r="J11" s="450">
        <v>0</v>
      </c>
      <c r="K11" s="450">
        <v>0</v>
      </c>
    </row>
    <row r="12" spans="1:14" x14ac:dyDescent="0.2">
      <c r="B12" t="s">
        <v>165</v>
      </c>
      <c r="C12" s="409">
        <v>17</v>
      </c>
      <c r="D12" s="807"/>
      <c r="E12" s="808"/>
      <c r="F12" s="408"/>
      <c r="G12" s="500"/>
      <c r="H12" s="408"/>
      <c r="I12" s="809">
        <v>0</v>
      </c>
      <c r="J12" s="450">
        <v>0</v>
      </c>
      <c r="K12" s="450">
        <v>0</v>
      </c>
      <c r="M12" s="386"/>
      <c r="N12" s="386"/>
    </row>
    <row r="13" spans="1:14" x14ac:dyDescent="0.2">
      <c r="B13" t="s">
        <v>167</v>
      </c>
      <c r="C13" s="409">
        <v>17</v>
      </c>
      <c r="D13" s="807"/>
      <c r="E13" s="808"/>
      <c r="F13" s="408"/>
      <c r="G13" s="500"/>
      <c r="H13" s="408"/>
      <c r="I13" s="809">
        <v>0</v>
      </c>
      <c r="J13" s="450">
        <v>0</v>
      </c>
      <c r="K13" s="450">
        <v>0</v>
      </c>
      <c r="M13" s="386"/>
      <c r="N13" s="386"/>
    </row>
    <row r="14" spans="1:14" x14ac:dyDescent="0.2">
      <c r="B14" t="s">
        <v>168</v>
      </c>
      <c r="C14" s="409">
        <v>17</v>
      </c>
      <c r="D14" s="807"/>
      <c r="E14" s="808"/>
      <c r="F14" s="408"/>
      <c r="G14" s="500"/>
      <c r="H14" s="408"/>
      <c r="I14" s="809">
        <v>0</v>
      </c>
      <c r="J14" s="450">
        <v>0</v>
      </c>
      <c r="K14" s="450">
        <v>0</v>
      </c>
      <c r="M14" s="386"/>
      <c r="N14" s="386"/>
    </row>
    <row r="15" spans="1:14" x14ac:dyDescent="0.2">
      <c r="B15" t="s">
        <v>169</v>
      </c>
      <c r="C15" s="409">
        <v>17</v>
      </c>
      <c r="D15" s="807"/>
      <c r="E15" s="808"/>
      <c r="F15" s="408"/>
      <c r="G15" s="500"/>
      <c r="H15" s="408"/>
      <c r="I15" s="809">
        <v>0</v>
      </c>
      <c r="J15" s="450">
        <v>0</v>
      </c>
      <c r="K15" s="450">
        <v>0</v>
      </c>
      <c r="M15" s="386"/>
      <c r="N15" s="386"/>
    </row>
    <row r="16" spans="1:14" x14ac:dyDescent="0.2">
      <c r="B16" t="s">
        <v>166</v>
      </c>
      <c r="C16" s="409">
        <v>17</v>
      </c>
      <c r="D16" s="807"/>
      <c r="E16" s="808"/>
      <c r="F16" s="408"/>
      <c r="G16" s="500"/>
      <c r="H16" s="408"/>
      <c r="I16" s="809">
        <v>0</v>
      </c>
      <c r="J16" s="450">
        <v>0</v>
      </c>
      <c r="K16" s="450">
        <v>0</v>
      </c>
      <c r="M16" s="386"/>
      <c r="N16" s="386"/>
    </row>
    <row r="17" spans="2:14" x14ac:dyDescent="0.2">
      <c r="B17" t="s">
        <v>193</v>
      </c>
      <c r="C17" s="409">
        <v>17</v>
      </c>
      <c r="D17" s="807"/>
      <c r="E17" s="808"/>
      <c r="F17" s="408"/>
      <c r="G17" s="500"/>
      <c r="H17" s="408"/>
      <c r="I17" s="809">
        <v>0</v>
      </c>
      <c r="J17" s="450">
        <v>0</v>
      </c>
      <c r="K17" s="450">
        <v>0</v>
      </c>
      <c r="M17" s="386"/>
      <c r="N17" s="386"/>
    </row>
    <row r="18" spans="2:14" x14ac:dyDescent="0.2">
      <c r="B18" t="s">
        <v>170</v>
      </c>
      <c r="C18" s="409">
        <v>17</v>
      </c>
      <c r="D18" s="807"/>
      <c r="E18" s="808"/>
      <c r="F18" s="408"/>
      <c r="G18" s="500"/>
      <c r="H18" s="408"/>
      <c r="I18" s="809">
        <v>0</v>
      </c>
      <c r="J18" s="450">
        <v>0</v>
      </c>
      <c r="K18" s="450">
        <v>0</v>
      </c>
      <c r="M18" s="386"/>
      <c r="N18" s="386"/>
    </row>
    <row r="19" spans="2:14" x14ac:dyDescent="0.2">
      <c r="B19" t="s">
        <v>489</v>
      </c>
      <c r="C19" s="409">
        <v>17</v>
      </c>
      <c r="D19" s="804"/>
      <c r="E19" s="805"/>
      <c r="F19" s="408">
        <v>100.75</v>
      </c>
      <c r="G19" s="500">
        <v>0</v>
      </c>
      <c r="H19" s="408">
        <v>119.99325</v>
      </c>
      <c r="I19" s="806"/>
      <c r="J19" s="450">
        <v>27.068574997225895</v>
      </c>
      <c r="K19" s="450">
        <v>57.633323366959139</v>
      </c>
    </row>
    <row r="20" spans="2:14" x14ac:dyDescent="0.2">
      <c r="B20" t="s">
        <v>486</v>
      </c>
      <c r="C20" s="409">
        <v>17</v>
      </c>
      <c r="D20" s="807"/>
      <c r="E20" s="808"/>
      <c r="F20" s="408"/>
      <c r="G20" s="500"/>
      <c r="H20" s="408"/>
      <c r="I20" s="809">
        <v>0</v>
      </c>
      <c r="J20" s="450">
        <v>0</v>
      </c>
      <c r="K20" s="450">
        <v>0</v>
      </c>
    </row>
    <row r="21" spans="2:14" x14ac:dyDescent="0.2">
      <c r="B21" t="s">
        <v>488</v>
      </c>
      <c r="C21" s="409">
        <v>17</v>
      </c>
      <c r="D21" s="807"/>
      <c r="E21" s="808"/>
      <c r="F21" s="408"/>
      <c r="G21" s="500"/>
      <c r="H21" s="408"/>
      <c r="I21" s="809">
        <v>0</v>
      </c>
      <c r="J21" s="450">
        <v>0</v>
      </c>
      <c r="K21" s="450">
        <v>0</v>
      </c>
    </row>
    <row r="22" spans="2:14" x14ac:dyDescent="0.2">
      <c r="B22" t="s">
        <v>487</v>
      </c>
      <c r="C22" s="409">
        <v>17</v>
      </c>
      <c r="D22" s="807"/>
      <c r="E22" s="808"/>
      <c r="F22" s="408"/>
      <c r="G22" s="500"/>
      <c r="H22" s="408"/>
      <c r="I22" s="809">
        <v>0</v>
      </c>
      <c r="J22" s="450">
        <v>0</v>
      </c>
      <c r="K22" s="450">
        <v>0</v>
      </c>
    </row>
    <row r="23" spans="2:14" ht="4.1500000000000004" customHeight="1" x14ac:dyDescent="0.2"/>
    <row r="24" spans="2:14" x14ac:dyDescent="0.2">
      <c r="C24" s="48" t="s">
        <v>765</v>
      </c>
      <c r="D24" s="48" t="s">
        <v>765</v>
      </c>
      <c r="G24" s="48" t="s">
        <v>765</v>
      </c>
      <c r="I24" s="220"/>
      <c r="J24" s="48" t="s">
        <v>773</v>
      </c>
      <c r="K24" s="48" t="s">
        <v>773</v>
      </c>
    </row>
    <row r="29" spans="2:14" x14ac:dyDescent="0.2">
      <c r="D29" s="386"/>
    </row>
    <row r="30" spans="2:14" x14ac:dyDescent="0.2">
      <c r="D30" s="386"/>
    </row>
    <row r="31" spans="2:14" x14ac:dyDescent="0.2">
      <c r="D31" s="386"/>
    </row>
    <row r="32" spans="2:14" x14ac:dyDescent="0.2">
      <c r="D32" s="386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">
    <tabColor theme="9"/>
  </sheetPr>
  <dimension ref="B1:AV173"/>
  <sheetViews>
    <sheetView showGridLines="0" zoomScale="112" zoomScaleNormal="100" workbookViewId="0">
      <selection activeCell="K135" sqref="K134:K135"/>
    </sheetView>
  </sheetViews>
  <sheetFormatPr defaultRowHeight="12" x14ac:dyDescent="0.2"/>
  <cols>
    <col min="1" max="5" width="2.5" customWidth="1"/>
    <col min="6" max="6" width="26.83203125" customWidth="1"/>
    <col min="7" max="7" width="22.1640625" bestFit="1" customWidth="1"/>
    <col min="8" max="8" width="21.1640625" bestFit="1" customWidth="1"/>
    <col min="9" max="13" width="18.5" customWidth="1"/>
    <col min="14" max="14" width="14.6640625" customWidth="1"/>
    <col min="15" max="15" width="4.6640625" style="552" customWidth="1"/>
    <col min="16" max="16" width="16.33203125" style="552" customWidth="1"/>
    <col min="17" max="17" width="86" style="552" bestFit="1" customWidth="1"/>
    <col min="18" max="18" width="15.5" bestFit="1" customWidth="1"/>
    <col min="19" max="19" width="85" bestFit="1" customWidth="1"/>
  </cols>
  <sheetData>
    <row r="1" spans="2:20" ht="19.5" thickBot="1" x14ac:dyDescent="0.35">
      <c r="B1" s="23" t="s">
        <v>19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ht="17.25" thickTop="1" thickBot="1" x14ac:dyDescent="0.3">
      <c r="B2" s="4" t="s">
        <v>1328</v>
      </c>
      <c r="C2" s="4"/>
      <c r="D2" s="4"/>
      <c r="E2" s="4"/>
      <c r="F2" s="4"/>
      <c r="G2" s="4"/>
      <c r="H2" s="4"/>
    </row>
    <row r="3" spans="2:20" ht="12.75" thickTop="1" x14ac:dyDescent="0.2">
      <c r="N3" s="552"/>
      <c r="O3"/>
      <c r="P3"/>
      <c r="Q3"/>
    </row>
    <row r="4" spans="2:20" x14ac:dyDescent="0.2">
      <c r="N4" s="552"/>
      <c r="O4" s="558"/>
      <c r="P4"/>
      <c r="Q4"/>
    </row>
    <row r="5" spans="2:20" ht="12.75" x14ac:dyDescent="0.2">
      <c r="C5" s="5" t="s">
        <v>18</v>
      </c>
      <c r="G5" s="768">
        <v>1000000</v>
      </c>
      <c r="N5" s="552"/>
      <c r="O5" s="558"/>
      <c r="P5" s="7"/>
      <c r="Q5" s="8" t="s">
        <v>1253</v>
      </c>
    </row>
    <row r="6" spans="2:20" x14ac:dyDescent="0.2">
      <c r="N6" s="552"/>
      <c r="O6" s="558"/>
      <c r="P6"/>
      <c r="Q6"/>
    </row>
    <row r="7" spans="2:20" ht="12.75" x14ac:dyDescent="0.2">
      <c r="C7" s="5" t="s">
        <v>17</v>
      </c>
      <c r="G7" s="655">
        <v>2018</v>
      </c>
      <c r="N7" s="552"/>
      <c r="O7" s="558"/>
      <c r="P7" s="7"/>
      <c r="Q7" s="8"/>
    </row>
    <row r="8" spans="2:20" x14ac:dyDescent="0.2">
      <c r="N8" s="552"/>
      <c r="O8" s="558"/>
      <c r="P8"/>
      <c r="Q8"/>
    </row>
    <row r="9" spans="2:20" ht="12.75" x14ac:dyDescent="0.2">
      <c r="C9" s="5" t="s">
        <v>233</v>
      </c>
      <c r="N9" s="552"/>
      <c r="O9" s="558"/>
      <c r="P9"/>
      <c r="Q9"/>
    </row>
    <row r="10" spans="2:20" x14ac:dyDescent="0.2">
      <c r="F10" s="386" t="s">
        <v>627</v>
      </c>
      <c r="G10" s="480">
        <v>0.114</v>
      </c>
      <c r="N10" s="552"/>
      <c r="O10" s="558"/>
      <c r="P10" s="7" t="s">
        <v>241</v>
      </c>
      <c r="Q10" s="225" t="s">
        <v>639</v>
      </c>
    </row>
    <row r="11" spans="2:20" s="386" customFormat="1" x14ac:dyDescent="0.2">
      <c r="N11" s="552"/>
      <c r="O11" s="558"/>
    </row>
    <row r="12" spans="2:20" s="386" customFormat="1" x14ac:dyDescent="0.2">
      <c r="E12" s="38" t="s">
        <v>638</v>
      </c>
      <c r="N12" s="552"/>
      <c r="O12" s="558"/>
    </row>
    <row r="13" spans="2:20" x14ac:dyDescent="0.2">
      <c r="F13" t="s">
        <v>789</v>
      </c>
      <c r="G13" s="480">
        <v>0.25600000000000001</v>
      </c>
      <c r="H13" s="6"/>
      <c r="N13" s="552"/>
      <c r="O13" s="558"/>
      <c r="P13" s="7" t="s">
        <v>285</v>
      </c>
      <c r="Q13" s="225" t="s">
        <v>831</v>
      </c>
    </row>
    <row r="14" spans="2:20" s="386" customFormat="1" ht="4.1500000000000004" customHeight="1" x14ac:dyDescent="0.2">
      <c r="H14" s="6"/>
      <c r="N14" s="552"/>
      <c r="O14" s="558"/>
    </row>
    <row r="15" spans="2:20" x14ac:dyDescent="0.2">
      <c r="F15" t="s">
        <v>790</v>
      </c>
      <c r="G15" s="480">
        <v>0.191</v>
      </c>
      <c r="N15" s="552"/>
      <c r="O15" s="558"/>
      <c r="P15" s="7" t="s">
        <v>285</v>
      </c>
      <c r="Q15" s="417" t="s">
        <v>832</v>
      </c>
    </row>
    <row r="16" spans="2:20" s="386" customFormat="1" x14ac:dyDescent="0.2">
      <c r="N16" s="552"/>
      <c r="O16" s="558"/>
    </row>
    <row r="17" spans="3:17" s="558" customFormat="1" ht="15" x14ac:dyDescent="0.25">
      <c r="C17" s="5" t="s">
        <v>1100</v>
      </c>
    </row>
    <row r="18" spans="3:17" s="558" customFormat="1" x14ac:dyDescent="0.2">
      <c r="F18" s="558" t="s">
        <v>195</v>
      </c>
      <c r="G18" s="810"/>
      <c r="P18" s="7" t="s">
        <v>289</v>
      </c>
      <c r="Q18" s="417"/>
    </row>
    <row r="19" spans="3:17" s="558" customFormat="1" ht="4.1500000000000004" customHeight="1" x14ac:dyDescent="0.2"/>
    <row r="20" spans="3:17" s="558" customFormat="1" x14ac:dyDescent="0.2">
      <c r="F20" s="558" t="s">
        <v>1099</v>
      </c>
      <c r="G20" s="811"/>
      <c r="P20" s="7" t="s">
        <v>289</v>
      </c>
      <c r="Q20" s="417"/>
    </row>
    <row r="21" spans="3:17" s="558" customFormat="1" x14ac:dyDescent="0.2"/>
    <row r="22" spans="3:17" ht="12.75" x14ac:dyDescent="0.2">
      <c r="C22" s="5" t="s">
        <v>25</v>
      </c>
      <c r="N22" s="552"/>
      <c r="O22" s="558"/>
      <c r="P22"/>
      <c r="Q22"/>
    </row>
    <row r="23" spans="3:17" s="386" customFormat="1" x14ac:dyDescent="0.2">
      <c r="E23" s="38" t="s">
        <v>783</v>
      </c>
      <c r="G23" s="515">
        <v>6.1699999999999998E-2</v>
      </c>
      <c r="N23" s="552"/>
      <c r="O23" s="558"/>
      <c r="P23" s="7" t="s">
        <v>285</v>
      </c>
      <c r="Q23" s="417" t="s">
        <v>785</v>
      </c>
    </row>
    <row r="24" spans="3:17" s="386" customFormat="1" ht="4.1500000000000004" customHeight="1" x14ac:dyDescent="0.2">
      <c r="N24" s="552"/>
      <c r="O24" s="558"/>
    </row>
    <row r="25" spans="3:17" s="386" customFormat="1" x14ac:dyDescent="0.2">
      <c r="E25" s="38" t="s">
        <v>784</v>
      </c>
      <c r="N25" s="552"/>
      <c r="O25" s="558"/>
    </row>
    <row r="26" spans="3:17" s="386" customFormat="1" x14ac:dyDescent="0.2">
      <c r="F26" s="386" t="s">
        <v>1254</v>
      </c>
      <c r="G26" s="512">
        <v>8</v>
      </c>
      <c r="H26" s="6" t="s">
        <v>786</v>
      </c>
      <c r="N26" s="552"/>
      <c r="O26" s="558"/>
      <c r="P26" s="7" t="s">
        <v>285</v>
      </c>
      <c r="Q26" s="417" t="s">
        <v>788</v>
      </c>
    </row>
    <row r="27" spans="3:17" s="386" customFormat="1" x14ac:dyDescent="0.2">
      <c r="F27" s="386" t="s">
        <v>787</v>
      </c>
      <c r="G27" s="686">
        <v>123232</v>
      </c>
      <c r="H27" s="6" t="s">
        <v>1145</v>
      </c>
      <c r="N27" s="552"/>
      <c r="O27" s="558"/>
      <c r="P27" s="7" t="s">
        <v>285</v>
      </c>
      <c r="Q27" s="417" t="s">
        <v>1122</v>
      </c>
    </row>
    <row r="28" spans="3:17" s="558" customFormat="1" ht="12.75" x14ac:dyDescent="0.2">
      <c r="C28" s="5"/>
    </row>
    <row r="29" spans="3:17" s="558" customFormat="1" ht="12.75" x14ac:dyDescent="0.2">
      <c r="C29" s="5"/>
      <c r="D29" s="79" t="s">
        <v>1146</v>
      </c>
    </row>
    <row r="30" spans="3:17" s="558" customFormat="1" ht="12.75" x14ac:dyDescent="0.2">
      <c r="C30" s="5"/>
      <c r="D30" s="79"/>
      <c r="E30" s="698" t="s">
        <v>1042</v>
      </c>
      <c r="G30" s="693" t="s">
        <v>1261</v>
      </c>
      <c r="H30" s="693" t="s">
        <v>1261</v>
      </c>
    </row>
    <row r="31" spans="3:17" s="558" customFormat="1" ht="12.75" x14ac:dyDescent="0.2">
      <c r="C31" s="5"/>
      <c r="F31" s="558" t="s">
        <v>1148</v>
      </c>
      <c r="G31" s="564" t="s">
        <v>251</v>
      </c>
      <c r="H31" s="564" t="s">
        <v>252</v>
      </c>
      <c r="I31" s="564" t="s">
        <v>253</v>
      </c>
      <c r="J31" s="564" t="s">
        <v>254</v>
      </c>
      <c r="K31" s="564" t="s">
        <v>255</v>
      </c>
      <c r="L31" s="564" t="s">
        <v>256</v>
      </c>
      <c r="M31" s="564" t="s">
        <v>257</v>
      </c>
    </row>
    <row r="32" spans="3:17" s="558" customFormat="1" ht="12.75" x14ac:dyDescent="0.2">
      <c r="C32" s="5"/>
      <c r="F32" s="558" t="s">
        <v>240</v>
      </c>
      <c r="G32" s="699">
        <v>116294.26210508161</v>
      </c>
      <c r="H32" s="699">
        <v>117033.95926019244</v>
      </c>
      <c r="I32" s="699">
        <v>117947.02293603239</v>
      </c>
      <c r="J32" s="699">
        <v>119195.26188528193</v>
      </c>
      <c r="K32" s="699">
        <v>120639.98289135778</v>
      </c>
      <c r="L32" s="699">
        <v>121957.56844889894</v>
      </c>
      <c r="M32" s="699">
        <v>123136.46078985684</v>
      </c>
    </row>
    <row r="33" spans="3:17" s="558" customFormat="1" ht="12.75" x14ac:dyDescent="0.2">
      <c r="C33" s="5"/>
      <c r="F33" s="558" t="s">
        <v>235</v>
      </c>
      <c r="G33" s="699">
        <v>66835.782819012413</v>
      </c>
      <c r="H33" s="699">
        <v>67260.896126547377</v>
      </c>
      <c r="I33" s="699">
        <v>67785.645365535849</v>
      </c>
      <c r="J33" s="699">
        <v>68503.024072001106</v>
      </c>
      <c r="K33" s="699">
        <v>69333.323500780331</v>
      </c>
      <c r="L33" s="699">
        <v>70090.556579826967</v>
      </c>
      <c r="M33" s="699">
        <v>70768.080913710815</v>
      </c>
    </row>
    <row r="34" spans="3:17" s="558" customFormat="1" ht="12.75" x14ac:dyDescent="0.2">
      <c r="C34" s="5"/>
      <c r="F34" s="558" t="s">
        <v>236</v>
      </c>
      <c r="G34" s="699">
        <v>93570.095946617395</v>
      </c>
      <c r="H34" s="699">
        <v>94165.254577166328</v>
      </c>
      <c r="I34" s="699">
        <v>94899.903511750177</v>
      </c>
      <c r="J34" s="699">
        <v>95904.233700801546</v>
      </c>
      <c r="K34" s="699">
        <v>97066.652901092457</v>
      </c>
      <c r="L34" s="699">
        <v>98126.779211757763</v>
      </c>
      <c r="M34" s="699">
        <v>99075.313279195136</v>
      </c>
    </row>
    <row r="35" spans="3:17" s="558" customFormat="1" ht="12.75" x14ac:dyDescent="0.2">
      <c r="C35" s="5"/>
      <c r="F35" s="558" t="s">
        <v>237</v>
      </c>
      <c r="G35" s="699">
        <v>234593.59769473359</v>
      </c>
      <c r="H35" s="699">
        <v>236085.7454041813</v>
      </c>
      <c r="I35" s="699">
        <v>237927.61523303081</v>
      </c>
      <c r="J35" s="699">
        <v>240445.61449272389</v>
      </c>
      <c r="K35" s="699">
        <v>243359.96548773895</v>
      </c>
      <c r="L35" s="699">
        <v>246017.85359519266</v>
      </c>
      <c r="M35" s="699">
        <v>248395.96400712497</v>
      </c>
    </row>
    <row r="36" spans="3:17" s="558" customFormat="1" ht="12.75" x14ac:dyDescent="0.2">
      <c r="C36" s="5"/>
      <c r="F36" s="148" t="s">
        <v>974</v>
      </c>
      <c r="G36" s="699">
        <v>133671.56563802483</v>
      </c>
      <c r="H36" s="699">
        <v>134521.79225309475</v>
      </c>
      <c r="I36" s="699">
        <v>135571.2907310717</v>
      </c>
      <c r="J36" s="699">
        <v>137006.04814400221</v>
      </c>
      <c r="K36" s="699">
        <v>138666.64700156066</v>
      </c>
      <c r="L36" s="571">
        <v>140181.11315965393</v>
      </c>
      <c r="M36" s="571">
        <v>141536.16182742163</v>
      </c>
    </row>
    <row r="37" spans="3:17" s="558" customFormat="1" ht="12.75" x14ac:dyDescent="0.2">
      <c r="C37" s="5"/>
      <c r="F37" s="558" t="s">
        <v>26</v>
      </c>
      <c r="G37" s="699">
        <v>200507.34845703727</v>
      </c>
      <c r="H37" s="699">
        <v>201782.68837964215</v>
      </c>
      <c r="I37" s="699">
        <v>203356.93609660756</v>
      </c>
      <c r="J37" s="699">
        <v>205509.07221600332</v>
      </c>
      <c r="K37" s="699">
        <v>207999.97050234099</v>
      </c>
      <c r="L37" s="699">
        <v>210271.66973948095</v>
      </c>
      <c r="M37" s="699">
        <v>212304.24274113245</v>
      </c>
    </row>
    <row r="38" spans="3:17" x14ac:dyDescent="0.2">
      <c r="H38" s="386"/>
      <c r="N38" s="552"/>
      <c r="O38" s="558"/>
      <c r="P38"/>
      <c r="Q38"/>
    </row>
    <row r="39" spans="3:17" s="558" customFormat="1" ht="12.75" x14ac:dyDescent="0.2">
      <c r="C39" s="5"/>
      <c r="E39" s="38" t="s">
        <v>1147</v>
      </c>
      <c r="G39" s="564" t="s">
        <v>251</v>
      </c>
      <c r="H39" s="564" t="s">
        <v>252</v>
      </c>
      <c r="I39" s="564" t="s">
        <v>253</v>
      </c>
      <c r="J39" s="564" t="s">
        <v>254</v>
      </c>
      <c r="K39" s="564" t="s">
        <v>255</v>
      </c>
      <c r="L39" s="564" t="s">
        <v>256</v>
      </c>
      <c r="M39" s="564" t="s">
        <v>257</v>
      </c>
    </row>
    <row r="40" spans="3:17" s="558" customFormat="1" ht="12.75" x14ac:dyDescent="0.2">
      <c r="C40" s="5"/>
      <c r="F40" s="558" t="s">
        <v>240</v>
      </c>
      <c r="G40" s="700">
        <v>110112.54671649731</v>
      </c>
      <c r="H40" s="700">
        <v>110812.92467215779</v>
      </c>
      <c r="I40" s="700">
        <v>111677.45371117622</v>
      </c>
      <c r="J40" s="700">
        <v>112859.3415113533</v>
      </c>
      <c r="K40" s="700">
        <v>114227.2672060027</v>
      </c>
      <c r="L40" s="700">
        <v>115474.81543952292</v>
      </c>
      <c r="M40" s="700">
        <v>116591.04280635683</v>
      </c>
    </row>
    <row r="41" spans="3:17" s="558" customFormat="1" ht="12.75" x14ac:dyDescent="0.2">
      <c r="C41" s="5"/>
      <c r="F41" s="558" t="s">
        <v>235</v>
      </c>
      <c r="G41" s="700">
        <v>63283.072825573166</v>
      </c>
      <c r="H41" s="700">
        <v>63685.588892044711</v>
      </c>
      <c r="I41" s="700">
        <v>64182.444661595524</v>
      </c>
      <c r="J41" s="700">
        <v>64861.690523766265</v>
      </c>
      <c r="K41" s="700">
        <v>65647.854716093498</v>
      </c>
      <c r="L41" s="700">
        <v>66364.836459495928</v>
      </c>
      <c r="M41" s="700">
        <v>67006.346440434951</v>
      </c>
    </row>
    <row r="42" spans="3:17" s="558" customFormat="1" ht="12.75" x14ac:dyDescent="0.2">
      <c r="C42" s="5"/>
      <c r="F42" s="558" t="s">
        <v>236</v>
      </c>
      <c r="G42" s="700">
        <v>88596.301955802439</v>
      </c>
      <c r="H42" s="700">
        <v>89159.824448862593</v>
      </c>
      <c r="I42" s="700">
        <v>89855.422526233728</v>
      </c>
      <c r="J42" s="700">
        <v>90806.366733272764</v>
      </c>
      <c r="K42" s="700">
        <v>91906.996602530897</v>
      </c>
      <c r="L42" s="700">
        <v>92910.771043294299</v>
      </c>
      <c r="M42" s="700">
        <v>93808.885016608925</v>
      </c>
    </row>
    <row r="43" spans="3:17" s="558" customFormat="1" ht="12.75" x14ac:dyDescent="0.2">
      <c r="C43" s="5"/>
      <c r="F43" s="558" t="s">
        <v>237</v>
      </c>
      <c r="G43" s="700">
        <v>222123.58561776183</v>
      </c>
      <c r="H43" s="700">
        <v>223536.41701107693</v>
      </c>
      <c r="I43" s="700">
        <v>225280.38076220028</v>
      </c>
      <c r="J43" s="700">
        <v>227664.53373841959</v>
      </c>
      <c r="K43" s="700">
        <v>230423.97005348818</v>
      </c>
      <c r="L43" s="700">
        <v>232940.5759728307</v>
      </c>
      <c r="M43" s="700">
        <v>235192.27600592669</v>
      </c>
    </row>
    <row r="44" spans="3:17" s="558" customFormat="1" ht="12.75" x14ac:dyDescent="0.2">
      <c r="C44" s="5"/>
      <c r="F44" s="558" t="s">
        <v>974</v>
      </c>
      <c r="G44" s="700">
        <v>126566.14565114633</v>
      </c>
      <c r="H44" s="700">
        <v>127371.17778408942</v>
      </c>
      <c r="I44" s="700">
        <v>128364.88932319105</v>
      </c>
      <c r="J44" s="700">
        <v>129723.38104753253</v>
      </c>
      <c r="K44" s="700">
        <v>131295.709432187</v>
      </c>
      <c r="L44" s="700">
        <v>132729.67291899186</v>
      </c>
      <c r="M44" s="700">
        <v>134012.6928808699</v>
      </c>
    </row>
    <row r="45" spans="3:17" s="558" customFormat="1" ht="12.75" x14ac:dyDescent="0.2">
      <c r="C45" s="5"/>
      <c r="F45" s="558" t="s">
        <v>26</v>
      </c>
      <c r="G45" s="700">
        <v>189849.21847671951</v>
      </c>
      <c r="H45" s="700">
        <v>191056.76667613414</v>
      </c>
      <c r="I45" s="700">
        <v>192547.33398478659</v>
      </c>
      <c r="J45" s="700">
        <v>194585.07157129879</v>
      </c>
      <c r="K45" s="700">
        <v>196943.56414828051</v>
      </c>
      <c r="L45" s="700">
        <v>199094.5093784878</v>
      </c>
      <c r="M45" s="700">
        <v>201019.03932130485</v>
      </c>
    </row>
    <row r="46" spans="3:17" s="558" customFormat="1" x14ac:dyDescent="0.2"/>
    <row r="47" spans="3:17" ht="24" x14ac:dyDescent="0.2">
      <c r="E47" s="38" t="s">
        <v>869</v>
      </c>
      <c r="G47" t="s">
        <v>6</v>
      </c>
      <c r="H47" s="570" t="s">
        <v>945</v>
      </c>
      <c r="I47" s="71" t="s">
        <v>1063</v>
      </c>
      <c r="J47" s="71" t="s">
        <v>1064</v>
      </c>
      <c r="N47" s="552"/>
      <c r="O47" s="558"/>
      <c r="P47"/>
      <c r="Q47"/>
    </row>
    <row r="48" spans="3:17" x14ac:dyDescent="0.2">
      <c r="G48" t="s">
        <v>240</v>
      </c>
      <c r="H48" s="513">
        <v>87000</v>
      </c>
      <c r="I48" s="514">
        <v>103617</v>
      </c>
      <c r="J48" s="514">
        <v>109434.05557195122</v>
      </c>
      <c r="N48" s="552"/>
      <c r="O48" s="558"/>
      <c r="P48" s="7" t="s">
        <v>792</v>
      </c>
      <c r="Q48" s="417" t="s">
        <v>980</v>
      </c>
    </row>
    <row r="49" spans="3:17" x14ac:dyDescent="0.2">
      <c r="G49" t="s">
        <v>235</v>
      </c>
      <c r="H49" s="513">
        <v>50000</v>
      </c>
      <c r="I49" s="514">
        <v>59550</v>
      </c>
      <c r="J49" s="514">
        <v>62893.135386178859</v>
      </c>
      <c r="N49" s="552"/>
      <c r="O49" s="558"/>
      <c r="P49" s="7" t="s">
        <v>793</v>
      </c>
      <c r="Q49" s="417" t="s">
        <v>975</v>
      </c>
    </row>
    <row r="50" spans="3:17" x14ac:dyDescent="0.2">
      <c r="G50" t="s">
        <v>236</v>
      </c>
      <c r="H50" s="513">
        <v>70000</v>
      </c>
      <c r="I50" s="514">
        <v>83370</v>
      </c>
      <c r="J50" s="514">
        <v>88050.389540650402</v>
      </c>
      <c r="N50" s="552"/>
      <c r="O50" s="558"/>
      <c r="P50" s="7" t="s">
        <v>794</v>
      </c>
      <c r="Q50" s="417" t="s">
        <v>979</v>
      </c>
    </row>
    <row r="51" spans="3:17" x14ac:dyDescent="0.2">
      <c r="G51" t="s">
        <v>237</v>
      </c>
      <c r="H51" s="513">
        <v>175500</v>
      </c>
      <c r="I51" s="514">
        <v>209020.5</v>
      </c>
      <c r="J51" s="514">
        <v>220754.9052054878</v>
      </c>
      <c r="N51" s="552"/>
      <c r="O51" s="558"/>
      <c r="P51" s="7" t="s">
        <v>792</v>
      </c>
      <c r="Q51" s="417" t="s">
        <v>978</v>
      </c>
    </row>
    <row r="52" spans="3:17" s="558" customFormat="1" x14ac:dyDescent="0.2">
      <c r="G52" s="558" t="s">
        <v>974</v>
      </c>
      <c r="H52" s="513">
        <v>100000</v>
      </c>
      <c r="I52" s="514">
        <v>119100</v>
      </c>
      <c r="J52" s="514">
        <v>125786.27077235772</v>
      </c>
      <c r="P52" s="7" t="s">
        <v>289</v>
      </c>
      <c r="Q52" s="417" t="s">
        <v>977</v>
      </c>
    </row>
    <row r="53" spans="3:17" s="558" customFormat="1" x14ac:dyDescent="0.2">
      <c r="G53" t="s">
        <v>26</v>
      </c>
      <c r="H53" s="513">
        <v>150000</v>
      </c>
      <c r="I53" s="514">
        <v>178650</v>
      </c>
      <c r="J53" s="514">
        <v>188679.40615853659</v>
      </c>
      <c r="P53" s="7" t="s">
        <v>289</v>
      </c>
      <c r="Q53" s="417" t="s">
        <v>976</v>
      </c>
    </row>
    <row r="54" spans="3:17" s="386" customFormat="1" x14ac:dyDescent="0.2">
      <c r="N54" s="552"/>
      <c r="O54" s="558"/>
    </row>
    <row r="55" spans="3:17" s="558" customFormat="1" ht="12.75" x14ac:dyDescent="0.2">
      <c r="C55" s="5" t="s">
        <v>996</v>
      </c>
    </row>
    <row r="56" spans="3:17" s="558" customFormat="1" x14ac:dyDescent="0.2">
      <c r="E56" s="38"/>
      <c r="F56" s="148" t="s">
        <v>997</v>
      </c>
      <c r="G56" s="564" t="s">
        <v>251</v>
      </c>
      <c r="H56" s="564" t="s">
        <v>252</v>
      </c>
      <c r="I56" s="564" t="s">
        <v>253</v>
      </c>
      <c r="J56" s="564" t="s">
        <v>254</v>
      </c>
      <c r="K56" s="564" t="s">
        <v>255</v>
      </c>
      <c r="L56" s="564" t="s">
        <v>256</v>
      </c>
      <c r="M56" s="564" t="s">
        <v>257</v>
      </c>
    </row>
    <row r="57" spans="3:17" s="558" customFormat="1" x14ac:dyDescent="0.2">
      <c r="F57" s="148" t="s">
        <v>998</v>
      </c>
      <c r="G57" s="119" t="s">
        <v>999</v>
      </c>
      <c r="H57" s="119" t="s">
        <v>1000</v>
      </c>
      <c r="I57" s="119" t="s">
        <v>1034</v>
      </c>
      <c r="J57" s="119" t="s">
        <v>1034</v>
      </c>
      <c r="K57" s="119" t="s">
        <v>1034</v>
      </c>
      <c r="L57" s="119" t="s">
        <v>1034</v>
      </c>
      <c r="M57" s="119" t="s">
        <v>1034</v>
      </c>
    </row>
    <row r="58" spans="3:17" s="558" customFormat="1" x14ac:dyDescent="0.2">
      <c r="F58" s="148" t="s">
        <v>666</v>
      </c>
      <c r="G58" s="515">
        <v>1.7500000000000002E-2</v>
      </c>
      <c r="H58" s="515">
        <v>2.2499999999999999E-2</v>
      </c>
      <c r="I58" s="515">
        <v>2.2499999999999999E-2</v>
      </c>
      <c r="J58" s="515">
        <v>2.5000000000000001E-2</v>
      </c>
      <c r="K58" s="515">
        <v>2.5000000000000001E-2</v>
      </c>
      <c r="L58" s="515">
        <v>2.5000000000000001E-2</v>
      </c>
      <c r="M58" s="515">
        <v>2.5000000000000001E-2</v>
      </c>
    </row>
    <row r="59" spans="3:17" s="558" customFormat="1" x14ac:dyDescent="0.2">
      <c r="F59" s="148" t="s">
        <v>1038</v>
      </c>
      <c r="G59" s="574">
        <v>1.0175000000000001</v>
      </c>
      <c r="H59" s="574">
        <v>1.04039375</v>
      </c>
      <c r="I59" s="574">
        <v>1.0638026093749999</v>
      </c>
      <c r="J59" s="574">
        <v>1.0903976746093749</v>
      </c>
      <c r="K59" s="574">
        <v>1.117657616474609</v>
      </c>
      <c r="L59" s="574">
        <v>1.1455990568864742</v>
      </c>
      <c r="M59" s="574">
        <v>1.1742390333086359</v>
      </c>
    </row>
    <row r="60" spans="3:17" s="558" customFormat="1" x14ac:dyDescent="0.2"/>
    <row r="61" spans="3:17" s="558" customFormat="1" x14ac:dyDescent="0.2">
      <c r="F61" s="148" t="s">
        <v>1001</v>
      </c>
      <c r="G61" s="574">
        <v>1.0561399728997289</v>
      </c>
      <c r="H61" s="598" t="s">
        <v>1042</v>
      </c>
      <c r="L61" s="613"/>
      <c r="P61" s="602" t="s">
        <v>841</v>
      </c>
      <c r="Q61" s="603" t="s">
        <v>839</v>
      </c>
    </row>
    <row r="62" spans="3:17" s="558" customFormat="1" x14ac:dyDescent="0.2">
      <c r="L62" s="613"/>
      <c r="Q62" s="603" t="s">
        <v>840</v>
      </c>
    </row>
    <row r="63" spans="3:17" s="558" customFormat="1" ht="12.75" x14ac:dyDescent="0.2">
      <c r="C63" s="5" t="s">
        <v>1024</v>
      </c>
      <c r="L63" s="613"/>
    </row>
    <row r="64" spans="3:17" s="552" customFormat="1" x14ac:dyDescent="0.2">
      <c r="G64" s="556">
        <v>0</v>
      </c>
      <c r="H64" s="556">
        <v>1</v>
      </c>
      <c r="I64" s="556">
        <v>2</v>
      </c>
      <c r="J64" s="556">
        <v>3</v>
      </c>
      <c r="K64" s="556">
        <v>4</v>
      </c>
      <c r="L64" s="556">
        <v>5</v>
      </c>
      <c r="M64" s="556">
        <v>6</v>
      </c>
      <c r="O64" s="558"/>
    </row>
    <row r="65" spans="3:17" s="552" customFormat="1" x14ac:dyDescent="0.2">
      <c r="E65" s="38" t="s">
        <v>933</v>
      </c>
      <c r="G65" s="564" t="s">
        <v>251</v>
      </c>
      <c r="H65" s="564" t="s">
        <v>252</v>
      </c>
      <c r="I65" s="564" t="s">
        <v>253</v>
      </c>
      <c r="J65" s="564" t="s">
        <v>254</v>
      </c>
      <c r="K65" s="564" t="s">
        <v>255</v>
      </c>
      <c r="L65" s="564" t="s">
        <v>256</v>
      </c>
      <c r="M65" s="564" t="s">
        <v>257</v>
      </c>
      <c r="O65" s="558"/>
    </row>
    <row r="66" spans="3:17" s="552" customFormat="1" x14ac:dyDescent="0.2">
      <c r="F66" s="552" t="s">
        <v>836</v>
      </c>
      <c r="G66" s="515">
        <v>1.0009999999999999</v>
      </c>
      <c r="H66" s="515">
        <v>1.0030019999999999</v>
      </c>
      <c r="I66" s="515">
        <v>1.0100230139999999</v>
      </c>
      <c r="J66" s="515">
        <v>1.0241633361959999</v>
      </c>
      <c r="K66" s="515">
        <v>1.0415741129113318</v>
      </c>
      <c r="L66" s="515">
        <v>1.0551145763791792</v>
      </c>
      <c r="M66" s="515">
        <v>1.0646106075665918</v>
      </c>
      <c r="O66" s="558"/>
      <c r="P66" s="7" t="s">
        <v>948</v>
      </c>
      <c r="Q66" s="417" t="s">
        <v>981</v>
      </c>
    </row>
    <row r="67" spans="3:17" s="552" customFormat="1" x14ac:dyDescent="0.2">
      <c r="F67" s="552" t="s">
        <v>28</v>
      </c>
      <c r="G67" s="515">
        <v>1.0062</v>
      </c>
      <c r="H67" s="515">
        <v>1.0125999999999999</v>
      </c>
      <c r="I67" s="515">
        <v>1.0205</v>
      </c>
      <c r="J67" s="515">
        <v>1.0313000000000001</v>
      </c>
      <c r="K67" s="515">
        <v>1.0438000000000001</v>
      </c>
      <c r="L67" s="515">
        <v>1.0551999999999999</v>
      </c>
      <c r="M67" s="515">
        <v>1.0653999999999999</v>
      </c>
      <c r="O67" s="558"/>
      <c r="P67" s="7" t="s">
        <v>948</v>
      </c>
      <c r="Q67" s="417" t="s">
        <v>981</v>
      </c>
    </row>
    <row r="68" spans="3:17" s="558" customFormat="1" x14ac:dyDescent="0.2">
      <c r="E68" s="38" t="s">
        <v>986</v>
      </c>
    </row>
    <row r="69" spans="3:17" s="558" customFormat="1" x14ac:dyDescent="0.2">
      <c r="F69" s="558" t="s">
        <v>987</v>
      </c>
      <c r="G69" s="515">
        <v>0.59699999999999998</v>
      </c>
      <c r="H69" s="515">
        <v>0.59699999999999998</v>
      </c>
      <c r="I69" s="515">
        <v>0.59699999999999998</v>
      </c>
      <c r="J69" s="515">
        <v>0.59699999999999998</v>
      </c>
      <c r="K69" s="515">
        <v>0.59699999999999998</v>
      </c>
      <c r="L69" s="515">
        <v>0.59699999999999998</v>
      </c>
      <c r="M69" s="515">
        <v>0.59699999999999998</v>
      </c>
      <c r="P69" s="7" t="s">
        <v>948</v>
      </c>
      <c r="Q69" s="417" t="s">
        <v>981</v>
      </c>
    </row>
    <row r="70" spans="3:17" s="558" customFormat="1" x14ac:dyDescent="0.2">
      <c r="F70" s="558" t="s">
        <v>988</v>
      </c>
      <c r="G70" s="515">
        <v>0.40300000000000002</v>
      </c>
      <c r="H70" s="515">
        <v>0.40300000000000002</v>
      </c>
      <c r="I70" s="515">
        <v>0.40300000000000002</v>
      </c>
      <c r="J70" s="515">
        <v>0.40300000000000002</v>
      </c>
      <c r="K70" s="515">
        <v>0.40300000000000002</v>
      </c>
      <c r="L70" s="515">
        <v>0.40300000000000002</v>
      </c>
      <c r="M70" s="515">
        <v>0.40300000000000002</v>
      </c>
      <c r="P70" s="7" t="s">
        <v>948</v>
      </c>
      <c r="Q70" s="417" t="s">
        <v>981</v>
      </c>
    </row>
    <row r="71" spans="3:17" s="558" customFormat="1" ht="4.1500000000000004" customHeight="1" x14ac:dyDescent="0.2"/>
    <row r="72" spans="3:17" s="558" customFormat="1" ht="12.75" thickBot="1" x14ac:dyDescent="0.25">
      <c r="E72" s="605" t="s">
        <v>1024</v>
      </c>
      <c r="F72" s="605"/>
      <c r="G72" s="614">
        <v>1.0037014</v>
      </c>
      <c r="H72" s="614">
        <v>1.0075221999999999</v>
      </c>
      <c r="I72" s="614">
        <v>1.0122385</v>
      </c>
      <c r="J72" s="614">
        <v>1.0186861</v>
      </c>
      <c r="K72" s="614">
        <v>1.0261486</v>
      </c>
      <c r="L72" s="614">
        <v>1.0329543999999999</v>
      </c>
      <c r="M72" s="614">
        <v>1.0390438</v>
      </c>
    </row>
    <row r="73" spans="3:17" s="558" customFormat="1" ht="12.75" thickTop="1" x14ac:dyDescent="0.2"/>
    <row r="74" spans="3:17" s="552" customFormat="1" x14ac:dyDescent="0.2">
      <c r="E74" s="569" t="s">
        <v>1008</v>
      </c>
      <c r="G74" s="565"/>
      <c r="H74" s="565"/>
      <c r="I74" s="565"/>
      <c r="J74" s="565"/>
      <c r="K74" s="565"/>
      <c r="L74" s="565"/>
      <c r="M74" s="565"/>
      <c r="O74" s="558"/>
    </row>
    <row r="75" spans="3:17" s="558" customFormat="1" x14ac:dyDescent="0.2">
      <c r="F75" s="558" t="s">
        <v>48</v>
      </c>
      <c r="G75" s="557">
        <v>1.0041243953979806</v>
      </c>
      <c r="H75" s="557">
        <v>1.0087689128903499</v>
      </c>
      <c r="I75" s="557">
        <v>1.0163180614698286</v>
      </c>
      <c r="J75" s="557">
        <v>1.0284513668779525</v>
      </c>
      <c r="K75" s="557">
        <v>1.0429115266375355</v>
      </c>
      <c r="L75" s="557">
        <v>1.0551659027575968</v>
      </c>
      <c r="M75" s="557">
        <v>1.0650849102754651</v>
      </c>
    </row>
    <row r="76" spans="3:17" s="558" customFormat="1" x14ac:dyDescent="0.2">
      <c r="F76" s="558" t="s">
        <v>725</v>
      </c>
      <c r="G76" s="557">
        <v>1.0043153439153438</v>
      </c>
      <c r="H76" s="557">
        <v>1.0091213597883597</v>
      </c>
      <c r="I76" s="557">
        <v>1.0167027854973545</v>
      </c>
      <c r="J76" s="557">
        <v>1.0287134313726245</v>
      </c>
      <c r="K76" s="557">
        <v>1.0429932631451124</v>
      </c>
      <c r="L76" s="557">
        <v>1.0551690395871627</v>
      </c>
      <c r="M76" s="557">
        <v>1.0651138974513836</v>
      </c>
    </row>
    <row r="77" spans="3:17" s="558" customFormat="1" x14ac:dyDescent="0.2">
      <c r="F77" s="558" t="s">
        <v>22</v>
      </c>
      <c r="G77" s="557">
        <v>1.0056740229885057</v>
      </c>
      <c r="H77" s="557">
        <v>1.0116291678160918</v>
      </c>
      <c r="I77" s="557">
        <v>1.0194402588873561</v>
      </c>
      <c r="J77" s="557">
        <v>1.0305781305577564</v>
      </c>
      <c r="K77" s="557">
        <v>1.0435748528002267</v>
      </c>
      <c r="L77" s="557">
        <v>1.0551913594498479</v>
      </c>
      <c r="M77" s="557">
        <v>1.0653201534090344</v>
      </c>
    </row>
    <row r="78" spans="3:17" s="558" customFormat="1" x14ac:dyDescent="0.2">
      <c r="F78" s="558" t="s">
        <v>303</v>
      </c>
      <c r="G78" s="557">
        <v>1.0047161290322579</v>
      </c>
      <c r="H78" s="557">
        <v>1.0098611166253102</v>
      </c>
      <c r="I78" s="557">
        <v>1.0175102893548384</v>
      </c>
      <c r="J78" s="557">
        <v>1.029263483033598</v>
      </c>
      <c r="K78" s="557">
        <v>1.0431648213022411</v>
      </c>
      <c r="L78" s="557">
        <v>1.05517562353252</v>
      </c>
      <c r="M78" s="557">
        <v>1.0651747391319057</v>
      </c>
    </row>
    <row r="79" spans="3:17" s="558" customFormat="1" x14ac:dyDescent="0.2"/>
    <row r="80" spans="3:17" s="558" customFormat="1" ht="12.75" x14ac:dyDescent="0.2">
      <c r="C80" s="5" t="s">
        <v>963</v>
      </c>
    </row>
    <row r="81" spans="3:17" s="558" customFormat="1" x14ac:dyDescent="0.2">
      <c r="E81" s="38" t="s">
        <v>946</v>
      </c>
      <c r="G81" s="6" t="s">
        <v>871</v>
      </c>
    </row>
    <row r="82" spans="3:17" s="558" customFormat="1" x14ac:dyDescent="0.2">
      <c r="G82" s="475">
        <v>95.91</v>
      </c>
      <c r="P82" s="7" t="s">
        <v>948</v>
      </c>
      <c r="Q82" s="417" t="s">
        <v>947</v>
      </c>
    </row>
    <row r="83" spans="3:17" s="558" customFormat="1" x14ac:dyDescent="0.2"/>
    <row r="84" spans="3:17" s="558" customFormat="1" x14ac:dyDescent="0.2">
      <c r="E84" s="38" t="s">
        <v>956</v>
      </c>
    </row>
    <row r="85" spans="3:17" s="558" customFormat="1" x14ac:dyDescent="0.2">
      <c r="E85" s="55" t="s">
        <v>962</v>
      </c>
      <c r="G85" s="38" t="s">
        <v>56</v>
      </c>
      <c r="H85" s="38" t="s">
        <v>952</v>
      </c>
      <c r="I85" s="38" t="s">
        <v>950</v>
      </c>
      <c r="J85" s="38" t="s">
        <v>963</v>
      </c>
      <c r="K85" s="38" t="s">
        <v>969</v>
      </c>
    </row>
    <row r="86" spans="3:17" s="558" customFormat="1" ht="12.75" thickBot="1" x14ac:dyDescent="0.25">
      <c r="F86" s="558" t="s">
        <v>48</v>
      </c>
      <c r="G86" s="575" t="s">
        <v>949</v>
      </c>
      <c r="H86" s="812"/>
      <c r="I86" s="812"/>
      <c r="J86" s="767">
        <v>1.8088311959128349</v>
      </c>
      <c r="K86" s="576">
        <v>2</v>
      </c>
      <c r="P86" s="7" t="s">
        <v>289</v>
      </c>
    </row>
    <row r="87" spans="3:17" s="558" customFormat="1" ht="12.75" thickBot="1" x14ac:dyDescent="0.25">
      <c r="F87" s="558" t="s">
        <v>725</v>
      </c>
      <c r="G87" s="575" t="s">
        <v>953</v>
      </c>
      <c r="H87" s="812"/>
      <c r="I87" s="812"/>
      <c r="J87" s="767">
        <v>0.43731154207069128</v>
      </c>
      <c r="K87" s="576">
        <v>2</v>
      </c>
      <c r="P87" s="7" t="s">
        <v>289</v>
      </c>
    </row>
    <row r="88" spans="3:17" s="558" customFormat="1" ht="12.75" thickBot="1" x14ac:dyDescent="0.25">
      <c r="F88" s="558" t="s">
        <v>67</v>
      </c>
      <c r="G88" s="575" t="s">
        <v>954</v>
      </c>
      <c r="H88" s="812"/>
      <c r="I88" s="812"/>
      <c r="J88" s="767">
        <v>11.704201855906579</v>
      </c>
      <c r="K88" s="576">
        <v>2</v>
      </c>
      <c r="P88" s="7" t="s">
        <v>289</v>
      </c>
    </row>
    <row r="89" spans="3:17" s="558" customFormat="1" ht="12.75" thickBot="1" x14ac:dyDescent="0.25">
      <c r="F89" s="558" t="s">
        <v>187</v>
      </c>
      <c r="G89" s="575" t="s">
        <v>955</v>
      </c>
      <c r="H89" s="812"/>
      <c r="I89" s="812"/>
      <c r="J89" s="767">
        <v>1.2236211031175062</v>
      </c>
      <c r="K89" s="576">
        <v>2</v>
      </c>
      <c r="P89" s="7" t="s">
        <v>289</v>
      </c>
    </row>
    <row r="90" spans="3:17" s="558" customFormat="1" ht="12.75" thickBot="1" x14ac:dyDescent="0.25">
      <c r="F90" s="148" t="s">
        <v>357</v>
      </c>
      <c r="G90" s="575" t="s">
        <v>957</v>
      </c>
      <c r="H90" s="812"/>
      <c r="I90" s="812"/>
      <c r="J90" s="767">
        <v>1064.0183505369619</v>
      </c>
      <c r="K90" s="576">
        <v>3</v>
      </c>
      <c r="P90" s="7" t="s">
        <v>289</v>
      </c>
    </row>
    <row r="91" spans="3:17" s="558" customFormat="1" ht="12.75" thickBot="1" x14ac:dyDescent="0.25">
      <c r="F91" s="148" t="s">
        <v>958</v>
      </c>
      <c r="G91" s="575" t="s">
        <v>959</v>
      </c>
      <c r="H91" s="812"/>
      <c r="I91" s="812"/>
      <c r="J91" s="767">
        <v>37.400245021374204</v>
      </c>
      <c r="K91" s="576">
        <v>4</v>
      </c>
      <c r="P91" s="7" t="s">
        <v>289</v>
      </c>
    </row>
    <row r="92" spans="3:17" s="558" customFormat="1" ht="12.75" thickBot="1" x14ac:dyDescent="0.25">
      <c r="F92" s="148" t="s">
        <v>960</v>
      </c>
      <c r="G92" s="575" t="s">
        <v>961</v>
      </c>
      <c r="H92" s="812"/>
      <c r="I92" s="812"/>
      <c r="J92" s="767">
        <v>0.5320091752684809</v>
      </c>
      <c r="K92" s="576">
        <v>2</v>
      </c>
      <c r="P92" s="7" t="s">
        <v>289</v>
      </c>
    </row>
    <row r="93" spans="3:17" s="558" customFormat="1" x14ac:dyDescent="0.2"/>
    <row r="94" spans="3:17" s="558" customFormat="1" ht="12.75" x14ac:dyDescent="0.2">
      <c r="C94" s="5" t="s">
        <v>989</v>
      </c>
    </row>
    <row r="95" spans="3:17" s="558" customFormat="1" x14ac:dyDescent="0.2">
      <c r="E95" s="38" t="s">
        <v>951</v>
      </c>
    </row>
    <row r="96" spans="3:17" x14ac:dyDescent="0.2">
      <c r="F96" s="58"/>
      <c r="G96" s="6" t="s">
        <v>869</v>
      </c>
      <c r="N96" s="552"/>
      <c r="O96" s="558"/>
      <c r="P96"/>
      <c r="Q96"/>
    </row>
    <row r="97" spans="2:19" x14ac:dyDescent="0.2">
      <c r="F97" t="s">
        <v>48</v>
      </c>
      <c r="G97" s="481">
        <v>106.47499999999999</v>
      </c>
      <c r="J97" s="558"/>
      <c r="N97" s="552"/>
      <c r="O97" s="558"/>
      <c r="P97" s="558"/>
      <c r="Q97" s="558"/>
    </row>
    <row r="98" spans="2:19" x14ac:dyDescent="0.2">
      <c r="E98" s="58"/>
      <c r="F98" t="s">
        <v>725</v>
      </c>
      <c r="G98" s="481">
        <v>28.35</v>
      </c>
      <c r="J98" s="558"/>
      <c r="N98" s="552"/>
      <c r="O98" s="558"/>
      <c r="P98" s="558"/>
      <c r="Q98" s="558"/>
    </row>
    <row r="99" spans="2:19" s="58" customFormat="1" x14ac:dyDescent="0.2">
      <c r="F99" t="s">
        <v>22</v>
      </c>
      <c r="G99" s="481">
        <v>870</v>
      </c>
      <c r="J99" s="558"/>
      <c r="N99" s="552"/>
      <c r="O99" s="558"/>
      <c r="P99" s="558"/>
      <c r="Q99" s="558"/>
    </row>
    <row r="100" spans="2:19" s="58" customFormat="1" x14ac:dyDescent="0.2">
      <c r="F100" t="s">
        <v>303</v>
      </c>
      <c r="G100" s="481">
        <v>100.75</v>
      </c>
      <c r="J100" s="558"/>
      <c r="N100" s="552"/>
      <c r="O100" s="558"/>
      <c r="P100" s="558"/>
      <c r="Q100" s="558"/>
    </row>
    <row r="101" spans="2:19" s="58" customFormat="1" x14ac:dyDescent="0.2">
      <c r="D101" s="558"/>
      <c r="E101" s="558"/>
      <c r="F101" s="558"/>
      <c r="G101" s="558"/>
      <c r="H101" s="558"/>
      <c r="I101" s="558"/>
      <c r="J101" s="558"/>
      <c r="K101" s="558"/>
      <c r="L101" s="558"/>
      <c r="M101" s="558"/>
      <c r="N101" s="558"/>
      <c r="O101" s="552"/>
    </row>
    <row r="102" spans="2:19" x14ac:dyDescent="0.2">
      <c r="E102" s="38" t="s">
        <v>1009</v>
      </c>
      <c r="K102" s="560"/>
      <c r="P102"/>
      <c r="Q102"/>
    </row>
    <row r="103" spans="2:19" ht="12.75" thickBot="1" x14ac:dyDescent="0.25">
      <c r="F103" t="s">
        <v>48</v>
      </c>
      <c r="P103"/>
      <c r="Q103"/>
    </row>
    <row r="104" spans="2:19" ht="18.600000000000001" customHeight="1" x14ac:dyDescent="0.2">
      <c r="F104" t="s">
        <v>727</v>
      </c>
      <c r="G104" s="464" t="s">
        <v>284</v>
      </c>
      <c r="H104" s="465" t="s">
        <v>1007</v>
      </c>
      <c r="I104" s="465" t="s">
        <v>48</v>
      </c>
      <c r="J104" s="465" t="s">
        <v>244</v>
      </c>
      <c r="K104" s="465" t="s">
        <v>722</v>
      </c>
      <c r="L104" s="465" t="s">
        <v>726</v>
      </c>
      <c r="M104" s="466" t="s">
        <v>724</v>
      </c>
      <c r="N104" s="561" t="s">
        <v>934</v>
      </c>
      <c r="P104"/>
      <c r="Q104"/>
    </row>
    <row r="105" spans="2:19" x14ac:dyDescent="0.2">
      <c r="G105" s="467" t="s">
        <v>284</v>
      </c>
      <c r="H105" s="813"/>
      <c r="I105" s="814"/>
      <c r="J105" s="469">
        <v>4250</v>
      </c>
      <c r="K105" s="473">
        <v>21.175000000000001</v>
      </c>
      <c r="L105" s="473">
        <v>106.47499999999999</v>
      </c>
      <c r="M105" s="471">
        <v>2661.875</v>
      </c>
      <c r="N105" s="562">
        <v>0.39915473115754874</v>
      </c>
      <c r="P105" s="7" t="s">
        <v>289</v>
      </c>
      <c r="Q105" s="560"/>
      <c r="R105" s="560"/>
      <c r="S105" s="560"/>
    </row>
    <row r="106" spans="2:19" ht="12.75" thickBot="1" x14ac:dyDescent="0.25">
      <c r="G106" s="468" t="s">
        <v>283</v>
      </c>
      <c r="H106" s="813"/>
      <c r="I106" s="814"/>
      <c r="J106" s="470">
        <v>6397.5</v>
      </c>
      <c r="K106" s="474">
        <v>21.175000000000001</v>
      </c>
      <c r="L106" s="474">
        <v>106.47499999999999</v>
      </c>
      <c r="M106" s="472">
        <v>7985.625</v>
      </c>
      <c r="N106" s="563">
        <v>0.60084526884245126</v>
      </c>
      <c r="P106" s="7" t="s">
        <v>289</v>
      </c>
      <c r="Q106" s="560"/>
      <c r="R106" s="560"/>
      <c r="S106" s="560"/>
    </row>
    <row r="107" spans="2:19" x14ac:dyDescent="0.2">
      <c r="B107" s="386"/>
      <c r="G107" s="477" t="s">
        <v>216</v>
      </c>
      <c r="H107" s="478"/>
      <c r="I107" s="479">
        <v>100</v>
      </c>
      <c r="J107" s="478">
        <v>10647.5</v>
      </c>
      <c r="K107" s="478"/>
      <c r="L107" s="508"/>
      <c r="M107" s="509">
        <v>0</v>
      </c>
      <c r="N107" s="508"/>
      <c r="P107" s="560"/>
      <c r="Q107" s="560"/>
      <c r="R107" s="560"/>
      <c r="S107" s="560"/>
    </row>
    <row r="108" spans="2:19" x14ac:dyDescent="0.2">
      <c r="I108" s="171" t="s">
        <v>728</v>
      </c>
      <c r="J108" s="815"/>
      <c r="P108"/>
      <c r="Q108"/>
    </row>
    <row r="109" spans="2:19" s="386" customFormat="1" x14ac:dyDescent="0.2">
      <c r="I109" s="171" t="s">
        <v>723</v>
      </c>
      <c r="J109" s="482">
        <v>21.175000000000001</v>
      </c>
      <c r="L109" s="560"/>
      <c r="O109" s="552"/>
    </row>
    <row r="110" spans="2:19" x14ac:dyDescent="0.2">
      <c r="P110"/>
      <c r="Q110"/>
    </row>
    <row r="111" spans="2:19" ht="12.75" thickBot="1" x14ac:dyDescent="0.25">
      <c r="F111" s="386" t="s">
        <v>725</v>
      </c>
      <c r="G111" s="386"/>
      <c r="H111" s="386"/>
      <c r="I111" s="386"/>
      <c r="J111" s="386"/>
      <c r="K111" s="386"/>
      <c r="L111" s="386"/>
      <c r="M111" s="386"/>
      <c r="P111"/>
      <c r="Q111"/>
    </row>
    <row r="112" spans="2:19" ht="12.75" x14ac:dyDescent="0.2">
      <c r="F112" s="386"/>
      <c r="G112" s="464" t="s">
        <v>284</v>
      </c>
      <c r="H112" s="465" t="s">
        <v>1007</v>
      </c>
      <c r="I112" s="465" t="s">
        <v>358</v>
      </c>
      <c r="J112" s="465" t="s">
        <v>244</v>
      </c>
      <c r="K112" s="465" t="s">
        <v>722</v>
      </c>
      <c r="L112" s="465" t="s">
        <v>726</v>
      </c>
      <c r="M112" s="466" t="s">
        <v>724</v>
      </c>
      <c r="N112" s="561" t="s">
        <v>934</v>
      </c>
      <c r="P112"/>
      <c r="Q112"/>
    </row>
    <row r="113" spans="6:17" x14ac:dyDescent="0.2">
      <c r="F113" s="386"/>
      <c r="G113" s="467" t="s">
        <v>284</v>
      </c>
      <c r="H113" s="813"/>
      <c r="I113" s="814"/>
      <c r="J113" s="469">
        <v>1027.5</v>
      </c>
      <c r="K113" s="473">
        <v>4.25</v>
      </c>
      <c r="L113" s="473">
        <v>28.35</v>
      </c>
      <c r="M113" s="471">
        <v>708.75</v>
      </c>
      <c r="N113" s="562">
        <v>0.36243386243386244</v>
      </c>
      <c r="P113" s="7" t="s">
        <v>289</v>
      </c>
      <c r="Q113"/>
    </row>
    <row r="114" spans="6:17" ht="12.75" thickBot="1" x14ac:dyDescent="0.25">
      <c r="F114" s="386"/>
      <c r="G114" s="468" t="s">
        <v>283</v>
      </c>
      <c r="H114" s="813"/>
      <c r="I114" s="814"/>
      <c r="J114" s="470">
        <v>1807.5</v>
      </c>
      <c r="K114" s="474">
        <v>4.25</v>
      </c>
      <c r="L114" s="474">
        <v>28.35</v>
      </c>
      <c r="M114" s="472">
        <v>2126.25</v>
      </c>
      <c r="N114" s="563">
        <v>0.63756613756613756</v>
      </c>
      <c r="P114" s="7" t="s">
        <v>289</v>
      </c>
      <c r="Q114"/>
    </row>
    <row r="115" spans="6:17" x14ac:dyDescent="0.2">
      <c r="F115" s="386"/>
      <c r="G115" s="477" t="s">
        <v>216</v>
      </c>
      <c r="H115" s="478"/>
      <c r="I115" s="479">
        <v>100</v>
      </c>
      <c r="J115" s="478">
        <v>2835</v>
      </c>
      <c r="K115" s="478"/>
      <c r="L115" s="508"/>
      <c r="M115" s="509">
        <v>0</v>
      </c>
      <c r="N115" s="508"/>
      <c r="P115"/>
      <c r="Q115"/>
    </row>
    <row r="116" spans="6:17" ht="12.75" thickBot="1" x14ac:dyDescent="0.25">
      <c r="F116" s="386"/>
      <c r="G116" s="386"/>
      <c r="H116" s="386"/>
      <c r="I116" s="171" t="s">
        <v>728</v>
      </c>
      <c r="J116" s="816"/>
      <c r="K116" s="386"/>
      <c r="L116" s="386"/>
      <c r="M116" s="386"/>
      <c r="P116"/>
      <c r="Q116"/>
    </row>
    <row r="117" spans="6:17" ht="12.75" thickTop="1" x14ac:dyDescent="0.2">
      <c r="I117" s="171" t="s">
        <v>723</v>
      </c>
      <c r="J117" s="482">
        <v>4.25</v>
      </c>
      <c r="K117" s="386"/>
      <c r="P117"/>
      <c r="Q117"/>
    </row>
    <row r="118" spans="6:17" s="386" customFormat="1" x14ac:dyDescent="0.2">
      <c r="J118" s="476"/>
      <c r="O118" s="552"/>
    </row>
    <row r="119" spans="6:17" ht="12.75" thickBot="1" x14ac:dyDescent="0.25">
      <c r="F119" s="386" t="s">
        <v>22</v>
      </c>
      <c r="G119" s="386"/>
      <c r="H119" s="386"/>
      <c r="I119" s="386"/>
      <c r="J119" s="386"/>
      <c r="K119" s="386"/>
      <c r="L119" s="386"/>
      <c r="M119" s="386"/>
      <c r="P119"/>
      <c r="Q119"/>
    </row>
    <row r="120" spans="6:17" ht="12.75" x14ac:dyDescent="0.2">
      <c r="F120" s="386"/>
      <c r="G120" s="464" t="s">
        <v>284</v>
      </c>
      <c r="H120" s="465" t="s">
        <v>1007</v>
      </c>
      <c r="I120" s="465" t="s">
        <v>22</v>
      </c>
      <c r="J120" s="465" t="s">
        <v>244</v>
      </c>
      <c r="K120" s="465" t="s">
        <v>722</v>
      </c>
      <c r="L120" s="465" t="s">
        <v>726</v>
      </c>
      <c r="M120" s="466" t="s">
        <v>724</v>
      </c>
      <c r="N120" s="561" t="s">
        <v>934</v>
      </c>
      <c r="P120"/>
      <c r="Q120"/>
    </row>
    <row r="121" spans="6:17" x14ac:dyDescent="0.2">
      <c r="F121" s="386"/>
      <c r="G121" s="467" t="s">
        <v>284</v>
      </c>
      <c r="H121" s="813"/>
      <c r="I121" s="814"/>
      <c r="J121" s="469">
        <v>8800</v>
      </c>
      <c r="K121" s="473">
        <v>20</v>
      </c>
      <c r="L121" s="473">
        <v>870</v>
      </c>
      <c r="M121" s="471">
        <v>6960</v>
      </c>
      <c r="N121" s="562">
        <v>0.10114942528735632</v>
      </c>
      <c r="P121" s="7" t="s">
        <v>289</v>
      </c>
      <c r="Q121" s="417" t="s">
        <v>795</v>
      </c>
    </row>
    <row r="122" spans="6:17" ht="12.75" thickBot="1" x14ac:dyDescent="0.25">
      <c r="F122" s="386"/>
      <c r="G122" s="468" t="s">
        <v>283</v>
      </c>
      <c r="H122" s="813"/>
      <c r="I122" s="814"/>
      <c r="J122" s="470">
        <v>78200</v>
      </c>
      <c r="K122" s="474">
        <v>20</v>
      </c>
      <c r="L122" s="474">
        <v>870</v>
      </c>
      <c r="M122" s="472">
        <v>80040</v>
      </c>
      <c r="N122" s="563">
        <v>0.89885057471264362</v>
      </c>
      <c r="P122" s="7" t="s">
        <v>289</v>
      </c>
      <c r="Q122" s="417" t="s">
        <v>935</v>
      </c>
    </row>
    <row r="123" spans="6:17" x14ac:dyDescent="0.2">
      <c r="F123" s="386"/>
      <c r="G123" s="477" t="s">
        <v>216</v>
      </c>
      <c r="H123" s="478"/>
      <c r="I123" s="479">
        <v>100</v>
      </c>
      <c r="J123" s="478">
        <v>87000</v>
      </c>
      <c r="K123" s="478"/>
      <c r="L123" s="508"/>
      <c r="M123" s="509">
        <v>0</v>
      </c>
      <c r="N123" s="508"/>
      <c r="P123"/>
      <c r="Q123"/>
    </row>
    <row r="124" spans="6:17" ht="12.75" thickBot="1" x14ac:dyDescent="0.25">
      <c r="F124" s="386"/>
      <c r="G124" s="386"/>
      <c r="H124" s="386"/>
      <c r="I124" s="171" t="s">
        <v>728</v>
      </c>
      <c r="J124" s="816"/>
      <c r="K124" s="386"/>
      <c r="L124" s="386"/>
      <c r="M124" s="386"/>
      <c r="P124"/>
      <c r="Q124"/>
    </row>
    <row r="125" spans="6:17" ht="12.75" thickTop="1" x14ac:dyDescent="0.2">
      <c r="I125" s="171" t="s">
        <v>723</v>
      </c>
      <c r="J125" s="482">
        <v>20</v>
      </c>
      <c r="K125" s="386"/>
      <c r="P125"/>
      <c r="Q125"/>
    </row>
    <row r="126" spans="6:17" s="386" customFormat="1" x14ac:dyDescent="0.2">
      <c r="J126" s="476"/>
      <c r="O126" s="552"/>
    </row>
    <row r="127" spans="6:17" ht="12.75" thickBot="1" x14ac:dyDescent="0.25">
      <c r="F127" s="386" t="s">
        <v>303</v>
      </c>
      <c r="G127" s="386"/>
      <c r="H127" s="386"/>
      <c r="I127" s="386"/>
      <c r="J127" s="386"/>
      <c r="K127" s="386"/>
      <c r="L127" s="386"/>
      <c r="M127" s="386"/>
      <c r="P127"/>
      <c r="Q127"/>
    </row>
    <row r="128" spans="6:17" ht="12.75" x14ac:dyDescent="0.2">
      <c r="F128" s="386"/>
      <c r="G128" s="464" t="s">
        <v>284</v>
      </c>
      <c r="H128" s="465" t="s">
        <v>1007</v>
      </c>
      <c r="I128" s="465" t="s">
        <v>303</v>
      </c>
      <c r="J128" s="465" t="s">
        <v>244</v>
      </c>
      <c r="K128" s="465" t="s">
        <v>722</v>
      </c>
      <c r="L128" s="465" t="s">
        <v>726</v>
      </c>
      <c r="M128" s="466" t="s">
        <v>724</v>
      </c>
      <c r="N128" s="561" t="s">
        <v>934</v>
      </c>
      <c r="P128"/>
      <c r="Q128"/>
    </row>
    <row r="129" spans="3:48" x14ac:dyDescent="0.2">
      <c r="F129" s="386"/>
      <c r="G129" s="467" t="s">
        <v>284</v>
      </c>
      <c r="H129" s="813"/>
      <c r="I129" s="814"/>
      <c r="J129" s="469">
        <v>2875</v>
      </c>
      <c r="K129" s="473">
        <v>4.75</v>
      </c>
      <c r="L129" s="473">
        <v>100.75</v>
      </c>
      <c r="M129" s="471">
        <v>2518.75</v>
      </c>
      <c r="N129" s="562">
        <v>0.28535980148883372</v>
      </c>
      <c r="P129" s="7" t="s">
        <v>289</v>
      </c>
      <c r="Q129" s="417"/>
    </row>
    <row r="130" spans="3:48" ht="12.75" thickBot="1" x14ac:dyDescent="0.25">
      <c r="F130" s="386"/>
      <c r="G130" s="468" t="s">
        <v>283</v>
      </c>
      <c r="H130" s="813"/>
      <c r="I130" s="814"/>
      <c r="J130" s="470">
        <v>7200</v>
      </c>
      <c r="K130" s="474">
        <v>4.75</v>
      </c>
      <c r="L130" s="474">
        <v>100.75</v>
      </c>
      <c r="M130" s="472">
        <v>7556.25</v>
      </c>
      <c r="N130" s="563">
        <v>0.71464019851116622</v>
      </c>
      <c r="P130" s="7" t="s">
        <v>285</v>
      </c>
      <c r="Q130" s="417" t="s">
        <v>1048</v>
      </c>
    </row>
    <row r="131" spans="3:48" x14ac:dyDescent="0.2">
      <c r="F131" s="386"/>
      <c r="G131" s="477" t="s">
        <v>216</v>
      </c>
      <c r="H131" s="478"/>
      <c r="I131" s="479">
        <v>100</v>
      </c>
      <c r="J131" s="478">
        <v>10075</v>
      </c>
      <c r="K131" s="478"/>
      <c r="L131" s="508"/>
      <c r="M131" s="509">
        <v>0</v>
      </c>
      <c r="N131" s="508"/>
      <c r="P131"/>
      <c r="Q131"/>
    </row>
    <row r="132" spans="3:48" ht="12.75" thickBot="1" x14ac:dyDescent="0.25">
      <c r="F132" s="386"/>
      <c r="G132" s="386"/>
      <c r="H132" s="386"/>
      <c r="I132" s="171" t="s">
        <v>728</v>
      </c>
      <c r="J132" s="816"/>
      <c r="K132" s="386"/>
      <c r="L132" s="386"/>
      <c r="M132" s="386"/>
      <c r="P132"/>
      <c r="Q132"/>
    </row>
    <row r="133" spans="3:48" ht="12.75" thickTop="1" x14ac:dyDescent="0.2">
      <c r="I133" s="171" t="s">
        <v>723</v>
      </c>
      <c r="J133" s="482">
        <v>4.75</v>
      </c>
      <c r="K133" s="386"/>
      <c r="P133"/>
      <c r="Q133"/>
    </row>
    <row r="134" spans="3:48" x14ac:dyDescent="0.2">
      <c r="P134"/>
      <c r="Q134"/>
    </row>
    <row r="135" spans="3:48" ht="12.75" x14ac:dyDescent="0.2">
      <c r="C135" s="5" t="s">
        <v>990</v>
      </c>
      <c r="P135"/>
      <c r="Q135"/>
    </row>
    <row r="136" spans="3:48" x14ac:dyDescent="0.2">
      <c r="F136" t="s">
        <v>838</v>
      </c>
      <c r="P136" s="602" t="s">
        <v>841</v>
      </c>
      <c r="Q136" s="603" t="s">
        <v>839</v>
      </c>
    </row>
    <row r="137" spans="3:48" x14ac:dyDescent="0.2">
      <c r="P137" s="386"/>
      <c r="Q137" s="603" t="s">
        <v>1078</v>
      </c>
    </row>
    <row r="138" spans="3:48" x14ac:dyDescent="0.2">
      <c r="G138" s="558" t="s">
        <v>1141</v>
      </c>
      <c r="H138" s="689" t="s">
        <v>1139</v>
      </c>
      <c r="I138" s="689" t="s">
        <v>1140</v>
      </c>
      <c r="J138" t="s">
        <v>837</v>
      </c>
      <c r="K138" s="559" t="s">
        <v>1001</v>
      </c>
      <c r="L138" s="559" t="s">
        <v>1123</v>
      </c>
      <c r="M138" s="559" t="s">
        <v>1077</v>
      </c>
      <c r="P138" s="386"/>
      <c r="Q138"/>
    </row>
    <row r="139" spans="3:48" x14ac:dyDescent="0.2">
      <c r="G139" s="559"/>
      <c r="H139" s="558"/>
      <c r="I139" s="558"/>
      <c r="J139" s="386" t="s">
        <v>1151</v>
      </c>
      <c r="K139" s="690">
        <v>1.7282514561721989</v>
      </c>
      <c r="L139" s="559"/>
      <c r="M139" s="559"/>
      <c r="P139"/>
      <c r="Q139"/>
    </row>
    <row r="140" spans="3:48" x14ac:dyDescent="0.2">
      <c r="G140" s="559"/>
      <c r="H140" s="558"/>
      <c r="I140" s="558"/>
      <c r="J140" t="s">
        <v>842</v>
      </c>
      <c r="K140" s="290">
        <v>1.7311246921758101</v>
      </c>
      <c r="L140" s="559"/>
      <c r="M140" s="559"/>
      <c r="P140"/>
      <c r="Q140"/>
    </row>
    <row r="141" spans="3:48" x14ac:dyDescent="0.2">
      <c r="G141" s="559"/>
      <c r="H141" s="558"/>
      <c r="I141" s="558"/>
      <c r="J141" t="s">
        <v>843</v>
      </c>
      <c r="K141" s="290">
        <v>1.7098054225677337</v>
      </c>
      <c r="L141" s="559"/>
      <c r="M141" s="559"/>
      <c r="P141"/>
      <c r="Q141"/>
    </row>
    <row r="142" spans="3:48" x14ac:dyDescent="0.2">
      <c r="G142" s="559"/>
      <c r="H142" s="558"/>
      <c r="I142" s="558"/>
      <c r="J142" t="s">
        <v>844</v>
      </c>
      <c r="K142" s="290">
        <v>1.6633730069388974</v>
      </c>
      <c r="L142" s="559"/>
      <c r="M142" s="559"/>
      <c r="N142" s="386"/>
      <c r="P142" s="386"/>
      <c r="Q142" s="386"/>
      <c r="R142" s="386"/>
      <c r="S142" s="386"/>
      <c r="T142" s="386"/>
      <c r="U142" s="386"/>
      <c r="V142" s="386"/>
      <c r="W142" s="386"/>
      <c r="X142" s="386"/>
      <c r="Y142" s="386"/>
      <c r="Z142" s="386"/>
      <c r="AA142" s="386"/>
      <c r="AB142" s="386"/>
      <c r="AC142" s="386"/>
      <c r="AD142" s="386"/>
      <c r="AE142" s="386"/>
      <c r="AF142" s="386"/>
      <c r="AG142" s="386"/>
      <c r="AH142" s="386"/>
      <c r="AI142" s="386"/>
      <c r="AJ142" s="386"/>
      <c r="AK142" s="386"/>
      <c r="AL142" s="386"/>
      <c r="AM142" s="386"/>
      <c r="AN142" s="386"/>
      <c r="AO142" s="386"/>
      <c r="AP142" s="386"/>
      <c r="AQ142" s="386"/>
      <c r="AR142" s="386"/>
      <c r="AS142" s="386"/>
      <c r="AT142" s="386"/>
      <c r="AU142" s="386"/>
      <c r="AV142" s="386"/>
    </row>
    <row r="143" spans="3:48" x14ac:dyDescent="0.2">
      <c r="G143" s="559"/>
      <c r="H143" s="558"/>
      <c r="I143" s="558"/>
      <c r="J143" t="s">
        <v>845</v>
      </c>
      <c r="K143" s="290">
        <v>1.5693617216936697</v>
      </c>
      <c r="L143" s="559"/>
      <c r="M143" s="559"/>
      <c r="N143" s="386"/>
      <c r="P143" s="386"/>
      <c r="Q143" s="386"/>
      <c r="R143" s="386"/>
      <c r="S143" s="386"/>
      <c r="T143" s="386"/>
      <c r="U143" s="386"/>
      <c r="V143" s="386"/>
      <c r="W143" s="386"/>
      <c r="X143" s="386"/>
      <c r="Y143" s="386"/>
      <c r="Z143" s="386"/>
      <c r="AA143" s="386"/>
      <c r="AB143" s="386"/>
      <c r="AC143" s="386"/>
      <c r="AD143" s="386"/>
      <c r="AE143" s="386"/>
      <c r="AF143" s="386"/>
      <c r="AG143" s="386"/>
      <c r="AH143" s="386"/>
      <c r="AI143" s="386"/>
      <c r="AJ143" s="386"/>
      <c r="AK143" s="386"/>
      <c r="AL143" s="386"/>
      <c r="AM143" s="386"/>
      <c r="AN143" s="386"/>
      <c r="AO143" s="386"/>
      <c r="AP143" s="386"/>
      <c r="AQ143" s="386"/>
      <c r="AR143" s="386"/>
      <c r="AS143" s="386"/>
      <c r="AT143" s="386"/>
      <c r="AU143" s="386"/>
      <c r="AV143" s="386"/>
    </row>
    <row r="144" spans="3:48" x14ac:dyDescent="0.2">
      <c r="G144" s="559"/>
      <c r="H144" s="558"/>
      <c r="I144" s="558"/>
      <c r="J144" t="s">
        <v>846</v>
      </c>
      <c r="K144" s="290">
        <v>1.5245556403275986</v>
      </c>
      <c r="L144" s="559"/>
      <c r="M144" s="559"/>
      <c r="P144"/>
      <c r="Q144"/>
    </row>
    <row r="145" spans="7:17" x14ac:dyDescent="0.2">
      <c r="G145" s="559"/>
      <c r="H145" s="558"/>
      <c r="I145" s="558"/>
      <c r="J145" t="s">
        <v>847</v>
      </c>
      <c r="K145" s="290">
        <v>1.4738450139331207</v>
      </c>
      <c r="L145" s="559"/>
      <c r="M145" s="559"/>
      <c r="P145"/>
      <c r="Q145"/>
    </row>
    <row r="146" spans="7:17" x14ac:dyDescent="0.2">
      <c r="G146" s="559"/>
      <c r="H146" s="558"/>
      <c r="I146" s="558"/>
      <c r="J146" t="s">
        <v>848</v>
      </c>
      <c r="K146" s="290">
        <v>1.4452068040857042</v>
      </c>
      <c r="L146" s="559"/>
      <c r="M146" s="559"/>
      <c r="P146"/>
      <c r="Q146"/>
    </row>
    <row r="147" spans="7:17" x14ac:dyDescent="0.2">
      <c r="G147" s="559"/>
      <c r="H147" s="558"/>
      <c r="I147" s="558"/>
      <c r="J147" t="s">
        <v>849</v>
      </c>
      <c r="K147" s="290">
        <v>1.4118935625</v>
      </c>
      <c r="L147" s="559"/>
      <c r="M147" s="559"/>
      <c r="P147"/>
      <c r="Q147"/>
    </row>
    <row r="148" spans="7:17" x14ac:dyDescent="0.2">
      <c r="G148" s="559"/>
      <c r="H148" s="558"/>
      <c r="I148" s="558"/>
      <c r="J148" t="s">
        <v>850</v>
      </c>
      <c r="K148" s="290">
        <v>1.3709960531188281</v>
      </c>
      <c r="L148" s="559"/>
      <c r="M148" s="559"/>
      <c r="P148"/>
      <c r="Q148"/>
    </row>
    <row r="149" spans="7:17" x14ac:dyDescent="0.2">
      <c r="G149" s="559"/>
      <c r="H149" s="558"/>
      <c r="I149" s="558"/>
      <c r="J149" t="s">
        <v>851</v>
      </c>
      <c r="K149" s="290">
        <v>1.3383952472284704</v>
      </c>
      <c r="L149" s="559"/>
      <c r="M149" s="559"/>
      <c r="P149"/>
      <c r="Q149"/>
    </row>
    <row r="150" spans="7:17" x14ac:dyDescent="0.2">
      <c r="G150" s="559"/>
      <c r="H150" s="558"/>
      <c r="I150" s="558"/>
      <c r="J150" t="s">
        <v>852</v>
      </c>
      <c r="K150" s="290">
        <v>1.2839352679947595</v>
      </c>
      <c r="L150" s="559"/>
      <c r="M150" s="559"/>
      <c r="P150"/>
      <c r="Q150"/>
    </row>
    <row r="151" spans="7:17" x14ac:dyDescent="0.2">
      <c r="G151" s="559"/>
      <c r="H151" s="558"/>
      <c r="I151" s="558"/>
      <c r="J151" t="s">
        <v>853</v>
      </c>
      <c r="K151" s="290">
        <v>1.2530342988492778</v>
      </c>
      <c r="L151" s="559"/>
      <c r="M151" s="559"/>
      <c r="P151"/>
      <c r="Q151"/>
    </row>
    <row r="152" spans="7:17" x14ac:dyDescent="0.2">
      <c r="G152" s="559"/>
      <c r="H152" s="558"/>
      <c r="I152" s="558"/>
      <c r="J152" t="s">
        <v>854</v>
      </c>
      <c r="K152" s="290">
        <v>1.2178614062499997</v>
      </c>
      <c r="L152" s="559"/>
      <c r="M152" s="559"/>
      <c r="P152"/>
      <c r="Q152"/>
    </row>
    <row r="153" spans="7:17" x14ac:dyDescent="0.2">
      <c r="G153" s="559">
        <v>2011</v>
      </c>
      <c r="H153" s="692">
        <v>99.2</v>
      </c>
      <c r="I153" s="692">
        <v>99.8</v>
      </c>
      <c r="J153" t="s">
        <v>855</v>
      </c>
      <c r="K153" s="691">
        <v>1.1785755544354837</v>
      </c>
      <c r="L153" s="691">
        <v>1.152641129032258</v>
      </c>
      <c r="M153" s="691">
        <v>1.130040322580645</v>
      </c>
      <c r="P153"/>
      <c r="Q153"/>
    </row>
    <row r="154" spans="7:17" x14ac:dyDescent="0.2">
      <c r="G154" s="559">
        <v>2012</v>
      </c>
      <c r="H154" s="692">
        <v>100.4</v>
      </c>
      <c r="I154" s="692">
        <v>102</v>
      </c>
      <c r="J154" t="s">
        <v>856</v>
      </c>
      <c r="K154" s="691">
        <v>1.1644889940239043</v>
      </c>
      <c r="L154" s="691">
        <v>1.1388645418326693</v>
      </c>
      <c r="M154" s="691">
        <v>1.1165338645418326</v>
      </c>
      <c r="P154"/>
      <c r="Q154"/>
    </row>
    <row r="155" spans="7:17" x14ac:dyDescent="0.2">
      <c r="G155" s="559">
        <v>2013</v>
      </c>
      <c r="H155" s="692">
        <v>102.8</v>
      </c>
      <c r="I155" s="692">
        <v>104.8</v>
      </c>
      <c r="J155" t="s">
        <v>857</v>
      </c>
      <c r="K155" s="691">
        <v>1.1373024805447471</v>
      </c>
      <c r="L155" s="691">
        <v>1.1122762645914397</v>
      </c>
      <c r="M155" s="691">
        <v>1.0904669260700388</v>
      </c>
      <c r="P155"/>
      <c r="Q155"/>
    </row>
    <row r="156" spans="7:17" x14ac:dyDescent="0.2">
      <c r="G156" s="559">
        <v>2014</v>
      </c>
      <c r="H156" s="692">
        <v>105.9</v>
      </c>
      <c r="I156" s="692">
        <v>106.6</v>
      </c>
      <c r="J156" t="s">
        <v>858</v>
      </c>
      <c r="K156" s="691">
        <v>1.1040103399433427</v>
      </c>
      <c r="L156" s="691">
        <v>1.0797167138810198</v>
      </c>
      <c r="M156" s="691">
        <v>1.0585457979225683</v>
      </c>
      <c r="P156"/>
      <c r="Q156"/>
    </row>
    <row r="157" spans="7:17" x14ac:dyDescent="0.2">
      <c r="G157" s="559">
        <v>2015</v>
      </c>
      <c r="H157" s="692">
        <v>107.5</v>
      </c>
      <c r="I157" s="692">
        <v>108.4</v>
      </c>
      <c r="J157" t="s">
        <v>859</v>
      </c>
      <c r="K157" s="691">
        <v>1.0875785581395347</v>
      </c>
      <c r="L157" s="691">
        <v>1.063646511627907</v>
      </c>
      <c r="M157" s="691">
        <v>1.0427906976744186</v>
      </c>
      <c r="P157"/>
      <c r="Q157"/>
    </row>
    <row r="158" spans="7:17" x14ac:dyDescent="0.2">
      <c r="G158" s="559">
        <v>2016</v>
      </c>
      <c r="H158" s="692">
        <v>108.6</v>
      </c>
      <c r="I158" s="692">
        <v>110</v>
      </c>
      <c r="J158" t="s">
        <v>860</v>
      </c>
      <c r="K158" s="691">
        <v>1.0765625690607734</v>
      </c>
      <c r="L158" s="691">
        <v>1.0528729281767957</v>
      </c>
      <c r="M158" s="691">
        <v>1.0322283609576428</v>
      </c>
      <c r="P158"/>
      <c r="Q158"/>
    </row>
    <row r="159" spans="7:17" ht="12.75" x14ac:dyDescent="0.2">
      <c r="G159" s="559">
        <v>2017</v>
      </c>
      <c r="H159" s="692">
        <v>110.7</v>
      </c>
      <c r="I159" s="692">
        <v>112.1</v>
      </c>
      <c r="J159" t="s">
        <v>861</v>
      </c>
      <c r="K159" s="694">
        <v>1.0561399728997289</v>
      </c>
      <c r="L159" s="694">
        <v>1.0328997289972899</v>
      </c>
      <c r="M159" s="694">
        <v>1.0126467931345979</v>
      </c>
      <c r="P159"/>
      <c r="Q159"/>
    </row>
    <row r="160" spans="7:17" x14ac:dyDescent="0.2">
      <c r="G160" s="559">
        <v>2018</v>
      </c>
      <c r="H160" s="692">
        <v>113</v>
      </c>
      <c r="I160" s="692">
        <v>114.342</v>
      </c>
      <c r="J160" t="s">
        <v>251</v>
      </c>
      <c r="K160" s="691">
        <v>1.0346433185840707</v>
      </c>
      <c r="L160" s="691">
        <v>1.0118761061946902</v>
      </c>
      <c r="M160" s="691">
        <v>0.99203539823008846</v>
      </c>
      <c r="P160"/>
      <c r="Q160"/>
    </row>
    <row r="161" spans="7:17" x14ac:dyDescent="0.2">
      <c r="G161" s="559">
        <v>2019</v>
      </c>
      <c r="H161" s="692">
        <v>115.54249999999999</v>
      </c>
      <c r="I161" s="692">
        <v>116.91469499999999</v>
      </c>
      <c r="J161" t="s">
        <v>252</v>
      </c>
      <c r="K161" s="691">
        <v>1.0118761061946904</v>
      </c>
      <c r="L161" s="691">
        <v>0.98960988380898807</v>
      </c>
      <c r="M161" s="691">
        <v>0.97020576844018436</v>
      </c>
      <c r="P161"/>
      <c r="Q161"/>
    </row>
    <row r="162" spans="7:17" x14ac:dyDescent="0.2">
      <c r="G162" s="559">
        <v>2020</v>
      </c>
      <c r="H162" s="692">
        <v>117.91112124999998</v>
      </c>
      <c r="I162" s="692">
        <v>119.54527563749998</v>
      </c>
      <c r="K162" s="559"/>
      <c r="L162" s="559"/>
      <c r="M162" s="559"/>
      <c r="N162" s="552"/>
      <c r="P162"/>
      <c r="Q162"/>
    </row>
    <row r="163" spans="7:17" x14ac:dyDescent="0.2">
      <c r="P163"/>
      <c r="Q163"/>
    </row>
    <row r="164" spans="7:17" x14ac:dyDescent="0.2">
      <c r="P164"/>
      <c r="Q164"/>
    </row>
    <row r="165" spans="7:17" x14ac:dyDescent="0.2">
      <c r="P165"/>
      <c r="Q165"/>
    </row>
    <row r="166" spans="7:17" x14ac:dyDescent="0.2">
      <c r="P166"/>
      <c r="Q166"/>
    </row>
    <row r="167" spans="7:17" x14ac:dyDescent="0.2">
      <c r="P167"/>
      <c r="Q167"/>
    </row>
    <row r="168" spans="7:17" x14ac:dyDescent="0.2">
      <c r="P168"/>
      <c r="Q168"/>
    </row>
    <row r="169" spans="7:17" x14ac:dyDescent="0.2">
      <c r="P169"/>
      <c r="Q169"/>
    </row>
    <row r="170" spans="7:17" x14ac:dyDescent="0.2">
      <c r="P170"/>
      <c r="Q170"/>
    </row>
    <row r="171" spans="7:17" x14ac:dyDescent="0.2">
      <c r="P171"/>
      <c r="Q171"/>
    </row>
    <row r="172" spans="7:17" x14ac:dyDescent="0.2">
      <c r="P172"/>
      <c r="Q172"/>
    </row>
    <row r="173" spans="7:17" x14ac:dyDescent="0.2">
      <c r="P173"/>
      <c r="Q173"/>
    </row>
  </sheetData>
  <dataValidations count="1">
    <dataValidation type="list" allowBlank="1" showInputMessage="1" showErrorMessage="1" sqref="G7" xr:uid="{00000000-0002-0000-1C00-000000000000}">
      <formula1>"2018,2019,2020,2021,2022,2023,2024,2025,2026,2027,2028,2029,2030"</formula1>
    </dataValidation>
  </dataValidations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4"/>
  </sheetPr>
  <dimension ref="A1:AN106"/>
  <sheetViews>
    <sheetView showGridLines="0" zoomScale="115" zoomScaleNormal="115" workbookViewId="0"/>
  </sheetViews>
  <sheetFormatPr defaultRowHeight="12" x14ac:dyDescent="0.2"/>
  <cols>
    <col min="1" max="1" width="4.6640625" customWidth="1"/>
    <col min="2" max="2" width="14.5" customWidth="1"/>
    <col min="3" max="3" width="20.6640625" customWidth="1"/>
    <col min="4" max="8" width="12.33203125" customWidth="1"/>
    <col min="9" max="9" width="4.6640625" customWidth="1"/>
    <col min="10" max="10" width="14.5" style="558" customWidth="1"/>
    <col min="11" max="11" width="20.6640625" style="558" customWidth="1"/>
    <col min="12" max="16" width="12.33203125" style="558" customWidth="1"/>
    <col min="18" max="18" width="14.5" style="558" customWidth="1"/>
    <col min="19" max="19" width="20.6640625" style="558" customWidth="1"/>
    <col min="20" max="24" width="12.33203125" style="558" customWidth="1"/>
    <col min="26" max="26" width="14.5" style="558" customWidth="1"/>
    <col min="27" max="27" width="20.6640625" style="558" customWidth="1"/>
    <col min="28" max="32" width="12.33203125" style="558" customWidth="1"/>
    <col min="34" max="34" width="14.5" style="558" customWidth="1"/>
    <col min="35" max="35" width="20.6640625" style="558" customWidth="1"/>
    <col min="36" max="40" width="12.33203125" style="558" customWidth="1"/>
  </cols>
  <sheetData>
    <row r="1" spans="1:40" ht="18.75" x14ac:dyDescent="0.3">
      <c r="A1" s="31" t="str">
        <f>A_Name_Model</f>
        <v>Public Lighting Model</v>
      </c>
      <c r="B1" s="31"/>
      <c r="C1" s="33"/>
      <c r="D1" s="33"/>
      <c r="F1" s="33"/>
      <c r="G1" s="33"/>
      <c r="J1" s="31"/>
      <c r="K1" s="33"/>
      <c r="L1" s="33"/>
      <c r="N1" s="33"/>
      <c r="O1" s="33"/>
      <c r="R1" s="31"/>
      <c r="S1" s="33"/>
      <c r="T1" s="33"/>
      <c r="V1" s="33"/>
      <c r="W1" s="33"/>
      <c r="Z1" s="31"/>
      <c r="AA1" s="33"/>
      <c r="AB1" s="33"/>
      <c r="AD1" s="33"/>
      <c r="AE1" s="33"/>
      <c r="AH1" s="31"/>
      <c r="AI1" s="33"/>
      <c r="AJ1" s="33"/>
      <c r="AL1" s="33"/>
      <c r="AM1" s="33"/>
    </row>
    <row r="2" spans="1:40" ht="16.5" thickBot="1" x14ac:dyDescent="0.3">
      <c r="A2" s="4" t="str">
        <f ca="1">RIGHT(CELL("filename",A2),LEN(CELL("filename",A2))-FIND("]",CELL("filename",A2)))</f>
        <v>HID Tariffs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R2" s="4"/>
      <c r="S2" s="4"/>
      <c r="T2" s="4"/>
      <c r="U2" s="4"/>
      <c r="V2" s="4"/>
      <c r="W2" s="4"/>
      <c r="X2" s="4"/>
      <c r="Z2" s="4"/>
      <c r="AA2" s="4"/>
      <c r="AB2" s="4"/>
      <c r="AC2" s="4"/>
      <c r="AD2" s="4"/>
      <c r="AE2" s="4"/>
      <c r="AF2" s="4"/>
      <c r="AH2" s="4"/>
      <c r="AI2" s="4"/>
      <c r="AJ2" s="4"/>
      <c r="AK2" s="4"/>
      <c r="AL2" s="4"/>
      <c r="AM2" s="4"/>
      <c r="AN2" s="4"/>
    </row>
    <row r="3" spans="1:40" ht="16.5" thickTop="1" thickBot="1" x14ac:dyDescent="0.25">
      <c r="E3" s="558"/>
      <c r="F3" s="558" t="s">
        <v>44</v>
      </c>
      <c r="G3" s="626" t="str">
        <f>Tariff_Year</f>
        <v>2020/21</v>
      </c>
      <c r="N3" s="558" t="s">
        <v>44</v>
      </c>
      <c r="O3" s="626" t="s">
        <v>254</v>
      </c>
      <c r="V3" s="558" t="s">
        <v>44</v>
      </c>
      <c r="W3" s="626" t="s">
        <v>255</v>
      </c>
      <c r="AD3" s="558" t="s">
        <v>44</v>
      </c>
      <c r="AE3" s="626" t="s">
        <v>256</v>
      </c>
      <c r="AL3" s="558" t="s">
        <v>44</v>
      </c>
      <c r="AM3" s="626" t="s">
        <v>257</v>
      </c>
    </row>
    <row r="4" spans="1:40" ht="4.1500000000000004" customHeight="1" thickTop="1" x14ac:dyDescent="0.2"/>
    <row r="5" spans="1:40" s="558" customFormat="1" x14ac:dyDescent="0.2">
      <c r="F5" s="558" t="s">
        <v>1144</v>
      </c>
      <c r="G5" s="558" t="str">
        <f>CPI_Year</f>
        <v>$June 2020</v>
      </c>
      <c r="N5" s="558" t="s">
        <v>1144</v>
      </c>
      <c r="O5" s="558" t="s">
        <v>1001</v>
      </c>
      <c r="V5" s="558" t="s">
        <v>1144</v>
      </c>
      <c r="W5" s="558" t="s">
        <v>1001</v>
      </c>
      <c r="AD5" s="558" t="s">
        <v>1144</v>
      </c>
      <c r="AE5" s="558" t="s">
        <v>1001</v>
      </c>
      <c r="AL5" s="558" t="s">
        <v>1144</v>
      </c>
      <c r="AM5" s="558" t="s">
        <v>1001</v>
      </c>
    </row>
    <row r="6" spans="1:40" s="558" customFormat="1" x14ac:dyDescent="0.2"/>
    <row r="7" spans="1:40" ht="12.75" x14ac:dyDescent="0.2">
      <c r="B7" s="78" t="s">
        <v>219</v>
      </c>
      <c r="C7" s="78" t="s">
        <v>71</v>
      </c>
      <c r="D7" s="81" t="s">
        <v>78</v>
      </c>
      <c r="E7" s="81" t="s">
        <v>52</v>
      </c>
      <c r="F7" s="81" t="s">
        <v>51</v>
      </c>
      <c r="G7" s="81" t="s">
        <v>53</v>
      </c>
      <c r="H7" s="81" t="s">
        <v>49</v>
      </c>
      <c r="J7" s="78" t="s">
        <v>219</v>
      </c>
      <c r="K7" s="78" t="s">
        <v>71</v>
      </c>
      <c r="L7" s="81" t="s">
        <v>78</v>
      </c>
      <c r="M7" s="81" t="s">
        <v>52</v>
      </c>
      <c r="N7" s="81" t="s">
        <v>51</v>
      </c>
      <c r="O7" s="81" t="s">
        <v>53</v>
      </c>
      <c r="P7" s="81" t="s">
        <v>49</v>
      </c>
      <c r="R7" s="78" t="s">
        <v>219</v>
      </c>
      <c r="S7" s="78" t="s">
        <v>71</v>
      </c>
      <c r="T7" s="81" t="s">
        <v>78</v>
      </c>
      <c r="U7" s="81" t="s">
        <v>52</v>
      </c>
      <c r="V7" s="81" t="s">
        <v>51</v>
      </c>
      <c r="W7" s="81" t="s">
        <v>53</v>
      </c>
      <c r="X7" s="81" t="s">
        <v>49</v>
      </c>
      <c r="Z7" s="78" t="s">
        <v>219</v>
      </c>
      <c r="AA7" s="78" t="s">
        <v>71</v>
      </c>
      <c r="AB7" s="81" t="s">
        <v>78</v>
      </c>
      <c r="AC7" s="81" t="s">
        <v>52</v>
      </c>
      <c r="AD7" s="81" t="s">
        <v>51</v>
      </c>
      <c r="AE7" s="81" t="s">
        <v>53</v>
      </c>
      <c r="AF7" s="81" t="s">
        <v>49</v>
      </c>
      <c r="AH7" s="78" t="s">
        <v>219</v>
      </c>
      <c r="AI7" s="78" t="s">
        <v>71</v>
      </c>
      <c r="AJ7" s="81" t="s">
        <v>78</v>
      </c>
      <c r="AK7" s="81" t="s">
        <v>52</v>
      </c>
      <c r="AL7" s="81" t="s">
        <v>51</v>
      </c>
      <c r="AM7" s="81" t="s">
        <v>53</v>
      </c>
      <c r="AN7" s="81" t="s">
        <v>49</v>
      </c>
    </row>
    <row r="8" spans="1:40" x14ac:dyDescent="0.2">
      <c r="B8" s="505" t="s">
        <v>199</v>
      </c>
      <c r="C8" s="386"/>
      <c r="D8" s="504"/>
      <c r="E8" s="504"/>
      <c r="F8" s="504"/>
      <c r="G8" s="504"/>
      <c r="H8" s="504"/>
      <c r="J8" s="505" t="s">
        <v>199</v>
      </c>
      <c r="L8" s="504"/>
      <c r="M8" s="504"/>
      <c r="N8" s="504"/>
      <c r="O8" s="504"/>
      <c r="P8" s="504"/>
      <c r="R8" s="505" t="s">
        <v>199</v>
      </c>
      <c r="T8" s="504"/>
      <c r="U8" s="504"/>
      <c r="V8" s="504"/>
      <c r="W8" s="504"/>
      <c r="X8" s="504"/>
      <c r="Z8" s="505" t="s">
        <v>199</v>
      </c>
      <c r="AB8" s="504"/>
      <c r="AC8" s="504"/>
      <c r="AD8" s="504"/>
      <c r="AE8" s="504"/>
      <c r="AF8" s="504"/>
      <c r="AH8" s="505" t="s">
        <v>199</v>
      </c>
      <c r="AJ8" s="504"/>
      <c r="AK8" s="504"/>
      <c r="AL8" s="504"/>
      <c r="AM8" s="504"/>
      <c r="AN8" s="504"/>
    </row>
    <row r="9" spans="1:40" x14ac:dyDescent="0.2">
      <c r="B9" s="505" t="s">
        <v>164</v>
      </c>
      <c r="C9" s="386"/>
      <c r="D9" s="771">
        <f>INDEX(Tariff_HID_Tbl[],MATCH(HID_Tariffs[[#This Row],[Base Lamp]:[Base Lamp]],Tariff_HID_Tbl[[HID]:[HID]],0),MATCH(HID_Tariffs[[#Headers],[ENERGY]],Tariff_HID_Tbl[#Headers],0))</f>
        <v>3.0621988578067763</v>
      </c>
      <c r="E9" s="771">
        <f>INDEX(Tariff_HID_Tbl[],MATCH(HID_Tariffs[[#This Row],[Base Lamp]:[Base Lamp]],Tariff_HID_Tbl[[HID]:[HID]],0),MATCH(HID_Tariffs[[#Headers],[CLER]],Tariff_HID_Tbl[#Headers],0))</f>
        <v>64.890149585532171</v>
      </c>
      <c r="F9" s="771">
        <f>INDEX(Tariff_HID_Tbl[],MATCH(HID_Tariffs[[#This Row],[Base Lamp]:[Base Lamp]],Tariff_HID_Tbl[[HID]:[HID]],0),MATCH(HID_Tariffs[[#Headers],[PLC]],Tariff_HID_Tbl[#Headers],0))</f>
        <v>0</v>
      </c>
      <c r="G9" s="771">
        <f>INDEX(Tariff_HID_Tbl[],MATCH(HID_Tariffs[[#This Row],[Base Lamp]:[Base Lamp]],Tariff_HID_Tbl[[HID]:[HID]],0),MATCH(HID_Tariffs[[#Headers],[TFI]],Tariff_HID_Tbl[#Headers],0))</f>
        <v>0</v>
      </c>
      <c r="H9" s="771">
        <f>INDEX(Tariff_HID_Tbl[],MATCH(HID_Tariffs[[#This Row],[Base Lamp]:[Base Lamp]],Tariff_HID_Tbl[[HID]:[HID]],0),MATCH(HID_Tariffs[[#Headers],[SLUOS]],Tariff_HID_Tbl[#Headers],0))</f>
        <v>95.874271256532708</v>
      </c>
      <c r="J9" s="505" t="s">
        <v>164</v>
      </c>
      <c r="K9" s="773"/>
      <c r="L9" s="771">
        <v>3.0946062538521595</v>
      </c>
      <c r="M9" s="771">
        <v>65.316394849301602</v>
      </c>
      <c r="N9" s="771">
        <v>0</v>
      </c>
      <c r="O9" s="771">
        <v>0</v>
      </c>
      <c r="P9" s="771">
        <v>96.924364682991964</v>
      </c>
      <c r="R9" s="505" t="s">
        <v>164</v>
      </c>
      <c r="T9" s="771">
        <v>3.1321148140898711</v>
      </c>
      <c r="U9" s="771">
        <v>65.809707744304717</v>
      </c>
      <c r="V9" s="771">
        <v>0</v>
      </c>
      <c r="W9" s="771">
        <v>0</v>
      </c>
      <c r="X9" s="771">
        <v>97.645081964065596</v>
      </c>
      <c r="Z9" s="505" t="s">
        <v>164</v>
      </c>
      <c r="AB9" s="771">
        <v>3.1663226210266635</v>
      </c>
      <c r="AC9" s="771">
        <v>66.259613402513835</v>
      </c>
      <c r="AD9" s="771">
        <v>0</v>
      </c>
      <c r="AE9" s="771">
        <v>0</v>
      </c>
      <c r="AF9" s="771">
        <v>99.413229444194243</v>
      </c>
      <c r="AH9" s="505" t="s">
        <v>164</v>
      </c>
      <c r="AJ9" s="771">
        <v>3.1969296061806358</v>
      </c>
      <c r="AK9" s="771">
        <v>66.662172688711081</v>
      </c>
      <c r="AL9" s="771">
        <v>0</v>
      </c>
      <c r="AM9" s="771">
        <v>0</v>
      </c>
      <c r="AN9" s="771">
        <v>100.15786944389821</v>
      </c>
    </row>
    <row r="10" spans="1:40" x14ac:dyDescent="0.2">
      <c r="B10" s="505" t="str">
        <f t="shared" ref="B10:B12" si="0">$B$9</f>
        <v>cf-42</v>
      </c>
      <c r="C10" s="386" t="s">
        <v>117</v>
      </c>
      <c r="D10" s="771">
        <f>INDEX(Tariff_HID_Tbl[],MATCH(HID_Tariffs[[#This Row],[Base Lamp]:[Base Lamp]],Tariff_HID_Tbl[[HID]:[HID]],0),MATCH(HID_Tariffs[[#Headers],[ENERGY]],Tariff_HID_Tbl[#Headers],0))</f>
        <v>3.0621988578067763</v>
      </c>
      <c r="E10" s="771">
        <f>INDEX(Tariff_HID_Tbl[],MATCH(HID_Tariffs[[#This Row],[Base Lamp]:[Base Lamp]],Tariff_HID_Tbl[[HID]:[HID]],0),MATCH(HID_Tariffs[[#Headers],[CLER]],Tariff_HID_Tbl[#Headers],0))</f>
        <v>64.890149585532171</v>
      </c>
      <c r="F10" s="771">
        <f>INDEX(Tariff_HID_Tbl[],MATCH(HID_Tariffs[[#This Row],[Base Lamp]:[Base Lamp]],Tariff_HID_Tbl[[HID]:[HID]],0),MATCH(HID_Tariffs[[#Headers],[PLC]],Tariff_HID_Tbl[#Headers],0))</f>
        <v>0</v>
      </c>
      <c r="G10" s="771">
        <f>INDEX(Tariff_HID_Tbl[],MATCH(HID_Tariffs[[#This Row],[Base Lamp]:[Base Lamp]],Tariff_HID_Tbl[[HID]:[HID]],0),MATCH(HID_Tariffs[[#Headers],[TFI]],Tariff_HID_Tbl[#Headers],0))</f>
        <v>0</v>
      </c>
      <c r="H10" s="771">
        <f>INDEX(Tariff_HID_Tbl[],MATCH(HID_Tariffs[[#This Row],[Base Lamp]:[Base Lamp]],Tariff_HID_Tbl[[HID]:[HID]],0),MATCH(HID_Tariffs[[#Headers],[SLUOS]],Tariff_HID_Tbl[#Headers],0))</f>
        <v>95.874271256532708</v>
      </c>
      <c r="J10" s="505" t="s">
        <v>164</v>
      </c>
      <c r="K10" s="773" t="s">
        <v>117</v>
      </c>
      <c r="L10" s="771">
        <v>3.0946062538521595</v>
      </c>
      <c r="M10" s="771">
        <v>65.316394849301602</v>
      </c>
      <c r="N10" s="771">
        <v>0</v>
      </c>
      <c r="O10" s="771">
        <v>0</v>
      </c>
      <c r="P10" s="771">
        <v>96.924364682991964</v>
      </c>
      <c r="R10" s="505" t="s">
        <v>164</v>
      </c>
      <c r="S10" s="558" t="s">
        <v>117</v>
      </c>
      <c r="T10" s="771">
        <v>3.1321148140898711</v>
      </c>
      <c r="U10" s="771">
        <v>65.809707744304717</v>
      </c>
      <c r="V10" s="771">
        <v>0</v>
      </c>
      <c r="W10" s="771">
        <v>0</v>
      </c>
      <c r="X10" s="771">
        <v>97.645081964065596</v>
      </c>
      <c r="Z10" s="505" t="s">
        <v>164</v>
      </c>
      <c r="AA10" s="558" t="s">
        <v>117</v>
      </c>
      <c r="AB10" s="771">
        <v>3.1663226210266635</v>
      </c>
      <c r="AC10" s="771">
        <v>66.259613402513835</v>
      </c>
      <c r="AD10" s="771">
        <v>0</v>
      </c>
      <c r="AE10" s="771">
        <v>0</v>
      </c>
      <c r="AF10" s="771">
        <v>99.413229444194243</v>
      </c>
      <c r="AH10" s="505" t="s">
        <v>164</v>
      </c>
      <c r="AI10" s="558" t="s">
        <v>117</v>
      </c>
      <c r="AJ10" s="771">
        <v>3.1969296061806358</v>
      </c>
      <c r="AK10" s="771">
        <v>66.662172688711081</v>
      </c>
      <c r="AL10" s="771">
        <v>0</v>
      </c>
      <c r="AM10" s="771">
        <v>0</v>
      </c>
      <c r="AN10" s="771">
        <v>100.15786944389821</v>
      </c>
    </row>
    <row r="11" spans="1:40" x14ac:dyDescent="0.2">
      <c r="B11" s="505" t="str">
        <f t="shared" si="0"/>
        <v>cf-42</v>
      </c>
      <c r="C11" s="386" t="s">
        <v>205</v>
      </c>
      <c r="D11" s="771">
        <f>INDEX(Tariff_HID_Tbl[],MATCH(HID_Tariffs[[#This Row],[Base Lamp]:[Base Lamp]],Tariff_HID_Tbl[[HID]:[HID]],0),MATCH(HID_Tariffs[[#Headers],[ENERGY]],Tariff_HID_Tbl[#Headers],0))</f>
        <v>3.0621988578067763</v>
      </c>
      <c r="E11" s="771">
        <f>INDEX(Tariff_HID_Tbl[],MATCH(HID_Tariffs[[#This Row],[Base Lamp]:[Base Lamp]],Tariff_HID_Tbl[[HID]:[HID]],0),MATCH(HID_Tariffs[[#Headers],[CLER]],Tariff_HID_Tbl[#Headers],0))</f>
        <v>64.890149585532171</v>
      </c>
      <c r="F11" s="771">
        <f>INDEX(Tariff_HID_Tbl[],MATCH(HID_Tariffs[[#This Row],[Base Lamp]:[Base Lamp]],Tariff_HID_Tbl[[HID]:[HID]],0),MATCH(HID_Tariffs[[#Headers],[PLC]],Tariff_HID_Tbl[#Headers],0))</f>
        <v>0</v>
      </c>
      <c r="G11" s="771">
        <f>INDEX(Tariff_HID_Tbl[],MATCH(HID_Tariffs[[#This Row],[Base Lamp]:[Base Lamp]],Tariff_HID_Tbl[[HID]:[HID]],0),MATCH(HID_Tariffs[[#Headers],[TFI]],Tariff_HID_Tbl[#Headers],0))</f>
        <v>0</v>
      </c>
      <c r="H11" s="771">
        <f>INDEX(Tariff_HID_Tbl[],MATCH(HID_Tariffs[[#This Row],[Base Lamp]:[Base Lamp]],Tariff_HID_Tbl[[HID]:[HID]],0),MATCH(HID_Tariffs[[#Headers],[SLUOS]],Tariff_HID_Tbl[#Headers],0))</f>
        <v>95.874271256532708</v>
      </c>
      <c r="J11" s="505" t="s">
        <v>164</v>
      </c>
      <c r="K11" s="773" t="s">
        <v>205</v>
      </c>
      <c r="L11" s="771">
        <v>3.0946062538521595</v>
      </c>
      <c r="M11" s="771">
        <v>65.316394849301602</v>
      </c>
      <c r="N11" s="771">
        <v>0</v>
      </c>
      <c r="O11" s="771">
        <v>0</v>
      </c>
      <c r="P11" s="771">
        <v>96.924364682991964</v>
      </c>
      <c r="R11" s="505" t="s">
        <v>164</v>
      </c>
      <c r="S11" s="558" t="s">
        <v>205</v>
      </c>
      <c r="T11" s="771">
        <v>3.1321148140898711</v>
      </c>
      <c r="U11" s="771">
        <v>65.809707744304717</v>
      </c>
      <c r="V11" s="771">
        <v>0</v>
      </c>
      <c r="W11" s="771">
        <v>0</v>
      </c>
      <c r="X11" s="771">
        <v>97.645081964065596</v>
      </c>
      <c r="Z11" s="505" t="s">
        <v>164</v>
      </c>
      <c r="AA11" s="558" t="s">
        <v>205</v>
      </c>
      <c r="AB11" s="771">
        <v>3.1663226210266635</v>
      </c>
      <c r="AC11" s="771">
        <v>66.259613402513835</v>
      </c>
      <c r="AD11" s="771">
        <v>0</v>
      </c>
      <c r="AE11" s="771">
        <v>0</v>
      </c>
      <c r="AF11" s="771">
        <v>99.413229444194243</v>
      </c>
      <c r="AH11" s="505" t="s">
        <v>164</v>
      </c>
      <c r="AI11" s="558" t="s">
        <v>205</v>
      </c>
      <c r="AJ11" s="771">
        <v>3.1969296061806358</v>
      </c>
      <c r="AK11" s="771">
        <v>66.662172688711081</v>
      </c>
      <c r="AL11" s="771">
        <v>0</v>
      </c>
      <c r="AM11" s="771">
        <v>0</v>
      </c>
      <c r="AN11" s="771">
        <v>100.15786944389821</v>
      </c>
    </row>
    <row r="12" spans="1:40" x14ac:dyDescent="0.2">
      <c r="B12" s="505" t="str">
        <f t="shared" si="0"/>
        <v>cf-42</v>
      </c>
      <c r="C12" s="386" t="s">
        <v>77</v>
      </c>
      <c r="D12" s="771">
        <f>INDEX(Tariff_HID_Tbl[],MATCH(HID_Tariffs[[#This Row],[Base Lamp]:[Base Lamp]],Tariff_HID_Tbl[[HID]:[HID]],0),MATCH(HID_Tariffs[[#Headers],[ENERGY]],Tariff_HID_Tbl[#Headers],0))</f>
        <v>3.0621988578067763</v>
      </c>
      <c r="E12" s="771">
        <f>INDEX(Tariff_HID_Tbl[],MATCH(HID_Tariffs[[#This Row],[Base Lamp]:[Base Lamp]],Tariff_HID_Tbl[[HID]:[HID]],0),MATCH(HID_Tariffs[[#Headers],[CLER]],Tariff_HID_Tbl[#Headers],0))</f>
        <v>64.890149585532171</v>
      </c>
      <c r="F12" s="771">
        <f>INDEX(Tariff_HID_Tbl[],MATCH(HID_Tariffs[[#This Row],[Base Lamp]:[Base Lamp]],Tariff_HID_Tbl[[HID]:[HID]],0),MATCH(HID_Tariffs[[#Headers],[PLC]],Tariff_HID_Tbl[#Headers],0))</f>
        <v>0</v>
      </c>
      <c r="G12" s="771">
        <f>INDEX(Tariff_HID_Tbl[],MATCH(HID_Tariffs[[#This Row],[Base Lamp]:[Base Lamp]],Tariff_HID_Tbl[[HID]:[HID]],0),MATCH(HID_Tariffs[[#Headers],[TFI]],Tariff_HID_Tbl[#Headers],0))</f>
        <v>0</v>
      </c>
      <c r="H12" s="771">
        <f>INDEX(Tariff_HID_Tbl[],MATCH(HID_Tariffs[[#This Row],[Base Lamp]:[Base Lamp]],Tariff_HID_Tbl[[HID]:[HID]],0),MATCH(HID_Tariffs[[#Headers],[SLUOS]],Tariff_HID_Tbl[#Headers],0))</f>
        <v>95.874271256532708</v>
      </c>
      <c r="J12" s="505" t="s">
        <v>164</v>
      </c>
      <c r="K12" s="773" t="s">
        <v>77</v>
      </c>
      <c r="L12" s="771">
        <v>3.0946062538521595</v>
      </c>
      <c r="M12" s="771">
        <v>65.316394849301602</v>
      </c>
      <c r="N12" s="771">
        <v>0</v>
      </c>
      <c r="O12" s="771">
        <v>0</v>
      </c>
      <c r="P12" s="771">
        <v>96.924364682991964</v>
      </c>
      <c r="R12" s="505" t="s">
        <v>164</v>
      </c>
      <c r="S12" s="558" t="s">
        <v>77</v>
      </c>
      <c r="T12" s="771">
        <v>3.1321148140898711</v>
      </c>
      <c r="U12" s="771">
        <v>65.809707744304717</v>
      </c>
      <c r="V12" s="771">
        <v>0</v>
      </c>
      <c r="W12" s="771">
        <v>0</v>
      </c>
      <c r="X12" s="771">
        <v>97.645081964065596</v>
      </c>
      <c r="Z12" s="505" t="s">
        <v>164</v>
      </c>
      <c r="AA12" s="558" t="s">
        <v>77</v>
      </c>
      <c r="AB12" s="771">
        <v>3.1663226210266635</v>
      </c>
      <c r="AC12" s="771">
        <v>66.259613402513835</v>
      </c>
      <c r="AD12" s="771">
        <v>0</v>
      </c>
      <c r="AE12" s="771">
        <v>0</v>
      </c>
      <c r="AF12" s="771">
        <v>99.413229444194243</v>
      </c>
      <c r="AH12" s="505" t="s">
        <v>164</v>
      </c>
      <c r="AI12" s="558" t="s">
        <v>77</v>
      </c>
      <c r="AJ12" s="771">
        <v>3.1969296061806358</v>
      </c>
      <c r="AK12" s="771">
        <v>66.662172688711081</v>
      </c>
      <c r="AL12" s="771">
        <v>0</v>
      </c>
      <c r="AM12" s="771">
        <v>0</v>
      </c>
      <c r="AN12" s="771">
        <v>100.15786944389821</v>
      </c>
    </row>
    <row r="13" spans="1:40" x14ac:dyDescent="0.2">
      <c r="B13" s="505"/>
      <c r="C13" s="386"/>
      <c r="D13" s="771"/>
      <c r="E13" s="771"/>
      <c r="F13" s="771"/>
      <c r="G13" s="771"/>
      <c r="H13" s="771"/>
      <c r="J13" s="505"/>
      <c r="K13" s="773"/>
      <c r="L13" s="771"/>
      <c r="M13" s="771"/>
      <c r="N13" s="771"/>
      <c r="O13" s="771"/>
      <c r="P13" s="771"/>
      <c r="R13" s="505"/>
      <c r="T13" s="771"/>
      <c r="U13" s="771"/>
      <c r="V13" s="771"/>
      <c r="W13" s="771"/>
      <c r="X13" s="771"/>
      <c r="Z13" s="505"/>
      <c r="AB13" s="771"/>
      <c r="AC13" s="771"/>
      <c r="AD13" s="771"/>
      <c r="AE13" s="771"/>
      <c r="AF13" s="771"/>
      <c r="AH13" s="505"/>
      <c r="AJ13" s="771"/>
      <c r="AK13" s="771"/>
      <c r="AL13" s="771"/>
      <c r="AM13" s="771"/>
      <c r="AN13" s="771"/>
    </row>
    <row r="14" spans="1:40" x14ac:dyDescent="0.2">
      <c r="B14" s="505" t="s">
        <v>489</v>
      </c>
      <c r="C14" s="386"/>
      <c r="D14" s="771">
        <f>INDEX(Tariff_HID_Tbl[],MATCH(HID_Tariffs[[#This Row],[Base Lamp]:[Base Lamp]],Tariff_HID_Tbl[[HID]:[HID]],0),MATCH(HID_Tariffs[[#Headers],[ENERGY]],Tariff_HID_Tbl[#Headers],0))</f>
        <v>3.0621988578067763</v>
      </c>
      <c r="E14" s="771">
        <f>INDEX(Tariff_HID_Tbl[],MATCH(HID_Tariffs[[#This Row],[Base Lamp]:[Base Lamp]],Tariff_HID_Tbl[[HID]:[HID]],0),MATCH(HID_Tariffs[[#Headers],[CLER]],Tariff_HID_Tbl[#Headers],0))</f>
        <v>66.125346347905847</v>
      </c>
      <c r="F14" s="771">
        <f>INDEX(Tariff_HID_Tbl[],MATCH(HID_Tariffs[[#This Row],[Base Lamp]:[Base Lamp]],Tariff_HID_Tbl[[HID]:[HID]],0),MATCH(HID_Tariffs[[#Headers],[PLC]],Tariff_HID_Tbl[#Headers],0))</f>
        <v>112.12316421868053</v>
      </c>
      <c r="G14" s="771">
        <f>INDEX(Tariff_HID_Tbl[],MATCH(HID_Tariffs[[#This Row],[Base Lamp]:[Base Lamp]],Tariff_HID_Tbl[[HID]:[HID]],0),MATCH(HID_Tariffs[[#Headers],[TFI]],Tariff_HID_Tbl[#Headers],0))</f>
        <v>139.19173921590641</v>
      </c>
      <c r="H14" s="771">
        <f>INDEX(Tariff_HID_Tbl[],MATCH(HID_Tariffs[[#This Row],[Base Lamp]:[Base Lamp]],Tariff_HID_Tbl[[HID]:[HID]],0),MATCH(HID_Tariffs[[#Headers],[SLUOS]],Tariff_HID_Tbl[#Headers],0))</f>
        <v>127.84707399311662</v>
      </c>
      <c r="J14" s="505" t="s">
        <v>489</v>
      </c>
      <c r="K14" s="773"/>
      <c r="L14" s="771">
        <v>3.0946062538521595</v>
      </c>
      <c r="M14" s="771">
        <v>66.559437933345492</v>
      </c>
      <c r="N14" s="771">
        <v>113.27092344045127</v>
      </c>
      <c r="O14" s="771">
        <v>140.5119156537306</v>
      </c>
      <c r="P14" s="771">
        <v>129.09498359082721</v>
      </c>
      <c r="R14" s="505" t="s">
        <v>489</v>
      </c>
      <c r="T14" s="771">
        <v>3.1321148140898711</v>
      </c>
      <c r="U14" s="771">
        <v>67.061885358849096</v>
      </c>
      <c r="V14" s="771">
        <v>114.10470482531299</v>
      </c>
      <c r="W14" s="771">
        <v>141.54525400161717</v>
      </c>
      <c r="X14" s="771">
        <v>130.04470482531298</v>
      </c>
      <c r="Z14" s="505" t="s">
        <v>489</v>
      </c>
      <c r="AB14" s="771">
        <v>3.1663226210266635</v>
      </c>
      <c r="AC14" s="771">
        <v>67.520093143479826</v>
      </c>
      <c r="AD14" s="771">
        <v>116.88952033987535</v>
      </c>
      <c r="AE14" s="771">
        <v>144.51206546645807</v>
      </c>
      <c r="AF14" s="771">
        <v>132.9352346255896</v>
      </c>
      <c r="AH14" s="505" t="s">
        <v>489</v>
      </c>
      <c r="AJ14" s="771">
        <v>3.1969296061806358</v>
      </c>
      <c r="AK14" s="771">
        <v>67.930068529728388</v>
      </c>
      <c r="AL14" s="771">
        <v>117.7264056121258</v>
      </c>
      <c r="AM14" s="771">
        <v>145.51178922053688</v>
      </c>
      <c r="AN14" s="771">
        <v>133.86670636400549</v>
      </c>
    </row>
    <row r="15" spans="1:40" s="386" customFormat="1" x14ac:dyDescent="0.2">
      <c r="B15" s="505" t="str">
        <f t="shared" ref="B15:B16" si="1">$B$14</f>
        <v>cf-42 PT</v>
      </c>
      <c r="C15" s="386" t="s">
        <v>133</v>
      </c>
      <c r="D15" s="771">
        <f>INDEX(Tariff_HID_Tbl[],MATCH(HID_Tariffs[[#This Row],[Base Lamp]:[Base Lamp]],Tariff_HID_Tbl[[HID]:[HID]],0),MATCH(HID_Tariffs[[#Headers],[ENERGY]],Tariff_HID_Tbl[#Headers],0))</f>
        <v>3.0621988578067763</v>
      </c>
      <c r="E15" s="771">
        <f>INDEX(Tariff_HID_Tbl[],MATCH(HID_Tariffs[[#This Row],[Base Lamp]:[Base Lamp]],Tariff_HID_Tbl[[HID]:[HID]],0),MATCH(HID_Tariffs[[#Headers],[CLER]],Tariff_HID_Tbl[#Headers],0))</f>
        <v>66.125346347905847</v>
      </c>
      <c r="F15" s="771">
        <f>INDEX(Tariff_HID_Tbl[],MATCH(HID_Tariffs[[#This Row],[Base Lamp]:[Base Lamp]],Tariff_HID_Tbl[[HID]:[HID]],0),MATCH(HID_Tariffs[[#Headers],[PLC]],Tariff_HID_Tbl[#Headers],0))</f>
        <v>112.12316421868053</v>
      </c>
      <c r="G15" s="771">
        <f>INDEX(Tariff_HID_Tbl[],MATCH(HID_Tariffs[[#This Row],[Base Lamp]:[Base Lamp]],Tariff_HID_Tbl[[HID]:[HID]],0),MATCH(HID_Tariffs[[#Headers],[TFI]],Tariff_HID_Tbl[#Headers],0))</f>
        <v>139.19173921590641</v>
      </c>
      <c r="H15" s="771">
        <f>INDEX(Tariff_HID_Tbl[],MATCH(HID_Tariffs[[#This Row],[Base Lamp]:[Base Lamp]],Tariff_HID_Tbl[[HID]:[HID]],0),MATCH(HID_Tariffs[[#Headers],[SLUOS]],Tariff_HID_Tbl[#Headers],0))</f>
        <v>127.84707399311662</v>
      </c>
      <c r="J15" s="505" t="s">
        <v>489</v>
      </c>
      <c r="K15" s="773" t="s">
        <v>133</v>
      </c>
      <c r="L15" s="771">
        <v>3.0946062538521595</v>
      </c>
      <c r="M15" s="771">
        <v>66.559437933345492</v>
      </c>
      <c r="N15" s="771">
        <v>113.27092344045127</v>
      </c>
      <c r="O15" s="771">
        <v>140.5119156537306</v>
      </c>
      <c r="P15" s="771">
        <v>129.09498359082721</v>
      </c>
      <c r="R15" s="505" t="s">
        <v>489</v>
      </c>
      <c r="S15" s="558" t="s">
        <v>133</v>
      </c>
      <c r="T15" s="771">
        <v>3.1321148140898711</v>
      </c>
      <c r="U15" s="771">
        <v>67.061885358849096</v>
      </c>
      <c r="V15" s="771">
        <v>114.10470482531299</v>
      </c>
      <c r="W15" s="771">
        <v>141.54525400161717</v>
      </c>
      <c r="X15" s="771">
        <v>130.04470482531298</v>
      </c>
      <c r="Z15" s="505" t="s">
        <v>489</v>
      </c>
      <c r="AA15" s="558" t="s">
        <v>133</v>
      </c>
      <c r="AB15" s="771">
        <v>3.1663226210266635</v>
      </c>
      <c r="AC15" s="771">
        <v>67.520093143479826</v>
      </c>
      <c r="AD15" s="771">
        <v>116.88952033987535</v>
      </c>
      <c r="AE15" s="771">
        <v>144.51206546645807</v>
      </c>
      <c r="AF15" s="771">
        <v>132.9352346255896</v>
      </c>
      <c r="AH15" s="505" t="s">
        <v>489</v>
      </c>
      <c r="AI15" s="558" t="s">
        <v>133</v>
      </c>
      <c r="AJ15" s="771">
        <v>3.1969296061806358</v>
      </c>
      <c r="AK15" s="771">
        <v>67.930068529728388</v>
      </c>
      <c r="AL15" s="771">
        <v>117.7264056121258</v>
      </c>
      <c r="AM15" s="771">
        <v>145.51178922053688</v>
      </c>
      <c r="AN15" s="771">
        <v>133.86670636400549</v>
      </c>
    </row>
    <row r="16" spans="1:40" s="386" customFormat="1" x14ac:dyDescent="0.2">
      <c r="B16" s="505" t="str">
        <f t="shared" si="1"/>
        <v>cf-42 PT</v>
      </c>
      <c r="C16" s="386" t="s">
        <v>471</v>
      </c>
      <c r="D16" s="771">
        <f>INDEX(Tariff_HID_Tbl[],MATCH(HID_Tariffs[[#This Row],[Base Lamp]:[Base Lamp]],Tariff_HID_Tbl[[HID]:[HID]],0),MATCH(HID_Tariffs[[#Headers],[ENERGY]],Tariff_HID_Tbl[#Headers],0))</f>
        <v>3.0621988578067763</v>
      </c>
      <c r="E16" s="771">
        <f>INDEX(Tariff_HID_Tbl[],MATCH(HID_Tariffs[[#This Row],[Base Lamp]:[Base Lamp]],Tariff_HID_Tbl[[HID]:[HID]],0),MATCH(HID_Tariffs[[#Headers],[CLER]],Tariff_HID_Tbl[#Headers],0))</f>
        <v>66.125346347905847</v>
      </c>
      <c r="F16" s="771">
        <f>INDEX(Tariff_HID_Tbl[],MATCH(HID_Tariffs[[#This Row],[Base Lamp]:[Base Lamp]],Tariff_HID_Tbl[[HID]:[HID]],0),MATCH(HID_Tariffs[[#Headers],[PLC]],Tariff_HID_Tbl[#Headers],0))</f>
        <v>112.12316421868053</v>
      </c>
      <c r="G16" s="771">
        <f>INDEX(Tariff_HID_Tbl[],MATCH(HID_Tariffs[[#This Row],[Base Lamp]:[Base Lamp]],Tariff_HID_Tbl[[HID]:[HID]],0),MATCH(HID_Tariffs[[#Headers],[TFI]],Tariff_HID_Tbl[#Headers],0))</f>
        <v>139.19173921590641</v>
      </c>
      <c r="H16" s="771">
        <f>INDEX(Tariff_HID_Tbl[],MATCH(HID_Tariffs[[#This Row],[Base Lamp]:[Base Lamp]],Tariff_HID_Tbl[[HID]:[HID]],0),MATCH(HID_Tariffs[[#Headers],[SLUOS]],Tariff_HID_Tbl[#Headers],0))</f>
        <v>127.84707399311662</v>
      </c>
      <c r="J16" s="505" t="s">
        <v>489</v>
      </c>
      <c r="K16" s="773" t="s">
        <v>471</v>
      </c>
      <c r="L16" s="771">
        <v>3.0946062538521595</v>
      </c>
      <c r="M16" s="771">
        <v>66.559437933345492</v>
      </c>
      <c r="N16" s="771">
        <v>113.27092344045127</v>
      </c>
      <c r="O16" s="771">
        <v>140.5119156537306</v>
      </c>
      <c r="P16" s="771">
        <v>129.09498359082721</v>
      </c>
      <c r="R16" s="505" t="s">
        <v>489</v>
      </c>
      <c r="S16" s="558" t="s">
        <v>471</v>
      </c>
      <c r="T16" s="771">
        <v>3.1321148140898711</v>
      </c>
      <c r="U16" s="771">
        <v>67.061885358849096</v>
      </c>
      <c r="V16" s="771">
        <v>114.10470482531299</v>
      </c>
      <c r="W16" s="771">
        <v>141.54525400161717</v>
      </c>
      <c r="X16" s="771">
        <v>130.04470482531298</v>
      </c>
      <c r="Z16" s="505" t="s">
        <v>489</v>
      </c>
      <c r="AA16" s="558" t="s">
        <v>471</v>
      </c>
      <c r="AB16" s="771">
        <v>3.1663226210266635</v>
      </c>
      <c r="AC16" s="771">
        <v>67.520093143479826</v>
      </c>
      <c r="AD16" s="771">
        <v>116.88952033987535</v>
      </c>
      <c r="AE16" s="771">
        <v>144.51206546645807</v>
      </c>
      <c r="AF16" s="771">
        <v>132.9352346255896</v>
      </c>
      <c r="AH16" s="505" t="s">
        <v>489</v>
      </c>
      <c r="AI16" s="558" t="s">
        <v>471</v>
      </c>
      <c r="AJ16" s="771">
        <v>3.1969296061806358</v>
      </c>
      <c r="AK16" s="771">
        <v>67.930068529728388</v>
      </c>
      <c r="AL16" s="771">
        <v>117.7264056121258</v>
      </c>
      <c r="AM16" s="771">
        <v>145.51178922053688</v>
      </c>
      <c r="AN16" s="771">
        <v>133.86670636400549</v>
      </c>
    </row>
    <row r="17" spans="2:40" s="386" customFormat="1" x14ac:dyDescent="0.2">
      <c r="B17" s="505"/>
      <c r="D17" s="771"/>
      <c r="E17" s="771"/>
      <c r="F17" s="771"/>
      <c r="G17" s="771"/>
      <c r="H17" s="771"/>
      <c r="J17" s="505"/>
      <c r="K17" s="773"/>
      <c r="L17" s="771"/>
      <c r="M17" s="771"/>
      <c r="N17" s="771"/>
      <c r="O17" s="771"/>
      <c r="P17" s="771"/>
      <c r="R17" s="505"/>
      <c r="S17" s="558"/>
      <c r="T17" s="771"/>
      <c r="U17" s="771"/>
      <c r="V17" s="771"/>
      <c r="W17" s="771"/>
      <c r="X17" s="771"/>
      <c r="Z17" s="505"/>
      <c r="AA17" s="558"/>
      <c r="AB17" s="771"/>
      <c r="AC17" s="771"/>
      <c r="AD17" s="771"/>
      <c r="AE17" s="771"/>
      <c r="AF17" s="771"/>
      <c r="AH17" s="505"/>
      <c r="AI17" s="558"/>
      <c r="AJ17" s="771"/>
      <c r="AK17" s="771"/>
      <c r="AL17" s="771"/>
      <c r="AM17" s="771"/>
      <c r="AN17" s="771"/>
    </row>
    <row r="18" spans="2:40" s="386" customFormat="1" x14ac:dyDescent="0.2">
      <c r="B18" s="505" t="s">
        <v>172</v>
      </c>
      <c r="D18" s="771">
        <f>INDEX(Tariff_HID_Tbl[],MATCH(HID_Tariffs[[#This Row],[Base Lamp]:[Base Lamp]],Tariff_HID_Tbl[[HID]:[HID]],0),MATCH(HID_Tariffs[[#Headers],[ENERGY]],Tariff_HID_Tbl[#Headers],0))</f>
        <v>3.0621988578067763</v>
      </c>
      <c r="E18" s="771">
        <f>INDEX(Tariff_HID_Tbl[],MATCH(HID_Tariffs[[#This Row],[Base Lamp]:[Base Lamp]],Tariff_HID_Tbl[[HID]:[HID]],0),MATCH(HID_Tariffs[[#Headers],[CLER]],Tariff_HID_Tbl[#Headers],0))</f>
        <v>43.863902749486321</v>
      </c>
      <c r="F18" s="771">
        <f>INDEX(Tariff_HID_Tbl[],MATCH(HID_Tariffs[[#This Row],[Base Lamp]:[Base Lamp]],Tariff_HID_Tbl[[HID]:[HID]],0),MATCH(HID_Tariffs[[#Headers],[PLC]],Tariff_HID_Tbl[#Headers],0))</f>
        <v>0</v>
      </c>
      <c r="G18" s="771">
        <f>INDEX(Tariff_HID_Tbl[],MATCH(HID_Tariffs[[#This Row],[Base Lamp]:[Base Lamp]],Tariff_HID_Tbl[[HID]:[HID]],0),MATCH(HID_Tariffs[[#Headers],[TFI]],Tariff_HID_Tbl[#Headers],0))</f>
        <v>0</v>
      </c>
      <c r="H18" s="771">
        <f>INDEX(Tariff_HID_Tbl[],MATCH(HID_Tariffs[[#This Row],[Base Lamp]:[Base Lamp]],Tariff_HID_Tbl[[HID]:[HID]],0),MATCH(HID_Tariffs[[#Headers],[SLUOS]],Tariff_HID_Tbl[#Headers],0))</f>
        <v>99.34120932738027</v>
      </c>
      <c r="J18" s="505" t="s">
        <v>172</v>
      </c>
      <c r="K18" s="773"/>
      <c r="L18" s="771">
        <v>3.0946062538521595</v>
      </c>
      <c r="M18" s="771">
        <v>44.1562065462129</v>
      </c>
      <c r="N18" s="771">
        <v>0</v>
      </c>
      <c r="O18" s="771">
        <v>0</v>
      </c>
      <c r="P18" s="771">
        <v>100.41449240537203</v>
      </c>
      <c r="R18" s="505" t="s">
        <v>172</v>
      </c>
      <c r="S18" s="558"/>
      <c r="T18" s="771">
        <v>3.1321148140898711</v>
      </c>
      <c r="U18" s="771">
        <v>44.494497561879065</v>
      </c>
      <c r="V18" s="771">
        <v>0</v>
      </c>
      <c r="W18" s="771">
        <v>0</v>
      </c>
      <c r="X18" s="771">
        <v>101.16205235526972</v>
      </c>
      <c r="Z18" s="505" t="s">
        <v>172</v>
      </c>
      <c r="AA18" s="558"/>
      <c r="AB18" s="771">
        <v>3.1663226210266635</v>
      </c>
      <c r="AC18" s="771">
        <v>44.803062549559883</v>
      </c>
      <c r="AD18" s="771">
        <v>0</v>
      </c>
      <c r="AE18" s="771">
        <v>0</v>
      </c>
      <c r="AF18" s="771">
        <v>102.77926937979065</v>
      </c>
      <c r="AH18" s="505" t="s">
        <v>172</v>
      </c>
      <c r="AI18" s="558"/>
      <c r="AJ18" s="771">
        <v>3.1969296061806358</v>
      </c>
      <c r="AK18" s="771">
        <v>45.079105155332236</v>
      </c>
      <c r="AL18" s="771">
        <v>0</v>
      </c>
      <c r="AM18" s="771">
        <v>0</v>
      </c>
      <c r="AN18" s="771">
        <v>103.54579526448124</v>
      </c>
    </row>
    <row r="19" spans="2:40" x14ac:dyDescent="0.2">
      <c r="B19" s="505" t="str">
        <f t="shared" ref="B19:B24" si="2">$B$18</f>
        <v>F-40</v>
      </c>
      <c r="C19" s="83" t="s">
        <v>145</v>
      </c>
      <c r="D19" s="771">
        <f>INDEX(Tariff_HID_Tbl[],MATCH(HID_Tariffs[[#This Row],[Base Lamp]:[Base Lamp]],Tariff_HID_Tbl[[HID]:[HID]],0),MATCH(HID_Tariffs[[#Headers],[ENERGY]],Tariff_HID_Tbl[#Headers],0))</f>
        <v>3.0621988578067763</v>
      </c>
      <c r="E19" s="771">
        <f>INDEX(Tariff_HID_Tbl[],MATCH(HID_Tariffs[[#This Row],[Base Lamp]:[Base Lamp]],Tariff_HID_Tbl[[HID]:[HID]],0),MATCH(HID_Tariffs[[#Headers],[CLER]],Tariff_HID_Tbl[#Headers],0))</f>
        <v>43.863902749486321</v>
      </c>
      <c r="F19" s="771">
        <f>INDEX(Tariff_HID_Tbl[],MATCH(HID_Tariffs[[#This Row],[Base Lamp]:[Base Lamp]],Tariff_HID_Tbl[[HID]:[HID]],0),MATCH(HID_Tariffs[[#Headers],[PLC]],Tariff_HID_Tbl[#Headers],0))</f>
        <v>0</v>
      </c>
      <c r="G19" s="771">
        <f>INDEX(Tariff_HID_Tbl[],MATCH(HID_Tariffs[[#This Row],[Base Lamp]:[Base Lamp]],Tariff_HID_Tbl[[HID]:[HID]],0),MATCH(HID_Tariffs[[#Headers],[TFI]],Tariff_HID_Tbl[#Headers],0))</f>
        <v>0</v>
      </c>
      <c r="H19" s="771">
        <f>INDEX(Tariff_HID_Tbl[],MATCH(HID_Tariffs[[#This Row],[Base Lamp]:[Base Lamp]],Tariff_HID_Tbl[[HID]:[HID]],0),MATCH(HID_Tariffs[[#Headers],[SLUOS]],Tariff_HID_Tbl[#Headers],0))</f>
        <v>99.34120932738027</v>
      </c>
      <c r="J19" s="505" t="s">
        <v>172</v>
      </c>
      <c r="K19" s="774" t="s">
        <v>145</v>
      </c>
      <c r="L19" s="771">
        <v>3.0946062538521595</v>
      </c>
      <c r="M19" s="771">
        <v>44.1562065462129</v>
      </c>
      <c r="N19" s="771">
        <v>0</v>
      </c>
      <c r="O19" s="771">
        <v>0</v>
      </c>
      <c r="P19" s="771">
        <v>100.41449240537203</v>
      </c>
      <c r="R19" s="505" t="s">
        <v>172</v>
      </c>
      <c r="S19" s="83" t="s">
        <v>145</v>
      </c>
      <c r="T19" s="771">
        <v>3.1321148140898711</v>
      </c>
      <c r="U19" s="771">
        <v>44.494497561879065</v>
      </c>
      <c r="V19" s="771">
        <v>0</v>
      </c>
      <c r="W19" s="771">
        <v>0</v>
      </c>
      <c r="X19" s="771">
        <v>101.16205235526972</v>
      </c>
      <c r="Z19" s="505" t="s">
        <v>172</v>
      </c>
      <c r="AA19" s="83" t="s">
        <v>145</v>
      </c>
      <c r="AB19" s="771">
        <v>3.1663226210266635</v>
      </c>
      <c r="AC19" s="771">
        <v>44.803062549559883</v>
      </c>
      <c r="AD19" s="771">
        <v>0</v>
      </c>
      <c r="AE19" s="771">
        <v>0</v>
      </c>
      <c r="AF19" s="771">
        <v>102.77926937979065</v>
      </c>
      <c r="AH19" s="505" t="s">
        <v>172</v>
      </c>
      <c r="AI19" s="83" t="s">
        <v>145</v>
      </c>
      <c r="AJ19" s="771">
        <v>3.1969296061806358</v>
      </c>
      <c r="AK19" s="771">
        <v>45.079105155332236</v>
      </c>
      <c r="AL19" s="771">
        <v>0</v>
      </c>
      <c r="AM19" s="771">
        <v>0</v>
      </c>
      <c r="AN19" s="771">
        <v>103.54579526448124</v>
      </c>
    </row>
    <row r="20" spans="2:40" x14ac:dyDescent="0.2">
      <c r="B20" s="505" t="str">
        <f t="shared" si="2"/>
        <v>F-40</v>
      </c>
      <c r="C20" s="83" t="s">
        <v>112</v>
      </c>
      <c r="D20" s="771">
        <f>INDEX(Tariff_HID_Tbl[],MATCH(HID_Tariffs[[#This Row],[Base Lamp]:[Base Lamp]],Tariff_HID_Tbl[[HID]:[HID]],0),MATCH(HID_Tariffs[[#Headers],[ENERGY]],Tariff_HID_Tbl[#Headers],0))</f>
        <v>3.0621988578067763</v>
      </c>
      <c r="E20" s="771">
        <f>INDEX(Tariff_HID_Tbl[],MATCH(HID_Tariffs[[#This Row],[Base Lamp]:[Base Lamp]],Tariff_HID_Tbl[[HID]:[HID]],0),MATCH(HID_Tariffs[[#Headers],[CLER]],Tariff_HID_Tbl[#Headers],0))</f>
        <v>43.863902749486321</v>
      </c>
      <c r="F20" s="771">
        <f>INDEX(Tariff_HID_Tbl[],MATCH(HID_Tariffs[[#This Row],[Base Lamp]:[Base Lamp]],Tariff_HID_Tbl[[HID]:[HID]],0),MATCH(HID_Tariffs[[#Headers],[PLC]],Tariff_HID_Tbl[#Headers],0))</f>
        <v>0</v>
      </c>
      <c r="G20" s="771">
        <f>INDEX(Tariff_HID_Tbl[],MATCH(HID_Tariffs[[#This Row],[Base Lamp]:[Base Lamp]],Tariff_HID_Tbl[[HID]:[HID]],0),MATCH(HID_Tariffs[[#Headers],[TFI]],Tariff_HID_Tbl[#Headers],0))</f>
        <v>0</v>
      </c>
      <c r="H20" s="771">
        <f>INDEX(Tariff_HID_Tbl[],MATCH(HID_Tariffs[[#This Row],[Base Lamp]:[Base Lamp]],Tariff_HID_Tbl[[HID]:[HID]],0),MATCH(HID_Tariffs[[#Headers],[SLUOS]],Tariff_HID_Tbl[#Headers],0))</f>
        <v>99.34120932738027</v>
      </c>
      <c r="J20" s="505" t="s">
        <v>172</v>
      </c>
      <c r="K20" s="774" t="s">
        <v>112</v>
      </c>
      <c r="L20" s="771">
        <v>3.0946062538521595</v>
      </c>
      <c r="M20" s="771">
        <v>44.1562065462129</v>
      </c>
      <c r="N20" s="771">
        <v>0</v>
      </c>
      <c r="O20" s="771">
        <v>0</v>
      </c>
      <c r="P20" s="771">
        <v>100.41449240537203</v>
      </c>
      <c r="R20" s="505" t="s">
        <v>172</v>
      </c>
      <c r="S20" s="83" t="s">
        <v>112</v>
      </c>
      <c r="T20" s="771">
        <v>3.1321148140898711</v>
      </c>
      <c r="U20" s="771">
        <v>44.494497561879065</v>
      </c>
      <c r="V20" s="771">
        <v>0</v>
      </c>
      <c r="W20" s="771">
        <v>0</v>
      </c>
      <c r="X20" s="771">
        <v>101.16205235526972</v>
      </c>
      <c r="Z20" s="505" t="s">
        <v>172</v>
      </c>
      <c r="AA20" s="83" t="s">
        <v>112</v>
      </c>
      <c r="AB20" s="771">
        <v>3.1663226210266635</v>
      </c>
      <c r="AC20" s="771">
        <v>44.803062549559883</v>
      </c>
      <c r="AD20" s="771">
        <v>0</v>
      </c>
      <c r="AE20" s="771">
        <v>0</v>
      </c>
      <c r="AF20" s="771">
        <v>102.77926937979065</v>
      </c>
      <c r="AH20" s="505" t="s">
        <v>172</v>
      </c>
      <c r="AI20" s="83" t="s">
        <v>112</v>
      </c>
      <c r="AJ20" s="771">
        <v>3.1969296061806358</v>
      </c>
      <c r="AK20" s="771">
        <v>45.079105155332236</v>
      </c>
      <c r="AL20" s="771">
        <v>0</v>
      </c>
      <c r="AM20" s="771">
        <v>0</v>
      </c>
      <c r="AN20" s="771">
        <v>103.54579526448124</v>
      </c>
    </row>
    <row r="21" spans="2:40" x14ac:dyDescent="0.2">
      <c r="B21" s="505" t="str">
        <f t="shared" si="2"/>
        <v>F-40</v>
      </c>
      <c r="C21" s="83" t="s">
        <v>107</v>
      </c>
      <c r="D21" s="771">
        <f>INDEX(Tariff_HID_Tbl[],MATCH(HID_Tariffs[[#This Row],[Base Lamp]:[Base Lamp]],Tariff_HID_Tbl[[HID]:[HID]],0),MATCH(HID_Tariffs[[#Headers],[ENERGY]],Tariff_HID_Tbl[#Headers],0))</f>
        <v>3.0621988578067763</v>
      </c>
      <c r="E21" s="771">
        <f>INDEX(Tariff_HID_Tbl[],MATCH(HID_Tariffs[[#This Row],[Base Lamp]:[Base Lamp]],Tariff_HID_Tbl[[HID]:[HID]],0),MATCH(HID_Tariffs[[#Headers],[CLER]],Tariff_HID_Tbl[#Headers],0))</f>
        <v>43.863902749486321</v>
      </c>
      <c r="F21" s="771">
        <f>INDEX(Tariff_HID_Tbl[],MATCH(HID_Tariffs[[#This Row],[Base Lamp]:[Base Lamp]],Tariff_HID_Tbl[[HID]:[HID]],0),MATCH(HID_Tariffs[[#Headers],[PLC]],Tariff_HID_Tbl[#Headers],0))</f>
        <v>0</v>
      </c>
      <c r="G21" s="771">
        <f>INDEX(Tariff_HID_Tbl[],MATCH(HID_Tariffs[[#This Row],[Base Lamp]:[Base Lamp]],Tariff_HID_Tbl[[HID]:[HID]],0),MATCH(HID_Tariffs[[#Headers],[TFI]],Tariff_HID_Tbl[#Headers],0))</f>
        <v>0</v>
      </c>
      <c r="H21" s="771">
        <f>INDEX(Tariff_HID_Tbl[],MATCH(HID_Tariffs[[#This Row],[Base Lamp]:[Base Lamp]],Tariff_HID_Tbl[[HID]:[HID]],0),MATCH(HID_Tariffs[[#Headers],[SLUOS]],Tariff_HID_Tbl[#Headers],0))</f>
        <v>99.34120932738027</v>
      </c>
      <c r="J21" s="505" t="s">
        <v>172</v>
      </c>
      <c r="K21" s="774" t="s">
        <v>107</v>
      </c>
      <c r="L21" s="771">
        <v>3.0946062538521595</v>
      </c>
      <c r="M21" s="771">
        <v>44.1562065462129</v>
      </c>
      <c r="N21" s="771">
        <v>0</v>
      </c>
      <c r="O21" s="771">
        <v>0</v>
      </c>
      <c r="P21" s="771">
        <v>100.41449240537203</v>
      </c>
      <c r="R21" s="505" t="s">
        <v>172</v>
      </c>
      <c r="S21" s="83" t="s">
        <v>107</v>
      </c>
      <c r="T21" s="771">
        <v>3.1321148140898711</v>
      </c>
      <c r="U21" s="771">
        <v>44.494497561879065</v>
      </c>
      <c r="V21" s="771">
        <v>0</v>
      </c>
      <c r="W21" s="771">
        <v>0</v>
      </c>
      <c r="X21" s="771">
        <v>101.16205235526972</v>
      </c>
      <c r="Z21" s="505" t="s">
        <v>172</v>
      </c>
      <c r="AA21" s="83" t="s">
        <v>107</v>
      </c>
      <c r="AB21" s="771">
        <v>3.1663226210266635</v>
      </c>
      <c r="AC21" s="771">
        <v>44.803062549559883</v>
      </c>
      <c r="AD21" s="771">
        <v>0</v>
      </c>
      <c r="AE21" s="771">
        <v>0</v>
      </c>
      <c r="AF21" s="771">
        <v>102.77926937979065</v>
      </c>
      <c r="AH21" s="505" t="s">
        <v>172</v>
      </c>
      <c r="AI21" s="83" t="s">
        <v>107</v>
      </c>
      <c r="AJ21" s="771">
        <v>3.1969296061806358</v>
      </c>
      <c r="AK21" s="771">
        <v>45.079105155332236</v>
      </c>
      <c r="AL21" s="771">
        <v>0</v>
      </c>
      <c r="AM21" s="771">
        <v>0</v>
      </c>
      <c r="AN21" s="771">
        <v>103.54579526448124</v>
      </c>
    </row>
    <row r="22" spans="2:40" x14ac:dyDescent="0.2">
      <c r="B22" s="505" t="str">
        <f t="shared" si="2"/>
        <v>F-40</v>
      </c>
      <c r="C22" s="83" t="s">
        <v>203</v>
      </c>
      <c r="D22" s="771">
        <f>INDEX(Tariff_HID_Tbl[],MATCH(HID_Tariffs[[#This Row],[Base Lamp]:[Base Lamp]],Tariff_HID_Tbl[[HID]:[HID]],0),MATCH(HID_Tariffs[[#Headers],[ENERGY]],Tariff_HID_Tbl[#Headers],0))</f>
        <v>3.0621988578067763</v>
      </c>
      <c r="E22" s="771">
        <f>INDEX(Tariff_HID_Tbl[],MATCH(HID_Tariffs[[#This Row],[Base Lamp]:[Base Lamp]],Tariff_HID_Tbl[[HID]:[HID]],0),MATCH(HID_Tariffs[[#Headers],[CLER]],Tariff_HID_Tbl[#Headers],0))</f>
        <v>43.863902749486321</v>
      </c>
      <c r="F22" s="771">
        <f>INDEX(Tariff_HID_Tbl[],MATCH(HID_Tariffs[[#This Row],[Base Lamp]:[Base Lamp]],Tariff_HID_Tbl[[HID]:[HID]],0),MATCH(HID_Tariffs[[#Headers],[PLC]],Tariff_HID_Tbl[#Headers],0))</f>
        <v>0</v>
      </c>
      <c r="G22" s="771">
        <f>INDEX(Tariff_HID_Tbl[],MATCH(HID_Tariffs[[#This Row],[Base Lamp]:[Base Lamp]],Tariff_HID_Tbl[[HID]:[HID]],0),MATCH(HID_Tariffs[[#Headers],[TFI]],Tariff_HID_Tbl[#Headers],0))</f>
        <v>0</v>
      </c>
      <c r="H22" s="771">
        <f>INDEX(Tariff_HID_Tbl[],MATCH(HID_Tariffs[[#This Row],[Base Lamp]:[Base Lamp]],Tariff_HID_Tbl[[HID]:[HID]],0),MATCH(HID_Tariffs[[#Headers],[SLUOS]],Tariff_HID_Tbl[#Headers],0))</f>
        <v>99.34120932738027</v>
      </c>
      <c r="J22" s="505" t="s">
        <v>172</v>
      </c>
      <c r="K22" s="774" t="s">
        <v>203</v>
      </c>
      <c r="L22" s="771">
        <v>3.0946062538521595</v>
      </c>
      <c r="M22" s="771">
        <v>44.1562065462129</v>
      </c>
      <c r="N22" s="771">
        <v>0</v>
      </c>
      <c r="O22" s="771">
        <v>0</v>
      </c>
      <c r="P22" s="771">
        <v>100.41449240537203</v>
      </c>
      <c r="R22" s="505" t="s">
        <v>172</v>
      </c>
      <c r="S22" s="83" t="s">
        <v>203</v>
      </c>
      <c r="T22" s="771">
        <v>3.1321148140898711</v>
      </c>
      <c r="U22" s="771">
        <v>44.494497561879065</v>
      </c>
      <c r="V22" s="771">
        <v>0</v>
      </c>
      <c r="W22" s="771">
        <v>0</v>
      </c>
      <c r="X22" s="771">
        <v>101.16205235526972</v>
      </c>
      <c r="Z22" s="505" t="s">
        <v>172</v>
      </c>
      <c r="AA22" s="83" t="s">
        <v>203</v>
      </c>
      <c r="AB22" s="771">
        <v>3.1663226210266635</v>
      </c>
      <c r="AC22" s="771">
        <v>44.803062549559883</v>
      </c>
      <c r="AD22" s="771">
        <v>0</v>
      </c>
      <c r="AE22" s="771">
        <v>0</v>
      </c>
      <c r="AF22" s="771">
        <v>102.77926937979065</v>
      </c>
      <c r="AH22" s="505" t="s">
        <v>172</v>
      </c>
      <c r="AI22" s="83" t="s">
        <v>203</v>
      </c>
      <c r="AJ22" s="771">
        <v>3.1969296061806358</v>
      </c>
      <c r="AK22" s="771">
        <v>45.079105155332236</v>
      </c>
      <c r="AL22" s="771">
        <v>0</v>
      </c>
      <c r="AM22" s="771">
        <v>0</v>
      </c>
      <c r="AN22" s="771">
        <v>103.54579526448124</v>
      </c>
    </row>
    <row r="23" spans="2:40" x14ac:dyDescent="0.2">
      <c r="B23" s="505" t="str">
        <f t="shared" si="2"/>
        <v>F-40</v>
      </c>
      <c r="C23" s="83" t="s">
        <v>204</v>
      </c>
      <c r="D23" s="771">
        <f>INDEX(Tariff_HID_Tbl[],MATCH(HID_Tariffs[[#This Row],[Base Lamp]:[Base Lamp]],Tariff_HID_Tbl[[HID]:[HID]],0),MATCH(HID_Tariffs[[#Headers],[ENERGY]],Tariff_HID_Tbl[#Headers],0))</f>
        <v>3.0621988578067763</v>
      </c>
      <c r="E23" s="771">
        <f>INDEX(Tariff_HID_Tbl[],MATCH(HID_Tariffs[[#This Row],[Base Lamp]:[Base Lamp]],Tariff_HID_Tbl[[HID]:[HID]],0),MATCH(HID_Tariffs[[#Headers],[CLER]],Tariff_HID_Tbl[#Headers],0))</f>
        <v>43.863902749486321</v>
      </c>
      <c r="F23" s="771">
        <f>INDEX(Tariff_HID_Tbl[],MATCH(HID_Tariffs[[#This Row],[Base Lamp]:[Base Lamp]],Tariff_HID_Tbl[[HID]:[HID]],0),MATCH(HID_Tariffs[[#Headers],[PLC]],Tariff_HID_Tbl[#Headers],0))</f>
        <v>0</v>
      </c>
      <c r="G23" s="771">
        <f>INDEX(Tariff_HID_Tbl[],MATCH(HID_Tariffs[[#This Row],[Base Lamp]:[Base Lamp]],Tariff_HID_Tbl[[HID]:[HID]],0),MATCH(HID_Tariffs[[#Headers],[TFI]],Tariff_HID_Tbl[#Headers],0))</f>
        <v>0</v>
      </c>
      <c r="H23" s="771">
        <f>INDEX(Tariff_HID_Tbl[],MATCH(HID_Tariffs[[#This Row],[Base Lamp]:[Base Lamp]],Tariff_HID_Tbl[[HID]:[HID]],0),MATCH(HID_Tariffs[[#Headers],[SLUOS]],Tariff_HID_Tbl[#Headers],0))</f>
        <v>99.34120932738027</v>
      </c>
      <c r="J23" s="505" t="s">
        <v>172</v>
      </c>
      <c r="K23" s="774" t="s">
        <v>204</v>
      </c>
      <c r="L23" s="771">
        <v>3.0946062538521595</v>
      </c>
      <c r="M23" s="771">
        <v>44.1562065462129</v>
      </c>
      <c r="N23" s="771">
        <v>0</v>
      </c>
      <c r="O23" s="771">
        <v>0</v>
      </c>
      <c r="P23" s="771">
        <v>100.41449240537203</v>
      </c>
      <c r="R23" s="505" t="s">
        <v>172</v>
      </c>
      <c r="S23" s="83" t="s">
        <v>204</v>
      </c>
      <c r="T23" s="771">
        <v>3.1321148140898711</v>
      </c>
      <c r="U23" s="771">
        <v>44.494497561879065</v>
      </c>
      <c r="V23" s="771">
        <v>0</v>
      </c>
      <c r="W23" s="771">
        <v>0</v>
      </c>
      <c r="X23" s="771">
        <v>101.16205235526972</v>
      </c>
      <c r="Z23" s="505" t="s">
        <v>172</v>
      </c>
      <c r="AA23" s="83" t="s">
        <v>204</v>
      </c>
      <c r="AB23" s="771">
        <v>3.1663226210266635</v>
      </c>
      <c r="AC23" s="771">
        <v>44.803062549559883</v>
      </c>
      <c r="AD23" s="771">
        <v>0</v>
      </c>
      <c r="AE23" s="771">
        <v>0</v>
      </c>
      <c r="AF23" s="771">
        <v>102.77926937979065</v>
      </c>
      <c r="AH23" s="505" t="s">
        <v>172</v>
      </c>
      <c r="AI23" s="83" t="s">
        <v>204</v>
      </c>
      <c r="AJ23" s="771">
        <v>3.1969296061806358</v>
      </c>
      <c r="AK23" s="771">
        <v>45.079105155332236</v>
      </c>
      <c r="AL23" s="771">
        <v>0</v>
      </c>
      <c r="AM23" s="771">
        <v>0</v>
      </c>
      <c r="AN23" s="771">
        <v>103.54579526448124</v>
      </c>
    </row>
    <row r="24" spans="2:40" x14ac:dyDescent="0.2">
      <c r="B24" s="505" t="str">
        <f t="shared" si="2"/>
        <v>F-40</v>
      </c>
      <c r="C24" s="83" t="s">
        <v>73</v>
      </c>
      <c r="D24" s="771">
        <f>INDEX(Tariff_HID_Tbl[],MATCH(HID_Tariffs[[#This Row],[Base Lamp]:[Base Lamp]],Tariff_HID_Tbl[[HID]:[HID]],0),MATCH(HID_Tariffs[[#Headers],[ENERGY]],Tariff_HID_Tbl[#Headers],0))</f>
        <v>3.0621988578067763</v>
      </c>
      <c r="E24" s="771">
        <f>INDEX(Tariff_HID_Tbl[],MATCH(HID_Tariffs[[#This Row],[Base Lamp]:[Base Lamp]],Tariff_HID_Tbl[[HID]:[HID]],0),MATCH(HID_Tariffs[[#Headers],[CLER]],Tariff_HID_Tbl[#Headers],0))</f>
        <v>43.863902749486321</v>
      </c>
      <c r="F24" s="771">
        <f>INDEX(Tariff_HID_Tbl[],MATCH(HID_Tariffs[[#This Row],[Base Lamp]:[Base Lamp]],Tariff_HID_Tbl[[HID]:[HID]],0),MATCH(HID_Tariffs[[#Headers],[PLC]],Tariff_HID_Tbl[#Headers],0))</f>
        <v>0</v>
      </c>
      <c r="G24" s="771">
        <f>INDEX(Tariff_HID_Tbl[],MATCH(HID_Tariffs[[#This Row],[Base Lamp]:[Base Lamp]],Tariff_HID_Tbl[[HID]:[HID]],0),MATCH(HID_Tariffs[[#Headers],[TFI]],Tariff_HID_Tbl[#Headers],0))</f>
        <v>0</v>
      </c>
      <c r="H24" s="771">
        <f>INDEX(Tariff_HID_Tbl[],MATCH(HID_Tariffs[[#This Row],[Base Lamp]:[Base Lamp]],Tariff_HID_Tbl[[HID]:[HID]],0),MATCH(HID_Tariffs[[#Headers],[SLUOS]],Tariff_HID_Tbl[#Headers],0))</f>
        <v>99.34120932738027</v>
      </c>
      <c r="J24" s="505" t="s">
        <v>172</v>
      </c>
      <c r="K24" s="774" t="s">
        <v>73</v>
      </c>
      <c r="L24" s="771">
        <v>3.0946062538521595</v>
      </c>
      <c r="M24" s="771">
        <v>44.1562065462129</v>
      </c>
      <c r="N24" s="771">
        <v>0</v>
      </c>
      <c r="O24" s="771">
        <v>0</v>
      </c>
      <c r="P24" s="771">
        <v>100.41449240537203</v>
      </c>
      <c r="R24" s="505" t="s">
        <v>172</v>
      </c>
      <c r="S24" s="83" t="s">
        <v>73</v>
      </c>
      <c r="T24" s="771">
        <v>3.1321148140898711</v>
      </c>
      <c r="U24" s="771">
        <v>44.494497561879065</v>
      </c>
      <c r="V24" s="771">
        <v>0</v>
      </c>
      <c r="W24" s="771">
        <v>0</v>
      </c>
      <c r="X24" s="771">
        <v>101.16205235526972</v>
      </c>
      <c r="Z24" s="505" t="s">
        <v>172</v>
      </c>
      <c r="AA24" s="83" t="s">
        <v>73</v>
      </c>
      <c r="AB24" s="771">
        <v>3.1663226210266635</v>
      </c>
      <c r="AC24" s="771">
        <v>44.803062549559883</v>
      </c>
      <c r="AD24" s="771">
        <v>0</v>
      </c>
      <c r="AE24" s="771">
        <v>0</v>
      </c>
      <c r="AF24" s="771">
        <v>102.77926937979065</v>
      </c>
      <c r="AH24" s="505" t="s">
        <v>172</v>
      </c>
      <c r="AI24" s="83" t="s">
        <v>73</v>
      </c>
      <c r="AJ24" s="771">
        <v>3.1969296061806358</v>
      </c>
      <c r="AK24" s="771">
        <v>45.079105155332236</v>
      </c>
      <c r="AL24" s="771">
        <v>0</v>
      </c>
      <c r="AM24" s="771">
        <v>0</v>
      </c>
      <c r="AN24" s="771">
        <v>103.54579526448124</v>
      </c>
    </row>
    <row r="25" spans="2:40" x14ac:dyDescent="0.2">
      <c r="B25" s="505" t="str">
        <f t="shared" ref="B25:B30" si="3">$B$18</f>
        <v>F-40</v>
      </c>
      <c r="C25" s="386" t="s">
        <v>106</v>
      </c>
      <c r="D25" s="771">
        <f>INDEX(Tariff_HID_Tbl[],MATCH(HID_Tariffs[[#This Row],[Base Lamp]:[Base Lamp]],Tariff_HID_Tbl[[HID]:[HID]],0),MATCH(HID_Tariffs[[#Headers],[ENERGY]],Tariff_HID_Tbl[#Headers],0))</f>
        <v>3.0621988578067763</v>
      </c>
      <c r="E25" s="771">
        <f>INDEX(Tariff_HID_Tbl[],MATCH(HID_Tariffs[[#This Row],[Base Lamp]:[Base Lamp]],Tariff_HID_Tbl[[HID]:[HID]],0),MATCH(HID_Tariffs[[#Headers],[CLER]],Tariff_HID_Tbl[#Headers],0))</f>
        <v>43.863902749486321</v>
      </c>
      <c r="F25" s="771">
        <f>INDEX(Tariff_HID_Tbl[],MATCH(HID_Tariffs[[#This Row],[Base Lamp]:[Base Lamp]],Tariff_HID_Tbl[[HID]:[HID]],0),MATCH(HID_Tariffs[[#Headers],[PLC]],Tariff_HID_Tbl[#Headers],0))</f>
        <v>0</v>
      </c>
      <c r="G25" s="771">
        <f>INDEX(Tariff_HID_Tbl[],MATCH(HID_Tariffs[[#This Row],[Base Lamp]:[Base Lamp]],Tariff_HID_Tbl[[HID]:[HID]],0),MATCH(HID_Tariffs[[#Headers],[TFI]],Tariff_HID_Tbl[#Headers],0))</f>
        <v>0</v>
      </c>
      <c r="H25" s="771">
        <f>INDEX(Tariff_HID_Tbl[],MATCH(HID_Tariffs[[#This Row],[Base Lamp]:[Base Lamp]],Tariff_HID_Tbl[[HID]:[HID]],0),MATCH(HID_Tariffs[[#Headers],[SLUOS]],Tariff_HID_Tbl[#Headers],0))</f>
        <v>99.34120932738027</v>
      </c>
      <c r="J25" s="505" t="s">
        <v>172</v>
      </c>
      <c r="K25" s="773" t="s">
        <v>106</v>
      </c>
      <c r="L25" s="771">
        <v>3.0946062538521595</v>
      </c>
      <c r="M25" s="771">
        <v>44.1562065462129</v>
      </c>
      <c r="N25" s="771">
        <v>0</v>
      </c>
      <c r="O25" s="771">
        <v>0</v>
      </c>
      <c r="P25" s="771">
        <v>100.41449240537203</v>
      </c>
      <c r="R25" s="505" t="s">
        <v>172</v>
      </c>
      <c r="S25" s="558" t="s">
        <v>106</v>
      </c>
      <c r="T25" s="771">
        <v>3.1321148140898711</v>
      </c>
      <c r="U25" s="771">
        <v>44.494497561879065</v>
      </c>
      <c r="V25" s="771">
        <v>0</v>
      </c>
      <c r="W25" s="771">
        <v>0</v>
      </c>
      <c r="X25" s="771">
        <v>101.16205235526972</v>
      </c>
      <c r="Z25" s="505" t="s">
        <v>172</v>
      </c>
      <c r="AA25" s="558" t="s">
        <v>106</v>
      </c>
      <c r="AB25" s="771">
        <v>3.1663226210266635</v>
      </c>
      <c r="AC25" s="771">
        <v>44.803062549559883</v>
      </c>
      <c r="AD25" s="771">
        <v>0</v>
      </c>
      <c r="AE25" s="771">
        <v>0</v>
      </c>
      <c r="AF25" s="771">
        <v>102.77926937979065</v>
      </c>
      <c r="AH25" s="505" t="s">
        <v>172</v>
      </c>
      <c r="AI25" s="558" t="s">
        <v>106</v>
      </c>
      <c r="AJ25" s="771">
        <v>3.1969296061806358</v>
      </c>
      <c r="AK25" s="771">
        <v>45.079105155332236</v>
      </c>
      <c r="AL25" s="771">
        <v>0</v>
      </c>
      <c r="AM25" s="771">
        <v>0</v>
      </c>
      <c r="AN25" s="771">
        <v>103.54579526448124</v>
      </c>
    </row>
    <row r="26" spans="2:40" x14ac:dyDescent="0.2">
      <c r="B26" s="505" t="str">
        <f t="shared" si="3"/>
        <v>F-40</v>
      </c>
      <c r="C26" s="386" t="s">
        <v>483</v>
      </c>
      <c r="D26" s="771">
        <f>INDEX(Tariff_HID_Tbl[],MATCH(HID_Tariffs[[#This Row],[Base Lamp]:[Base Lamp]],Tariff_HID_Tbl[[HID]:[HID]],0),MATCH(HID_Tariffs[[#Headers],[ENERGY]],Tariff_HID_Tbl[#Headers],0))</f>
        <v>3.0621988578067763</v>
      </c>
      <c r="E26" s="771">
        <f>INDEX(Tariff_HID_Tbl[],MATCH(HID_Tariffs[[#This Row],[Base Lamp]:[Base Lamp]],Tariff_HID_Tbl[[HID]:[HID]],0),MATCH(HID_Tariffs[[#Headers],[CLER]],Tariff_HID_Tbl[#Headers],0))</f>
        <v>43.863902749486321</v>
      </c>
      <c r="F26" s="771">
        <f>INDEX(Tariff_HID_Tbl[],MATCH(HID_Tariffs[[#This Row],[Base Lamp]:[Base Lamp]],Tariff_HID_Tbl[[HID]:[HID]],0),MATCH(HID_Tariffs[[#Headers],[PLC]],Tariff_HID_Tbl[#Headers],0))</f>
        <v>0</v>
      </c>
      <c r="G26" s="771">
        <f>INDEX(Tariff_HID_Tbl[],MATCH(HID_Tariffs[[#This Row],[Base Lamp]:[Base Lamp]],Tariff_HID_Tbl[[HID]:[HID]],0),MATCH(HID_Tariffs[[#Headers],[TFI]],Tariff_HID_Tbl[#Headers],0))</f>
        <v>0</v>
      </c>
      <c r="H26" s="771">
        <f>INDEX(Tariff_HID_Tbl[],MATCH(HID_Tariffs[[#This Row],[Base Lamp]:[Base Lamp]],Tariff_HID_Tbl[[HID]:[HID]],0),MATCH(HID_Tariffs[[#Headers],[SLUOS]],Tariff_HID_Tbl[#Headers],0))</f>
        <v>99.34120932738027</v>
      </c>
      <c r="J26" s="505" t="s">
        <v>172</v>
      </c>
      <c r="K26" s="773" t="s">
        <v>483</v>
      </c>
      <c r="L26" s="771">
        <v>3.0946062538521595</v>
      </c>
      <c r="M26" s="771">
        <v>44.1562065462129</v>
      </c>
      <c r="N26" s="771">
        <v>0</v>
      </c>
      <c r="O26" s="771">
        <v>0</v>
      </c>
      <c r="P26" s="771">
        <v>100.41449240537203</v>
      </c>
      <c r="R26" s="505" t="s">
        <v>172</v>
      </c>
      <c r="S26" s="558" t="s">
        <v>483</v>
      </c>
      <c r="T26" s="771">
        <v>3.1321148140898711</v>
      </c>
      <c r="U26" s="771">
        <v>44.494497561879065</v>
      </c>
      <c r="V26" s="771">
        <v>0</v>
      </c>
      <c r="W26" s="771">
        <v>0</v>
      </c>
      <c r="X26" s="771">
        <v>101.16205235526972</v>
      </c>
      <c r="Z26" s="505" t="s">
        <v>172</v>
      </c>
      <c r="AA26" s="558" t="s">
        <v>483</v>
      </c>
      <c r="AB26" s="771">
        <v>3.1663226210266635</v>
      </c>
      <c r="AC26" s="771">
        <v>44.803062549559883</v>
      </c>
      <c r="AD26" s="771">
        <v>0</v>
      </c>
      <c r="AE26" s="771">
        <v>0</v>
      </c>
      <c r="AF26" s="771">
        <v>102.77926937979065</v>
      </c>
      <c r="AH26" s="505" t="s">
        <v>172</v>
      </c>
      <c r="AI26" s="558" t="s">
        <v>483</v>
      </c>
      <c r="AJ26" s="771">
        <v>3.1969296061806358</v>
      </c>
      <c r="AK26" s="771">
        <v>45.079105155332236</v>
      </c>
      <c r="AL26" s="771">
        <v>0</v>
      </c>
      <c r="AM26" s="771">
        <v>0</v>
      </c>
      <c r="AN26" s="771">
        <v>103.54579526448124</v>
      </c>
    </row>
    <row r="27" spans="2:40" x14ac:dyDescent="0.2">
      <c r="B27" s="505" t="str">
        <f t="shared" si="3"/>
        <v>F-40</v>
      </c>
      <c r="C27" s="386" t="s">
        <v>110</v>
      </c>
      <c r="D27" s="771">
        <f>INDEX(Tariff_HID_Tbl[],MATCH(HID_Tariffs[[#This Row],[Base Lamp]:[Base Lamp]],Tariff_HID_Tbl[[HID]:[HID]],0),MATCH(HID_Tariffs[[#Headers],[ENERGY]],Tariff_HID_Tbl[#Headers],0))</f>
        <v>3.0621988578067763</v>
      </c>
      <c r="E27" s="771">
        <f>INDEX(Tariff_HID_Tbl[],MATCH(HID_Tariffs[[#This Row],[Base Lamp]:[Base Lamp]],Tariff_HID_Tbl[[HID]:[HID]],0),MATCH(HID_Tariffs[[#Headers],[CLER]],Tariff_HID_Tbl[#Headers],0))</f>
        <v>43.863902749486321</v>
      </c>
      <c r="F27" s="771">
        <f>INDEX(Tariff_HID_Tbl[],MATCH(HID_Tariffs[[#This Row],[Base Lamp]:[Base Lamp]],Tariff_HID_Tbl[[HID]:[HID]],0),MATCH(HID_Tariffs[[#Headers],[PLC]],Tariff_HID_Tbl[#Headers],0))</f>
        <v>0</v>
      </c>
      <c r="G27" s="771">
        <f>INDEX(Tariff_HID_Tbl[],MATCH(HID_Tariffs[[#This Row],[Base Lamp]:[Base Lamp]],Tariff_HID_Tbl[[HID]:[HID]],0),MATCH(HID_Tariffs[[#Headers],[TFI]],Tariff_HID_Tbl[#Headers],0))</f>
        <v>0</v>
      </c>
      <c r="H27" s="771">
        <f>INDEX(Tariff_HID_Tbl[],MATCH(HID_Tariffs[[#This Row],[Base Lamp]:[Base Lamp]],Tariff_HID_Tbl[[HID]:[HID]],0),MATCH(HID_Tariffs[[#Headers],[SLUOS]],Tariff_HID_Tbl[#Headers],0))</f>
        <v>99.34120932738027</v>
      </c>
      <c r="J27" s="505" t="s">
        <v>172</v>
      </c>
      <c r="K27" s="773" t="s">
        <v>110</v>
      </c>
      <c r="L27" s="771">
        <v>3.0946062538521595</v>
      </c>
      <c r="M27" s="771">
        <v>44.1562065462129</v>
      </c>
      <c r="N27" s="771">
        <v>0</v>
      </c>
      <c r="O27" s="771">
        <v>0</v>
      </c>
      <c r="P27" s="771">
        <v>100.41449240537203</v>
      </c>
      <c r="R27" s="505" t="s">
        <v>172</v>
      </c>
      <c r="S27" s="558" t="s">
        <v>110</v>
      </c>
      <c r="T27" s="771">
        <v>3.1321148140898711</v>
      </c>
      <c r="U27" s="771">
        <v>44.494497561879065</v>
      </c>
      <c r="V27" s="771">
        <v>0</v>
      </c>
      <c r="W27" s="771">
        <v>0</v>
      </c>
      <c r="X27" s="771">
        <v>101.16205235526972</v>
      </c>
      <c r="Z27" s="505" t="s">
        <v>172</v>
      </c>
      <c r="AA27" s="558" t="s">
        <v>110</v>
      </c>
      <c r="AB27" s="771">
        <v>3.1663226210266635</v>
      </c>
      <c r="AC27" s="771">
        <v>44.803062549559883</v>
      </c>
      <c r="AD27" s="771">
        <v>0</v>
      </c>
      <c r="AE27" s="771">
        <v>0</v>
      </c>
      <c r="AF27" s="771">
        <v>102.77926937979065</v>
      </c>
      <c r="AH27" s="505" t="s">
        <v>172</v>
      </c>
      <c r="AI27" s="558" t="s">
        <v>110</v>
      </c>
      <c r="AJ27" s="771">
        <v>3.1969296061806358</v>
      </c>
      <c r="AK27" s="771">
        <v>45.079105155332236</v>
      </c>
      <c r="AL27" s="771">
        <v>0</v>
      </c>
      <c r="AM27" s="771">
        <v>0</v>
      </c>
      <c r="AN27" s="771">
        <v>103.54579526448124</v>
      </c>
    </row>
    <row r="28" spans="2:40" x14ac:dyDescent="0.2">
      <c r="B28" s="505" t="str">
        <f t="shared" si="3"/>
        <v>F-40</v>
      </c>
      <c r="C28" s="386" t="s">
        <v>206</v>
      </c>
      <c r="D28" s="771">
        <f>INDEX(Tariff_HID_Tbl[],MATCH(HID_Tariffs[[#This Row],[Base Lamp]:[Base Lamp]],Tariff_HID_Tbl[[HID]:[HID]],0),MATCH(HID_Tariffs[[#Headers],[ENERGY]],Tariff_HID_Tbl[#Headers],0))</f>
        <v>3.0621988578067763</v>
      </c>
      <c r="E28" s="771">
        <f>INDEX(Tariff_HID_Tbl[],MATCH(HID_Tariffs[[#This Row],[Base Lamp]:[Base Lamp]],Tariff_HID_Tbl[[HID]:[HID]],0),MATCH(HID_Tariffs[[#Headers],[CLER]],Tariff_HID_Tbl[#Headers],0))</f>
        <v>43.863902749486321</v>
      </c>
      <c r="F28" s="771">
        <f>INDEX(Tariff_HID_Tbl[],MATCH(HID_Tariffs[[#This Row],[Base Lamp]:[Base Lamp]],Tariff_HID_Tbl[[HID]:[HID]],0),MATCH(HID_Tariffs[[#Headers],[PLC]],Tariff_HID_Tbl[#Headers],0))</f>
        <v>0</v>
      </c>
      <c r="G28" s="771">
        <f>INDEX(Tariff_HID_Tbl[],MATCH(HID_Tariffs[[#This Row],[Base Lamp]:[Base Lamp]],Tariff_HID_Tbl[[HID]:[HID]],0),MATCH(HID_Tariffs[[#Headers],[TFI]],Tariff_HID_Tbl[#Headers],0))</f>
        <v>0</v>
      </c>
      <c r="H28" s="771">
        <f>INDEX(Tariff_HID_Tbl[],MATCH(HID_Tariffs[[#This Row],[Base Lamp]:[Base Lamp]],Tariff_HID_Tbl[[HID]:[HID]],0),MATCH(HID_Tariffs[[#Headers],[SLUOS]],Tariff_HID_Tbl[#Headers],0))</f>
        <v>99.34120932738027</v>
      </c>
      <c r="J28" s="505" t="s">
        <v>172</v>
      </c>
      <c r="K28" s="773" t="s">
        <v>206</v>
      </c>
      <c r="L28" s="771">
        <v>3.0946062538521595</v>
      </c>
      <c r="M28" s="771">
        <v>44.1562065462129</v>
      </c>
      <c r="N28" s="771">
        <v>0</v>
      </c>
      <c r="O28" s="771">
        <v>0</v>
      </c>
      <c r="P28" s="771">
        <v>100.41449240537203</v>
      </c>
      <c r="R28" s="505" t="s">
        <v>172</v>
      </c>
      <c r="S28" s="558" t="s">
        <v>206</v>
      </c>
      <c r="T28" s="771">
        <v>3.1321148140898711</v>
      </c>
      <c r="U28" s="771">
        <v>44.494497561879065</v>
      </c>
      <c r="V28" s="771">
        <v>0</v>
      </c>
      <c r="W28" s="771">
        <v>0</v>
      </c>
      <c r="X28" s="771">
        <v>101.16205235526972</v>
      </c>
      <c r="Z28" s="505" t="s">
        <v>172</v>
      </c>
      <c r="AA28" s="558" t="s">
        <v>206</v>
      </c>
      <c r="AB28" s="771">
        <v>3.1663226210266635</v>
      </c>
      <c r="AC28" s="771">
        <v>44.803062549559883</v>
      </c>
      <c r="AD28" s="771">
        <v>0</v>
      </c>
      <c r="AE28" s="771">
        <v>0</v>
      </c>
      <c r="AF28" s="771">
        <v>102.77926937979065</v>
      </c>
      <c r="AH28" s="505" t="s">
        <v>172</v>
      </c>
      <c r="AI28" s="558" t="s">
        <v>206</v>
      </c>
      <c r="AJ28" s="771">
        <v>3.1969296061806358</v>
      </c>
      <c r="AK28" s="771">
        <v>45.079105155332236</v>
      </c>
      <c r="AL28" s="771">
        <v>0</v>
      </c>
      <c r="AM28" s="771">
        <v>0</v>
      </c>
      <c r="AN28" s="771">
        <v>103.54579526448124</v>
      </c>
    </row>
    <row r="29" spans="2:40" x14ac:dyDescent="0.2">
      <c r="B29" s="505" t="str">
        <f t="shared" si="3"/>
        <v>F-40</v>
      </c>
      <c r="C29" s="386" t="s">
        <v>135</v>
      </c>
      <c r="D29" s="771">
        <f>INDEX(Tariff_HID_Tbl[],MATCH(HID_Tariffs[[#This Row],[Base Lamp]:[Base Lamp]],Tariff_HID_Tbl[[HID]:[HID]],0),MATCH(HID_Tariffs[[#Headers],[ENERGY]],Tariff_HID_Tbl[#Headers],0))</f>
        <v>3.0621988578067763</v>
      </c>
      <c r="E29" s="771">
        <f>INDEX(Tariff_HID_Tbl[],MATCH(HID_Tariffs[[#This Row],[Base Lamp]:[Base Lamp]],Tariff_HID_Tbl[[HID]:[HID]],0),MATCH(HID_Tariffs[[#Headers],[CLER]],Tariff_HID_Tbl[#Headers],0))</f>
        <v>43.863902749486321</v>
      </c>
      <c r="F29" s="771">
        <f>INDEX(Tariff_HID_Tbl[],MATCH(HID_Tariffs[[#This Row],[Base Lamp]:[Base Lamp]],Tariff_HID_Tbl[[HID]:[HID]],0),MATCH(HID_Tariffs[[#Headers],[PLC]],Tariff_HID_Tbl[#Headers],0))</f>
        <v>0</v>
      </c>
      <c r="G29" s="771">
        <f>INDEX(Tariff_HID_Tbl[],MATCH(HID_Tariffs[[#This Row],[Base Lamp]:[Base Lamp]],Tariff_HID_Tbl[[HID]:[HID]],0),MATCH(HID_Tariffs[[#Headers],[TFI]],Tariff_HID_Tbl[#Headers],0))</f>
        <v>0</v>
      </c>
      <c r="H29" s="771">
        <f>INDEX(Tariff_HID_Tbl[],MATCH(HID_Tariffs[[#This Row],[Base Lamp]:[Base Lamp]],Tariff_HID_Tbl[[HID]:[HID]],0),MATCH(HID_Tariffs[[#Headers],[SLUOS]],Tariff_HID_Tbl[#Headers],0))</f>
        <v>99.34120932738027</v>
      </c>
      <c r="J29" s="505" t="s">
        <v>172</v>
      </c>
      <c r="K29" s="773" t="s">
        <v>135</v>
      </c>
      <c r="L29" s="771">
        <v>3.0946062538521595</v>
      </c>
      <c r="M29" s="771">
        <v>44.1562065462129</v>
      </c>
      <c r="N29" s="771">
        <v>0</v>
      </c>
      <c r="O29" s="771">
        <v>0</v>
      </c>
      <c r="P29" s="771">
        <v>100.41449240537203</v>
      </c>
      <c r="R29" s="505" t="s">
        <v>172</v>
      </c>
      <c r="S29" s="558" t="s">
        <v>135</v>
      </c>
      <c r="T29" s="771">
        <v>3.1321148140898711</v>
      </c>
      <c r="U29" s="771">
        <v>44.494497561879065</v>
      </c>
      <c r="V29" s="771">
        <v>0</v>
      </c>
      <c r="W29" s="771">
        <v>0</v>
      </c>
      <c r="X29" s="771">
        <v>101.16205235526972</v>
      </c>
      <c r="Z29" s="505" t="s">
        <v>172</v>
      </c>
      <c r="AA29" s="558" t="s">
        <v>135</v>
      </c>
      <c r="AB29" s="771">
        <v>3.1663226210266635</v>
      </c>
      <c r="AC29" s="771">
        <v>44.803062549559883</v>
      </c>
      <c r="AD29" s="771">
        <v>0</v>
      </c>
      <c r="AE29" s="771">
        <v>0</v>
      </c>
      <c r="AF29" s="771">
        <v>102.77926937979065</v>
      </c>
      <c r="AH29" s="505" t="s">
        <v>172</v>
      </c>
      <c r="AI29" s="558" t="s">
        <v>135</v>
      </c>
      <c r="AJ29" s="771">
        <v>3.1969296061806358</v>
      </c>
      <c r="AK29" s="771">
        <v>45.079105155332236</v>
      </c>
      <c r="AL29" s="771">
        <v>0</v>
      </c>
      <c r="AM29" s="771">
        <v>0</v>
      </c>
      <c r="AN29" s="771">
        <v>103.54579526448124</v>
      </c>
    </row>
    <row r="30" spans="2:40" x14ac:dyDescent="0.2">
      <c r="B30" s="505" t="str">
        <f t="shared" si="3"/>
        <v>F-40</v>
      </c>
      <c r="C30" s="386" t="s">
        <v>140</v>
      </c>
      <c r="D30" s="771">
        <f>INDEX(Tariff_HID_Tbl[],MATCH(HID_Tariffs[[#This Row],[Base Lamp]:[Base Lamp]],Tariff_HID_Tbl[[HID]:[HID]],0),MATCH(HID_Tariffs[[#Headers],[ENERGY]],Tariff_HID_Tbl[#Headers],0))</f>
        <v>3.0621988578067763</v>
      </c>
      <c r="E30" s="771">
        <f>INDEX(Tariff_HID_Tbl[],MATCH(HID_Tariffs[[#This Row],[Base Lamp]:[Base Lamp]],Tariff_HID_Tbl[[HID]:[HID]],0),MATCH(HID_Tariffs[[#Headers],[CLER]],Tariff_HID_Tbl[#Headers],0))</f>
        <v>43.863902749486321</v>
      </c>
      <c r="F30" s="771">
        <f>INDEX(Tariff_HID_Tbl[],MATCH(HID_Tariffs[[#This Row],[Base Lamp]:[Base Lamp]],Tariff_HID_Tbl[[HID]:[HID]],0),MATCH(HID_Tariffs[[#Headers],[PLC]],Tariff_HID_Tbl[#Headers],0))</f>
        <v>0</v>
      </c>
      <c r="G30" s="771">
        <f>INDEX(Tariff_HID_Tbl[],MATCH(HID_Tariffs[[#This Row],[Base Lamp]:[Base Lamp]],Tariff_HID_Tbl[[HID]:[HID]],0),MATCH(HID_Tariffs[[#Headers],[TFI]],Tariff_HID_Tbl[#Headers],0))</f>
        <v>0</v>
      </c>
      <c r="H30" s="771">
        <f>INDEX(Tariff_HID_Tbl[],MATCH(HID_Tariffs[[#This Row],[Base Lamp]:[Base Lamp]],Tariff_HID_Tbl[[HID]:[HID]],0),MATCH(HID_Tariffs[[#Headers],[SLUOS]],Tariff_HID_Tbl[#Headers],0))</f>
        <v>99.34120932738027</v>
      </c>
      <c r="J30" s="505" t="s">
        <v>172</v>
      </c>
      <c r="K30" s="773" t="s">
        <v>140</v>
      </c>
      <c r="L30" s="771">
        <v>3.0946062538521595</v>
      </c>
      <c r="M30" s="771">
        <v>44.1562065462129</v>
      </c>
      <c r="N30" s="771">
        <v>0</v>
      </c>
      <c r="O30" s="771">
        <v>0</v>
      </c>
      <c r="P30" s="771">
        <v>100.41449240537203</v>
      </c>
      <c r="R30" s="505" t="s">
        <v>172</v>
      </c>
      <c r="S30" s="558" t="s">
        <v>140</v>
      </c>
      <c r="T30" s="771">
        <v>3.1321148140898711</v>
      </c>
      <c r="U30" s="771">
        <v>44.494497561879065</v>
      </c>
      <c r="V30" s="771">
        <v>0</v>
      </c>
      <c r="W30" s="771">
        <v>0</v>
      </c>
      <c r="X30" s="771">
        <v>101.16205235526972</v>
      </c>
      <c r="Z30" s="505" t="s">
        <v>172</v>
      </c>
      <c r="AA30" s="558" t="s">
        <v>140</v>
      </c>
      <c r="AB30" s="771">
        <v>3.1663226210266635</v>
      </c>
      <c r="AC30" s="771">
        <v>44.803062549559883</v>
      </c>
      <c r="AD30" s="771">
        <v>0</v>
      </c>
      <c r="AE30" s="771">
        <v>0</v>
      </c>
      <c r="AF30" s="771">
        <v>102.77926937979065</v>
      </c>
      <c r="AH30" s="505" t="s">
        <v>172</v>
      </c>
      <c r="AI30" s="558" t="s">
        <v>140</v>
      </c>
      <c r="AJ30" s="771">
        <v>3.1969296061806358</v>
      </c>
      <c r="AK30" s="771">
        <v>45.079105155332236</v>
      </c>
      <c r="AL30" s="771">
        <v>0</v>
      </c>
      <c r="AM30" s="771">
        <v>0</v>
      </c>
      <c r="AN30" s="771">
        <v>103.54579526448124</v>
      </c>
    </row>
    <row r="31" spans="2:40" x14ac:dyDescent="0.2">
      <c r="B31" s="505"/>
      <c r="C31" s="386"/>
      <c r="D31" s="771"/>
      <c r="E31" s="771"/>
      <c r="F31" s="771"/>
      <c r="G31" s="771"/>
      <c r="H31" s="771"/>
      <c r="J31" s="505"/>
      <c r="K31" s="773"/>
      <c r="L31" s="771"/>
      <c r="M31" s="771"/>
      <c r="N31" s="771"/>
      <c r="O31" s="771"/>
      <c r="P31" s="771"/>
      <c r="R31" s="505"/>
      <c r="T31" s="771"/>
      <c r="U31" s="771"/>
      <c r="V31" s="771"/>
      <c r="W31" s="771"/>
      <c r="X31" s="771"/>
      <c r="Z31" s="505"/>
      <c r="AB31" s="771"/>
      <c r="AC31" s="771"/>
      <c r="AD31" s="771"/>
      <c r="AE31" s="771"/>
      <c r="AF31" s="771"/>
      <c r="AH31" s="505"/>
      <c r="AJ31" s="771"/>
      <c r="AK31" s="771"/>
      <c r="AL31" s="771"/>
      <c r="AM31" s="771"/>
      <c r="AN31" s="771"/>
    </row>
    <row r="32" spans="2:40" x14ac:dyDescent="0.2">
      <c r="B32" s="505" t="s">
        <v>173</v>
      </c>
      <c r="C32" s="386"/>
      <c r="D32" s="771">
        <f>INDEX(Tariff_HID_Tbl[],MATCH(HID_Tariffs[[#This Row],[Base Lamp]:[Base Lamp]],Tariff_HID_Tbl[[HID]:[HID]],0),MATCH(HID_Tariffs[[#Headers],[ENERGY]],Tariff_HID_Tbl[#Headers],0))</f>
        <v>3.0621988578067763</v>
      </c>
      <c r="E32" s="771">
        <f>INDEX(Tariff_HID_Tbl[],MATCH(HID_Tariffs[[#This Row],[Base Lamp]:[Base Lamp]],Tariff_HID_Tbl[[HID]:[HID]],0),MATCH(HID_Tariffs[[#Headers],[CLER]],Tariff_HID_Tbl[#Headers],0))</f>
        <v>39.02666873760554</v>
      </c>
      <c r="F32" s="771">
        <f>INDEX(Tariff_HID_Tbl[],MATCH(HID_Tariffs[[#This Row],[Base Lamp]:[Base Lamp]],Tariff_HID_Tbl[[HID]:[HID]],0),MATCH(HID_Tariffs[[#Headers],[PLC]],Tariff_HID_Tbl[#Headers],0))</f>
        <v>0</v>
      </c>
      <c r="G32" s="771">
        <f>INDEX(Tariff_HID_Tbl[],MATCH(HID_Tariffs[[#This Row],[Base Lamp]:[Base Lamp]],Tariff_HID_Tbl[[HID]:[HID]],0),MATCH(HID_Tariffs[[#Headers],[TFI]],Tariff_HID_Tbl[#Headers],0))</f>
        <v>0</v>
      </c>
      <c r="H32" s="771">
        <f>INDEX(Tariff_HID_Tbl[],MATCH(HID_Tariffs[[#This Row],[Base Lamp]:[Base Lamp]],Tariff_HID_Tbl[[HID]:[HID]],0),MATCH(HID_Tariffs[[#Headers],[SLUOS]],Tariff_HID_Tbl[#Headers],0))</f>
        <v>75.420279042132918</v>
      </c>
      <c r="J32" s="505" t="s">
        <v>173</v>
      </c>
      <c r="K32" s="773"/>
      <c r="L32" s="771">
        <v>3.0946062538521595</v>
      </c>
      <c r="M32" s="771">
        <v>39.28815901050406</v>
      </c>
      <c r="N32" s="771">
        <v>0</v>
      </c>
      <c r="O32" s="771">
        <v>0</v>
      </c>
      <c r="P32" s="771">
        <v>76.343619059271518</v>
      </c>
      <c r="R32" s="505" t="s">
        <v>173</v>
      </c>
      <c r="T32" s="771">
        <v>3.1321148140898711</v>
      </c>
      <c r="U32" s="771">
        <v>39.590805349312596</v>
      </c>
      <c r="V32" s="771">
        <v>0</v>
      </c>
      <c r="W32" s="771">
        <v>0</v>
      </c>
      <c r="X32" s="771">
        <v>76.917651812346605</v>
      </c>
      <c r="Z32" s="505" t="s">
        <v>173</v>
      </c>
      <c r="AB32" s="771">
        <v>3.1663226210266635</v>
      </c>
      <c r="AC32" s="771">
        <v>39.866822484382332</v>
      </c>
      <c r="AD32" s="771">
        <v>0</v>
      </c>
      <c r="AE32" s="771">
        <v>0</v>
      </c>
      <c r="AF32" s="771">
        <v>77.995593141720533</v>
      </c>
      <c r="AH32" s="505" t="s">
        <v>173</v>
      </c>
      <c r="AJ32" s="771">
        <v>3.1969296061806358</v>
      </c>
      <c r="AK32" s="771">
        <v>40.113782518201248</v>
      </c>
      <c r="AL32" s="771">
        <v>0</v>
      </c>
      <c r="AM32" s="771">
        <v>0</v>
      </c>
      <c r="AN32" s="771">
        <v>78.620524115674826</v>
      </c>
    </row>
    <row r="33" spans="2:40" x14ac:dyDescent="0.2">
      <c r="B33" s="505" t="str">
        <f>$B$32</f>
        <v>MV-80</v>
      </c>
      <c r="C33" s="386" t="s">
        <v>88</v>
      </c>
      <c r="D33" s="771">
        <f>INDEX(Tariff_HID_Tbl[],MATCH(HID_Tariffs[[#This Row],[Base Lamp]:[Base Lamp]],Tariff_HID_Tbl[[HID]:[HID]],0),MATCH(HID_Tariffs[[#Headers],[ENERGY]],Tariff_HID_Tbl[#Headers],0))</f>
        <v>3.0621988578067763</v>
      </c>
      <c r="E33" s="771">
        <f>INDEX(Tariff_HID_Tbl[],MATCH(HID_Tariffs[[#This Row],[Base Lamp]:[Base Lamp]],Tariff_HID_Tbl[[HID]:[HID]],0),MATCH(HID_Tariffs[[#Headers],[CLER]],Tariff_HID_Tbl[#Headers],0))</f>
        <v>39.02666873760554</v>
      </c>
      <c r="F33" s="771">
        <f>INDEX(Tariff_HID_Tbl[],MATCH(HID_Tariffs[[#This Row],[Base Lamp]:[Base Lamp]],Tariff_HID_Tbl[[HID]:[HID]],0),MATCH(HID_Tariffs[[#Headers],[PLC]],Tariff_HID_Tbl[#Headers],0))</f>
        <v>0</v>
      </c>
      <c r="G33" s="771">
        <f>INDEX(Tariff_HID_Tbl[],MATCH(HID_Tariffs[[#This Row],[Base Lamp]:[Base Lamp]],Tariff_HID_Tbl[[HID]:[HID]],0),MATCH(HID_Tariffs[[#Headers],[TFI]],Tariff_HID_Tbl[#Headers],0))</f>
        <v>0</v>
      </c>
      <c r="H33" s="771">
        <f>INDEX(Tariff_HID_Tbl[],MATCH(HID_Tariffs[[#This Row],[Base Lamp]:[Base Lamp]],Tariff_HID_Tbl[[HID]:[HID]],0),MATCH(HID_Tariffs[[#Headers],[SLUOS]],Tariff_HID_Tbl[#Headers],0))</f>
        <v>75.420279042132918</v>
      </c>
      <c r="J33" s="505" t="s">
        <v>173</v>
      </c>
      <c r="K33" s="773" t="s">
        <v>88</v>
      </c>
      <c r="L33" s="771">
        <v>3.0946062538521595</v>
      </c>
      <c r="M33" s="771">
        <v>39.28815901050406</v>
      </c>
      <c r="N33" s="771">
        <v>0</v>
      </c>
      <c r="O33" s="771">
        <v>0</v>
      </c>
      <c r="P33" s="771">
        <v>76.343619059271518</v>
      </c>
      <c r="R33" s="505" t="s">
        <v>173</v>
      </c>
      <c r="S33" s="558" t="s">
        <v>88</v>
      </c>
      <c r="T33" s="771">
        <v>3.1321148140898711</v>
      </c>
      <c r="U33" s="771">
        <v>39.590805349312596</v>
      </c>
      <c r="V33" s="771">
        <v>0</v>
      </c>
      <c r="W33" s="771">
        <v>0</v>
      </c>
      <c r="X33" s="771">
        <v>76.917651812346605</v>
      </c>
      <c r="Z33" s="505" t="s">
        <v>173</v>
      </c>
      <c r="AA33" s="558" t="s">
        <v>88</v>
      </c>
      <c r="AB33" s="771">
        <v>3.1663226210266635</v>
      </c>
      <c r="AC33" s="771">
        <v>39.866822484382332</v>
      </c>
      <c r="AD33" s="771">
        <v>0</v>
      </c>
      <c r="AE33" s="771">
        <v>0</v>
      </c>
      <c r="AF33" s="771">
        <v>77.995593141720533</v>
      </c>
      <c r="AH33" s="505" t="s">
        <v>173</v>
      </c>
      <c r="AI33" s="558" t="s">
        <v>88</v>
      </c>
      <c r="AJ33" s="771">
        <v>3.1969296061806358</v>
      </c>
      <c r="AK33" s="771">
        <v>40.113782518201248</v>
      </c>
      <c r="AL33" s="771">
        <v>0</v>
      </c>
      <c r="AM33" s="771">
        <v>0</v>
      </c>
      <c r="AN33" s="771">
        <v>78.620524115674826</v>
      </c>
    </row>
    <row r="34" spans="2:40" x14ac:dyDescent="0.2">
      <c r="B34" s="505" t="str">
        <f>$B$32</f>
        <v>MV-80</v>
      </c>
      <c r="C34" s="386" t="s">
        <v>134</v>
      </c>
      <c r="D34" s="771">
        <f>INDEX(Tariff_HID_Tbl[],MATCH(HID_Tariffs[[#This Row],[Base Lamp]:[Base Lamp]],Tariff_HID_Tbl[[HID]:[HID]],0),MATCH(HID_Tariffs[[#Headers],[ENERGY]],Tariff_HID_Tbl[#Headers],0))</f>
        <v>3.0621988578067763</v>
      </c>
      <c r="E34" s="771">
        <f>INDEX(Tariff_HID_Tbl[],MATCH(HID_Tariffs[[#This Row],[Base Lamp]:[Base Lamp]],Tariff_HID_Tbl[[HID]:[HID]],0),MATCH(HID_Tariffs[[#Headers],[CLER]],Tariff_HID_Tbl[#Headers],0))</f>
        <v>39.02666873760554</v>
      </c>
      <c r="F34" s="771">
        <f>INDEX(Tariff_HID_Tbl[],MATCH(HID_Tariffs[[#This Row],[Base Lamp]:[Base Lamp]],Tariff_HID_Tbl[[HID]:[HID]],0),MATCH(HID_Tariffs[[#Headers],[PLC]],Tariff_HID_Tbl[#Headers],0))</f>
        <v>0</v>
      </c>
      <c r="G34" s="771">
        <f>INDEX(Tariff_HID_Tbl[],MATCH(HID_Tariffs[[#This Row],[Base Lamp]:[Base Lamp]],Tariff_HID_Tbl[[HID]:[HID]],0),MATCH(HID_Tariffs[[#Headers],[TFI]],Tariff_HID_Tbl[#Headers],0))</f>
        <v>0</v>
      </c>
      <c r="H34" s="771">
        <f>INDEX(Tariff_HID_Tbl[],MATCH(HID_Tariffs[[#This Row],[Base Lamp]:[Base Lamp]],Tariff_HID_Tbl[[HID]:[HID]],0),MATCH(HID_Tariffs[[#Headers],[SLUOS]],Tariff_HID_Tbl[#Headers],0))</f>
        <v>75.420279042132918</v>
      </c>
      <c r="J34" s="505" t="s">
        <v>173</v>
      </c>
      <c r="K34" s="773" t="s">
        <v>134</v>
      </c>
      <c r="L34" s="771">
        <v>3.0946062538521595</v>
      </c>
      <c r="M34" s="771">
        <v>39.28815901050406</v>
      </c>
      <c r="N34" s="771">
        <v>0</v>
      </c>
      <c r="O34" s="771">
        <v>0</v>
      </c>
      <c r="P34" s="771">
        <v>76.343619059271518</v>
      </c>
      <c r="R34" s="505" t="s">
        <v>173</v>
      </c>
      <c r="S34" s="558" t="s">
        <v>134</v>
      </c>
      <c r="T34" s="771">
        <v>3.1321148140898711</v>
      </c>
      <c r="U34" s="771">
        <v>39.590805349312596</v>
      </c>
      <c r="V34" s="771">
        <v>0</v>
      </c>
      <c r="W34" s="771">
        <v>0</v>
      </c>
      <c r="X34" s="771">
        <v>76.917651812346605</v>
      </c>
      <c r="Z34" s="505" t="s">
        <v>173</v>
      </c>
      <c r="AA34" s="558" t="s">
        <v>134</v>
      </c>
      <c r="AB34" s="771">
        <v>3.1663226210266635</v>
      </c>
      <c r="AC34" s="771">
        <v>39.866822484382332</v>
      </c>
      <c r="AD34" s="771">
        <v>0</v>
      </c>
      <c r="AE34" s="771">
        <v>0</v>
      </c>
      <c r="AF34" s="771">
        <v>77.995593141720533</v>
      </c>
      <c r="AH34" s="505" t="s">
        <v>173</v>
      </c>
      <c r="AI34" s="558" t="s">
        <v>134</v>
      </c>
      <c r="AJ34" s="771">
        <v>3.1969296061806358</v>
      </c>
      <c r="AK34" s="771">
        <v>40.113782518201248</v>
      </c>
      <c r="AL34" s="771">
        <v>0</v>
      </c>
      <c r="AM34" s="771">
        <v>0</v>
      </c>
      <c r="AN34" s="771">
        <v>78.620524115674826</v>
      </c>
    </row>
    <row r="35" spans="2:40" x14ac:dyDescent="0.2">
      <c r="B35" s="505" t="str">
        <f>$B$32</f>
        <v>MV-80</v>
      </c>
      <c r="C35" s="386" t="s">
        <v>80</v>
      </c>
      <c r="D35" s="771">
        <f>INDEX(Tariff_HID_Tbl[],MATCH(HID_Tariffs[[#This Row],[Base Lamp]:[Base Lamp]],Tariff_HID_Tbl[[HID]:[HID]],0),MATCH(HID_Tariffs[[#Headers],[ENERGY]],Tariff_HID_Tbl[#Headers],0))</f>
        <v>3.0621988578067763</v>
      </c>
      <c r="E35" s="771">
        <f>INDEX(Tariff_HID_Tbl[],MATCH(HID_Tariffs[[#This Row],[Base Lamp]:[Base Lamp]],Tariff_HID_Tbl[[HID]:[HID]],0),MATCH(HID_Tariffs[[#Headers],[CLER]],Tariff_HID_Tbl[#Headers],0))</f>
        <v>39.02666873760554</v>
      </c>
      <c r="F35" s="771">
        <f>INDEX(Tariff_HID_Tbl[],MATCH(HID_Tariffs[[#This Row],[Base Lamp]:[Base Lamp]],Tariff_HID_Tbl[[HID]:[HID]],0),MATCH(HID_Tariffs[[#Headers],[PLC]],Tariff_HID_Tbl[#Headers],0))</f>
        <v>0</v>
      </c>
      <c r="G35" s="771">
        <f>INDEX(Tariff_HID_Tbl[],MATCH(HID_Tariffs[[#This Row],[Base Lamp]:[Base Lamp]],Tariff_HID_Tbl[[HID]:[HID]],0),MATCH(HID_Tariffs[[#Headers],[TFI]],Tariff_HID_Tbl[#Headers],0))</f>
        <v>0</v>
      </c>
      <c r="H35" s="771">
        <f>INDEX(Tariff_HID_Tbl[],MATCH(HID_Tariffs[[#This Row],[Base Lamp]:[Base Lamp]],Tariff_HID_Tbl[[HID]:[HID]],0),MATCH(HID_Tariffs[[#Headers],[SLUOS]],Tariff_HID_Tbl[#Headers],0))</f>
        <v>75.420279042132918</v>
      </c>
      <c r="J35" s="505" t="s">
        <v>173</v>
      </c>
      <c r="K35" s="773" t="s">
        <v>80</v>
      </c>
      <c r="L35" s="771">
        <v>3.0946062538521595</v>
      </c>
      <c r="M35" s="771">
        <v>39.28815901050406</v>
      </c>
      <c r="N35" s="771">
        <v>0</v>
      </c>
      <c r="O35" s="771">
        <v>0</v>
      </c>
      <c r="P35" s="771">
        <v>76.343619059271518</v>
      </c>
      <c r="R35" s="505" t="s">
        <v>173</v>
      </c>
      <c r="S35" s="558" t="s">
        <v>80</v>
      </c>
      <c r="T35" s="771">
        <v>3.1321148140898711</v>
      </c>
      <c r="U35" s="771">
        <v>39.590805349312596</v>
      </c>
      <c r="V35" s="771">
        <v>0</v>
      </c>
      <c r="W35" s="771">
        <v>0</v>
      </c>
      <c r="X35" s="771">
        <v>76.917651812346605</v>
      </c>
      <c r="Z35" s="505" t="s">
        <v>173</v>
      </c>
      <c r="AA35" s="558" t="s">
        <v>80</v>
      </c>
      <c r="AB35" s="771">
        <v>3.1663226210266635</v>
      </c>
      <c r="AC35" s="771">
        <v>39.866822484382332</v>
      </c>
      <c r="AD35" s="771">
        <v>0</v>
      </c>
      <c r="AE35" s="771">
        <v>0</v>
      </c>
      <c r="AF35" s="771">
        <v>77.995593141720533</v>
      </c>
      <c r="AH35" s="505" t="s">
        <v>173</v>
      </c>
      <c r="AI35" s="558" t="s">
        <v>80</v>
      </c>
      <c r="AJ35" s="771">
        <v>3.1969296061806358</v>
      </c>
      <c r="AK35" s="771">
        <v>40.113782518201248</v>
      </c>
      <c r="AL35" s="771">
        <v>0</v>
      </c>
      <c r="AM35" s="771">
        <v>0</v>
      </c>
      <c r="AN35" s="771">
        <v>78.620524115674826</v>
      </c>
    </row>
    <row r="36" spans="2:40" x14ac:dyDescent="0.2">
      <c r="B36" s="505"/>
      <c r="C36" s="386"/>
      <c r="D36" s="771"/>
      <c r="E36" s="771"/>
      <c r="F36" s="771"/>
      <c r="G36" s="771"/>
      <c r="H36" s="771"/>
      <c r="J36" s="505"/>
      <c r="K36" s="773"/>
      <c r="L36" s="771"/>
      <c r="M36" s="771"/>
      <c r="N36" s="771"/>
      <c r="O36" s="771"/>
      <c r="P36" s="771"/>
      <c r="R36" s="505"/>
      <c r="T36" s="771"/>
      <c r="U36" s="771"/>
      <c r="V36" s="771"/>
      <c r="W36" s="771"/>
      <c r="X36" s="771"/>
      <c r="Z36" s="505"/>
      <c r="AB36" s="771"/>
      <c r="AC36" s="771"/>
      <c r="AD36" s="771"/>
      <c r="AE36" s="771"/>
      <c r="AF36" s="771"/>
      <c r="AH36" s="505"/>
      <c r="AJ36" s="771"/>
      <c r="AK36" s="771"/>
      <c r="AL36" s="771"/>
      <c r="AM36" s="771"/>
      <c r="AN36" s="771"/>
    </row>
    <row r="37" spans="2:40" x14ac:dyDescent="0.2">
      <c r="B37" s="506" t="s">
        <v>486</v>
      </c>
      <c r="C37" s="83"/>
      <c r="D37" s="771">
        <f>INDEX(Tariff_HID_Tbl[],MATCH(HID_Tariffs[[#This Row],[Base Lamp]:[Base Lamp]],Tariff_HID_Tbl[[HID]:[HID]],0),MATCH(HID_Tariffs[[#Headers],[ENERGY]],Tariff_HID_Tbl[#Headers],0))</f>
        <v>3.0621988578067763</v>
      </c>
      <c r="E37" s="771">
        <f>INDEX(Tariff_HID_Tbl[],MATCH(HID_Tariffs[[#This Row],[Base Lamp]:[Base Lamp]],Tariff_HID_Tbl[[HID]:[HID]],0),MATCH(HID_Tariffs[[#Headers],[CLER]],Tariff_HID_Tbl[#Headers],0))</f>
        <v>45.703131348217561</v>
      </c>
      <c r="F37" s="771">
        <f>INDEX(Tariff_HID_Tbl[],MATCH(HID_Tariffs[[#This Row],[Base Lamp]:[Base Lamp]],Tariff_HID_Tbl[[HID]:[HID]],0),MATCH(HID_Tariffs[[#Headers],[PLC]],Tariff_HID_Tbl[#Headers],0))</f>
        <v>0</v>
      </c>
      <c r="G37" s="771">
        <f>INDEX(Tariff_HID_Tbl[],MATCH(HID_Tariffs[[#This Row],[Base Lamp]:[Base Lamp]],Tariff_HID_Tbl[[HID]:[HID]],0),MATCH(HID_Tariffs[[#Headers],[TFI]],Tariff_HID_Tbl[#Headers],0))</f>
        <v>0</v>
      </c>
      <c r="H37" s="771">
        <f>INDEX(Tariff_HID_Tbl[],MATCH(HID_Tariffs[[#This Row],[Base Lamp]:[Base Lamp]],Tariff_HID_Tbl[[HID]:[HID]],0),MATCH(HID_Tariffs[[#Headers],[SLUOS]],Tariff_HID_Tbl[#Headers],0))</f>
        <v>71.273507478523257</v>
      </c>
      <c r="J37" s="506" t="s">
        <v>486</v>
      </c>
      <c r="K37" s="774"/>
      <c r="L37" s="771">
        <v>3.0946062538521595</v>
      </c>
      <c r="M37" s="771">
        <v>46.007144478868149</v>
      </c>
      <c r="N37" s="771">
        <v>0</v>
      </c>
      <c r="O37" s="771">
        <v>0</v>
      </c>
      <c r="P37" s="771">
        <v>72.171188248093301</v>
      </c>
      <c r="R37" s="506" t="s">
        <v>486</v>
      </c>
      <c r="S37" s="83"/>
      <c r="T37" s="771">
        <v>3.1321148140898711</v>
      </c>
      <c r="U37" s="771">
        <v>46.35901575887393</v>
      </c>
      <c r="V37" s="771">
        <v>0</v>
      </c>
      <c r="W37" s="771">
        <v>0</v>
      </c>
      <c r="X37" s="771">
        <v>72.715530964725716</v>
      </c>
      <c r="Z37" s="506" t="s">
        <v>486</v>
      </c>
      <c r="AA37" s="83"/>
      <c r="AB37" s="771">
        <v>3.1663226210266635</v>
      </c>
      <c r="AC37" s="771">
        <v>46.679920145561759</v>
      </c>
      <c r="AD37" s="771">
        <v>0</v>
      </c>
      <c r="AE37" s="771">
        <v>0</v>
      </c>
      <c r="AF37" s="771">
        <v>73.647413875142803</v>
      </c>
      <c r="AH37" s="506" t="s">
        <v>486</v>
      </c>
      <c r="AI37" s="83"/>
      <c r="AJ37" s="771">
        <v>3.1969296061806358</v>
      </c>
      <c r="AK37" s="771">
        <v>46.96704447667674</v>
      </c>
      <c r="AL37" s="771">
        <v>0</v>
      </c>
      <c r="AM37" s="771">
        <v>0</v>
      </c>
      <c r="AN37" s="771">
        <v>74.248114713784972</v>
      </c>
    </row>
    <row r="38" spans="2:40" x14ac:dyDescent="0.2">
      <c r="B38" s="506" t="str">
        <f t="shared" ref="B38:B39" si="4">$B$37</f>
        <v>MV-80 PT</v>
      </c>
      <c r="C38" s="83" t="s">
        <v>475</v>
      </c>
      <c r="D38" s="771">
        <f>INDEX(Tariff_HID_Tbl[],MATCH(HID_Tariffs[[#This Row],[Base Lamp]:[Base Lamp]],Tariff_HID_Tbl[[HID]:[HID]],0),MATCH(HID_Tariffs[[#Headers],[ENERGY]],Tariff_HID_Tbl[#Headers],0))</f>
        <v>3.0621988578067763</v>
      </c>
      <c r="E38" s="771">
        <f>INDEX(Tariff_HID_Tbl[],MATCH(HID_Tariffs[[#This Row],[Base Lamp]:[Base Lamp]],Tariff_HID_Tbl[[HID]:[HID]],0),MATCH(HID_Tariffs[[#Headers],[CLER]],Tariff_HID_Tbl[#Headers],0))</f>
        <v>45.703131348217561</v>
      </c>
      <c r="F38" s="771">
        <f>INDEX(Tariff_HID_Tbl[],MATCH(HID_Tariffs[[#This Row],[Base Lamp]:[Base Lamp]],Tariff_HID_Tbl[[HID]:[HID]],0),MATCH(HID_Tariffs[[#Headers],[PLC]],Tariff_HID_Tbl[#Headers],0))</f>
        <v>0</v>
      </c>
      <c r="G38" s="771">
        <f>INDEX(Tariff_HID_Tbl[],MATCH(HID_Tariffs[[#This Row],[Base Lamp]:[Base Lamp]],Tariff_HID_Tbl[[HID]:[HID]],0),MATCH(HID_Tariffs[[#Headers],[TFI]],Tariff_HID_Tbl[#Headers],0))</f>
        <v>0</v>
      </c>
      <c r="H38" s="771">
        <f>INDEX(Tariff_HID_Tbl[],MATCH(HID_Tariffs[[#This Row],[Base Lamp]:[Base Lamp]],Tariff_HID_Tbl[[HID]:[HID]],0),MATCH(HID_Tariffs[[#Headers],[SLUOS]],Tariff_HID_Tbl[#Headers],0))</f>
        <v>71.273507478523257</v>
      </c>
      <c r="J38" s="506" t="s">
        <v>486</v>
      </c>
      <c r="K38" s="774" t="s">
        <v>475</v>
      </c>
      <c r="L38" s="771">
        <v>3.0946062538521595</v>
      </c>
      <c r="M38" s="771">
        <v>46.007144478868149</v>
      </c>
      <c r="N38" s="771">
        <v>0</v>
      </c>
      <c r="O38" s="771">
        <v>0</v>
      </c>
      <c r="P38" s="771">
        <v>72.171188248093301</v>
      </c>
      <c r="R38" s="506" t="s">
        <v>486</v>
      </c>
      <c r="S38" s="83" t="s">
        <v>475</v>
      </c>
      <c r="T38" s="771">
        <v>3.1321148140898711</v>
      </c>
      <c r="U38" s="771">
        <v>46.35901575887393</v>
      </c>
      <c r="V38" s="771">
        <v>0</v>
      </c>
      <c r="W38" s="771">
        <v>0</v>
      </c>
      <c r="X38" s="771">
        <v>72.715530964725716</v>
      </c>
      <c r="Z38" s="506" t="s">
        <v>486</v>
      </c>
      <c r="AA38" s="83" t="s">
        <v>475</v>
      </c>
      <c r="AB38" s="771">
        <v>3.1663226210266635</v>
      </c>
      <c r="AC38" s="771">
        <v>46.679920145561759</v>
      </c>
      <c r="AD38" s="771">
        <v>0</v>
      </c>
      <c r="AE38" s="771">
        <v>0</v>
      </c>
      <c r="AF38" s="771">
        <v>73.647413875142803</v>
      </c>
      <c r="AH38" s="506" t="s">
        <v>486</v>
      </c>
      <c r="AI38" s="83" t="s">
        <v>475</v>
      </c>
      <c r="AJ38" s="771">
        <v>3.1969296061806358</v>
      </c>
      <c r="AK38" s="771">
        <v>46.96704447667674</v>
      </c>
      <c r="AL38" s="771">
        <v>0</v>
      </c>
      <c r="AM38" s="771">
        <v>0</v>
      </c>
      <c r="AN38" s="771">
        <v>74.248114713784972</v>
      </c>
    </row>
    <row r="39" spans="2:40" x14ac:dyDescent="0.2">
      <c r="B39" s="506" t="str">
        <f t="shared" si="4"/>
        <v>MV-80 PT</v>
      </c>
      <c r="C39" s="83" t="s">
        <v>473</v>
      </c>
      <c r="D39" s="771">
        <f>INDEX(Tariff_HID_Tbl[],MATCH(HID_Tariffs[[#This Row],[Base Lamp]:[Base Lamp]],Tariff_HID_Tbl[[HID]:[HID]],0),MATCH(HID_Tariffs[[#Headers],[ENERGY]],Tariff_HID_Tbl[#Headers],0))</f>
        <v>3.0621988578067763</v>
      </c>
      <c r="E39" s="771">
        <f>INDEX(Tariff_HID_Tbl[],MATCH(HID_Tariffs[[#This Row],[Base Lamp]:[Base Lamp]],Tariff_HID_Tbl[[HID]:[HID]],0),MATCH(HID_Tariffs[[#Headers],[CLER]],Tariff_HID_Tbl[#Headers],0))</f>
        <v>45.703131348217561</v>
      </c>
      <c r="F39" s="771">
        <f>INDEX(Tariff_HID_Tbl[],MATCH(HID_Tariffs[[#This Row],[Base Lamp]:[Base Lamp]],Tariff_HID_Tbl[[HID]:[HID]],0),MATCH(HID_Tariffs[[#Headers],[PLC]],Tariff_HID_Tbl[#Headers],0))</f>
        <v>0</v>
      </c>
      <c r="G39" s="771">
        <f>INDEX(Tariff_HID_Tbl[],MATCH(HID_Tariffs[[#This Row],[Base Lamp]:[Base Lamp]],Tariff_HID_Tbl[[HID]:[HID]],0),MATCH(HID_Tariffs[[#Headers],[TFI]],Tariff_HID_Tbl[#Headers],0))</f>
        <v>0</v>
      </c>
      <c r="H39" s="771">
        <f>INDEX(Tariff_HID_Tbl[],MATCH(HID_Tariffs[[#This Row],[Base Lamp]:[Base Lamp]],Tariff_HID_Tbl[[HID]:[HID]],0),MATCH(HID_Tariffs[[#Headers],[SLUOS]],Tariff_HID_Tbl[#Headers],0))</f>
        <v>71.273507478523257</v>
      </c>
      <c r="J39" s="506" t="s">
        <v>486</v>
      </c>
      <c r="K39" s="774" t="s">
        <v>473</v>
      </c>
      <c r="L39" s="771">
        <v>3.0946062538521595</v>
      </c>
      <c r="M39" s="771">
        <v>46.007144478868149</v>
      </c>
      <c r="N39" s="771">
        <v>0</v>
      </c>
      <c r="O39" s="771">
        <v>0</v>
      </c>
      <c r="P39" s="771">
        <v>72.171188248093301</v>
      </c>
      <c r="R39" s="506" t="s">
        <v>486</v>
      </c>
      <c r="S39" s="83" t="s">
        <v>473</v>
      </c>
      <c r="T39" s="771">
        <v>3.1321148140898711</v>
      </c>
      <c r="U39" s="771">
        <v>46.35901575887393</v>
      </c>
      <c r="V39" s="771">
        <v>0</v>
      </c>
      <c r="W39" s="771">
        <v>0</v>
      </c>
      <c r="X39" s="771">
        <v>72.715530964725716</v>
      </c>
      <c r="Z39" s="506" t="s">
        <v>486</v>
      </c>
      <c r="AA39" s="83" t="s">
        <v>473</v>
      </c>
      <c r="AB39" s="771">
        <v>3.1663226210266635</v>
      </c>
      <c r="AC39" s="771">
        <v>46.679920145561759</v>
      </c>
      <c r="AD39" s="771">
        <v>0</v>
      </c>
      <c r="AE39" s="771">
        <v>0</v>
      </c>
      <c r="AF39" s="771">
        <v>73.647413875142803</v>
      </c>
      <c r="AH39" s="506" t="s">
        <v>486</v>
      </c>
      <c r="AI39" s="83" t="s">
        <v>473</v>
      </c>
      <c r="AJ39" s="771">
        <v>3.1969296061806358</v>
      </c>
      <c r="AK39" s="771">
        <v>46.96704447667674</v>
      </c>
      <c r="AL39" s="771">
        <v>0</v>
      </c>
      <c r="AM39" s="771">
        <v>0</v>
      </c>
      <c r="AN39" s="771">
        <v>74.248114713784972</v>
      </c>
    </row>
    <row r="40" spans="2:40" x14ac:dyDescent="0.2">
      <c r="B40" s="506"/>
      <c r="C40" s="83"/>
      <c r="D40" s="771"/>
      <c r="E40" s="771"/>
      <c r="F40" s="771"/>
      <c r="G40" s="771"/>
      <c r="H40" s="771"/>
      <c r="J40" s="506"/>
      <c r="K40" s="774"/>
      <c r="L40" s="771"/>
      <c r="M40" s="771"/>
      <c r="N40" s="771"/>
      <c r="O40" s="771"/>
      <c r="P40" s="771"/>
      <c r="R40" s="506"/>
      <c r="S40" s="83"/>
      <c r="T40" s="771"/>
      <c r="U40" s="771"/>
      <c r="V40" s="771"/>
      <c r="W40" s="771"/>
      <c r="X40" s="771"/>
      <c r="Z40" s="506"/>
      <c r="AA40" s="83"/>
      <c r="AB40" s="771"/>
      <c r="AC40" s="771"/>
      <c r="AD40" s="771"/>
      <c r="AE40" s="771"/>
      <c r="AF40" s="771"/>
      <c r="AH40" s="506"/>
      <c r="AI40" s="83"/>
      <c r="AJ40" s="771"/>
      <c r="AK40" s="771"/>
      <c r="AL40" s="771"/>
      <c r="AM40" s="771"/>
      <c r="AN40" s="771"/>
    </row>
    <row r="41" spans="2:40" x14ac:dyDescent="0.2">
      <c r="B41" s="505" t="s">
        <v>171</v>
      </c>
      <c r="C41" s="386"/>
      <c r="D41" s="771">
        <f>INDEX(Tariff_HID_Tbl[],MATCH(HID_Tariffs[[#This Row],[Base Lamp]:[Base Lamp]],Tariff_HID_Tbl[[HID]:[HID]],0),MATCH(HID_Tariffs[[#Headers],[ENERGY]],Tariff_HID_Tbl[#Headers],0))</f>
        <v>3.0621988578067763</v>
      </c>
      <c r="E41" s="771">
        <f>INDEX(Tariff_HID_Tbl[],MATCH(HID_Tariffs[[#This Row],[Base Lamp]:[Base Lamp]],Tariff_HID_Tbl[[HID]:[HID]],0),MATCH(HID_Tariffs[[#Headers],[CLER]],Tariff_HID_Tbl[#Headers],0))</f>
        <v>62.28476071039902</v>
      </c>
      <c r="F41" s="771">
        <f>INDEX(Tariff_HID_Tbl[],MATCH(HID_Tariffs[[#This Row],[Base Lamp]:[Base Lamp]],Tariff_HID_Tbl[[HID]:[HID]],0),MATCH(HID_Tariffs[[#Headers],[PLC]],Tariff_HID_Tbl[#Headers],0))</f>
        <v>0</v>
      </c>
      <c r="G41" s="772">
        <f>INDEX(Tariff_HID_Tbl[],MATCH(HID_Tariffs[[#This Row],[Base Lamp]:[Base Lamp]],Tariff_HID_Tbl[[HID]:[HID]],0),MATCH(HID_Tariffs[[#Headers],[TFI]],Tariff_HID_Tbl[#Headers],0))</f>
        <v>0</v>
      </c>
      <c r="H41" s="771">
        <f>INDEX(Tariff_HID_Tbl[],MATCH(HID_Tariffs[[#This Row],[Base Lamp]:[Base Lamp]],Tariff_HID_Tbl[[HID]:[HID]],0),MATCH(HID_Tariffs[[#Headers],[SLUOS]],Tariff_HID_Tbl[#Headers],0))</f>
        <v>90.576759427319558</v>
      </c>
      <c r="J41" s="505" t="s">
        <v>171</v>
      </c>
      <c r="K41" s="773"/>
      <c r="L41" s="771">
        <v>3.0946062538521595</v>
      </c>
      <c r="M41" s="771">
        <v>62.694394909327208</v>
      </c>
      <c r="N41" s="771">
        <v>0</v>
      </c>
      <c r="O41" s="772">
        <v>0</v>
      </c>
      <c r="P41" s="771">
        <v>91.595525891485053</v>
      </c>
      <c r="R41" s="505" t="s">
        <v>171</v>
      </c>
      <c r="T41" s="771">
        <v>3.1321148140898711</v>
      </c>
      <c r="U41" s="771">
        <v>63.168508391689933</v>
      </c>
      <c r="V41" s="771">
        <v>0</v>
      </c>
      <c r="W41" s="772">
        <v>0</v>
      </c>
      <c r="X41" s="771">
        <v>92.280009939488977</v>
      </c>
      <c r="Z41" s="505" t="s">
        <v>171</v>
      </c>
      <c r="AB41" s="771">
        <v>3.1663226210266635</v>
      </c>
      <c r="AC41" s="771">
        <v>63.600900046114148</v>
      </c>
      <c r="AD41" s="771">
        <v>0</v>
      </c>
      <c r="AE41" s="772">
        <v>0</v>
      </c>
      <c r="AF41" s="771">
        <v>93.633445457161898</v>
      </c>
      <c r="AH41" s="505" t="s">
        <v>171</v>
      </c>
      <c r="AJ41" s="771">
        <v>3.1969296061806358</v>
      </c>
      <c r="AK41" s="771">
        <v>63.987776268133892</v>
      </c>
      <c r="AL41" s="771">
        <v>0</v>
      </c>
      <c r="AM41" s="772">
        <v>0</v>
      </c>
      <c r="AN41" s="771">
        <v>94.348503745007648</v>
      </c>
    </row>
    <row r="42" spans="2:40" x14ac:dyDescent="0.2">
      <c r="B42" s="505" t="str">
        <f t="shared" ref="B42" si="5">$B$41</f>
        <v>S-HP50</v>
      </c>
      <c r="C42" s="386" t="s">
        <v>74</v>
      </c>
      <c r="D42" s="771">
        <f>INDEX(Tariff_HID_Tbl[],MATCH(HID_Tariffs[[#This Row],[Base Lamp]:[Base Lamp]],Tariff_HID_Tbl[[HID]:[HID]],0),MATCH(HID_Tariffs[[#Headers],[ENERGY]],Tariff_HID_Tbl[#Headers],0))</f>
        <v>3.0621988578067763</v>
      </c>
      <c r="E42" s="771">
        <f>INDEX(Tariff_HID_Tbl[],MATCH(HID_Tariffs[[#This Row],[Base Lamp]:[Base Lamp]],Tariff_HID_Tbl[[HID]:[HID]],0),MATCH(HID_Tariffs[[#Headers],[CLER]],Tariff_HID_Tbl[#Headers],0))</f>
        <v>62.28476071039902</v>
      </c>
      <c r="F42" s="771">
        <f>INDEX(Tariff_HID_Tbl[],MATCH(HID_Tariffs[[#This Row],[Base Lamp]:[Base Lamp]],Tariff_HID_Tbl[[HID]:[HID]],0),MATCH(HID_Tariffs[[#Headers],[PLC]],Tariff_HID_Tbl[#Headers],0))</f>
        <v>0</v>
      </c>
      <c r="G42" s="771">
        <f>INDEX(Tariff_HID_Tbl[],MATCH(HID_Tariffs[[#This Row],[Base Lamp]:[Base Lamp]],Tariff_HID_Tbl[[HID]:[HID]],0),MATCH(HID_Tariffs[[#Headers],[TFI]],Tariff_HID_Tbl[#Headers],0))</f>
        <v>0</v>
      </c>
      <c r="H42" s="771">
        <f>INDEX(Tariff_HID_Tbl[],MATCH(HID_Tariffs[[#This Row],[Base Lamp]:[Base Lamp]],Tariff_HID_Tbl[[HID]:[HID]],0),MATCH(HID_Tariffs[[#Headers],[SLUOS]],Tariff_HID_Tbl[#Headers],0))</f>
        <v>90.576759427319558</v>
      </c>
      <c r="J42" s="505" t="s">
        <v>171</v>
      </c>
      <c r="K42" s="773" t="s">
        <v>74</v>
      </c>
      <c r="L42" s="771">
        <v>3.0946062538521595</v>
      </c>
      <c r="M42" s="771">
        <v>62.694394909327208</v>
      </c>
      <c r="N42" s="771">
        <v>0</v>
      </c>
      <c r="O42" s="771">
        <v>0</v>
      </c>
      <c r="P42" s="771">
        <v>91.595525891485053</v>
      </c>
      <c r="R42" s="505" t="s">
        <v>171</v>
      </c>
      <c r="S42" s="558" t="s">
        <v>74</v>
      </c>
      <c r="T42" s="771">
        <v>3.1321148140898711</v>
      </c>
      <c r="U42" s="771">
        <v>63.168508391689933</v>
      </c>
      <c r="V42" s="771">
        <v>0</v>
      </c>
      <c r="W42" s="771">
        <v>0</v>
      </c>
      <c r="X42" s="771">
        <v>92.280009939488977</v>
      </c>
      <c r="Z42" s="505" t="s">
        <v>171</v>
      </c>
      <c r="AA42" s="558" t="s">
        <v>74</v>
      </c>
      <c r="AB42" s="771">
        <v>3.1663226210266635</v>
      </c>
      <c r="AC42" s="771">
        <v>63.600900046114148</v>
      </c>
      <c r="AD42" s="771">
        <v>0</v>
      </c>
      <c r="AE42" s="771">
        <v>0</v>
      </c>
      <c r="AF42" s="771">
        <v>93.633445457161898</v>
      </c>
      <c r="AH42" s="505" t="s">
        <v>171</v>
      </c>
      <c r="AI42" s="558" t="s">
        <v>74</v>
      </c>
      <c r="AJ42" s="771">
        <v>3.1969296061806358</v>
      </c>
      <c r="AK42" s="771">
        <v>63.987776268133892</v>
      </c>
      <c r="AL42" s="771">
        <v>0</v>
      </c>
      <c r="AM42" s="771">
        <v>0</v>
      </c>
      <c r="AN42" s="771">
        <v>94.348503745007648</v>
      </c>
    </row>
    <row r="43" spans="2:40" x14ac:dyDescent="0.2">
      <c r="B43" s="505"/>
      <c r="C43" s="386"/>
      <c r="D43" s="771"/>
      <c r="E43" s="771"/>
      <c r="F43" s="771"/>
      <c r="G43" s="771"/>
      <c r="H43" s="771"/>
      <c r="J43" s="505"/>
      <c r="K43" s="773"/>
      <c r="L43" s="771"/>
      <c r="M43" s="771"/>
      <c r="N43" s="771"/>
      <c r="O43" s="771"/>
      <c r="P43" s="771"/>
      <c r="R43" s="505"/>
      <c r="T43" s="771"/>
      <c r="U43" s="771"/>
      <c r="V43" s="771"/>
      <c r="W43" s="771"/>
      <c r="X43" s="771"/>
      <c r="Z43" s="505"/>
      <c r="AB43" s="771"/>
      <c r="AC43" s="771"/>
      <c r="AD43" s="771"/>
      <c r="AE43" s="771"/>
      <c r="AF43" s="771"/>
      <c r="AH43" s="505"/>
      <c r="AJ43" s="771"/>
      <c r="AK43" s="771"/>
      <c r="AL43" s="771"/>
      <c r="AM43" s="771"/>
      <c r="AN43" s="771"/>
    </row>
    <row r="44" spans="2:40" x14ac:dyDescent="0.2">
      <c r="B44" s="505" t="s">
        <v>165</v>
      </c>
      <c r="C44" s="386"/>
      <c r="D44" s="771">
        <f>INDEX(Tariff_HID_Tbl[],MATCH(HID_Tariffs[[#This Row],[Base Lamp]:[Base Lamp]],Tariff_HID_Tbl[[HID]:[HID]],0),MATCH(HID_Tariffs[[#Headers],[ENERGY]],Tariff_HID_Tbl[#Headers],0))</f>
        <v>3.0621988578067763</v>
      </c>
      <c r="E44" s="771">
        <f>INDEX(Tariff_HID_Tbl[],MATCH(HID_Tariffs[[#This Row],[Base Lamp]:[Base Lamp]],Tariff_HID_Tbl[[HID]:[HID]],0),MATCH(HID_Tariffs[[#Headers],[CLER]],Tariff_HID_Tbl[#Headers],0))</f>
        <v>28.231073615657884</v>
      </c>
      <c r="F44" s="771">
        <f>INDEX(Tariff_HID_Tbl[],MATCH(HID_Tariffs[[#This Row],[Base Lamp]:[Base Lamp]],Tariff_HID_Tbl[[HID]:[HID]],0),MATCH(HID_Tariffs[[#Headers],[PLC]],Tariff_HID_Tbl[#Headers],0))</f>
        <v>0</v>
      </c>
      <c r="G44" s="771">
        <f>INDEX(Tariff_HID_Tbl[],MATCH(HID_Tariffs[[#This Row],[Base Lamp]:[Base Lamp]],Tariff_HID_Tbl[[HID]:[HID]],0),MATCH(HID_Tariffs[[#Headers],[TFI]],Tariff_HID_Tbl[#Headers],0))</f>
        <v>0</v>
      </c>
      <c r="H44" s="771">
        <f>INDEX(Tariff_HID_Tbl[],MATCH(HID_Tariffs[[#This Row],[Base Lamp]:[Base Lamp]],Tariff_HID_Tbl[[HID]:[HID]],0),MATCH(HID_Tariffs[[#Headers],[SLUOS]],Tariff_HID_Tbl[#Headers],0))</f>
        <v>83.318414670856484</v>
      </c>
      <c r="J44" s="505" t="s">
        <v>165</v>
      </c>
      <c r="K44" s="773"/>
      <c r="L44" s="771">
        <v>3.0946062538521595</v>
      </c>
      <c r="M44" s="771">
        <v>28.423797811438423</v>
      </c>
      <c r="N44" s="771">
        <v>0</v>
      </c>
      <c r="O44" s="771">
        <v>0</v>
      </c>
      <c r="P44" s="771">
        <v>84.287953421731928</v>
      </c>
      <c r="R44" s="505" t="s">
        <v>165</v>
      </c>
      <c r="T44" s="771">
        <v>3.1321148140898711</v>
      </c>
      <c r="U44" s="771">
        <v>28.646858223221457</v>
      </c>
      <c r="V44" s="771">
        <v>0</v>
      </c>
      <c r="W44" s="771">
        <v>0</v>
      </c>
      <c r="X44" s="771">
        <v>84.915461113427838</v>
      </c>
      <c r="Z44" s="505" t="s">
        <v>165</v>
      </c>
      <c r="AB44" s="771">
        <v>3.1663226210266635</v>
      </c>
      <c r="AC44" s="771">
        <v>28.85028931876759</v>
      </c>
      <c r="AD44" s="771">
        <v>0</v>
      </c>
      <c r="AE44" s="771">
        <v>0</v>
      </c>
      <c r="AF44" s="771">
        <v>86.687060247159636</v>
      </c>
      <c r="AH44" s="505" t="s">
        <v>165</v>
      </c>
      <c r="AJ44" s="771">
        <v>3.1969296061806358</v>
      </c>
      <c r="AK44" s="771">
        <v>29.032306614782541</v>
      </c>
      <c r="AL44" s="771">
        <v>0</v>
      </c>
      <c r="AM44" s="771">
        <v>0</v>
      </c>
      <c r="AN44" s="771">
        <v>87.355626185786775</v>
      </c>
    </row>
    <row r="45" spans="2:40" x14ac:dyDescent="0.2">
      <c r="B45" s="505" t="str">
        <f t="shared" ref="B45:B47" si="6">$B$44</f>
        <v>S-LP18</v>
      </c>
      <c r="C45" s="386" t="s">
        <v>87</v>
      </c>
      <c r="D45" s="771">
        <f>INDEX(Tariff_HID_Tbl[],MATCH(HID_Tariffs[[#This Row],[Base Lamp]:[Base Lamp]],Tariff_HID_Tbl[[HID]:[HID]],0),MATCH(HID_Tariffs[[#Headers],[ENERGY]],Tariff_HID_Tbl[#Headers],0))</f>
        <v>3.0621988578067763</v>
      </c>
      <c r="E45" s="771">
        <f>INDEX(Tariff_HID_Tbl[],MATCH(HID_Tariffs[[#This Row],[Base Lamp]:[Base Lamp]],Tariff_HID_Tbl[[HID]:[HID]],0),MATCH(HID_Tariffs[[#Headers],[CLER]],Tariff_HID_Tbl[#Headers],0))</f>
        <v>28.231073615657884</v>
      </c>
      <c r="F45" s="771">
        <f>INDEX(Tariff_HID_Tbl[],MATCH(HID_Tariffs[[#This Row],[Base Lamp]:[Base Lamp]],Tariff_HID_Tbl[[HID]:[HID]],0),MATCH(HID_Tariffs[[#Headers],[PLC]],Tariff_HID_Tbl[#Headers],0))</f>
        <v>0</v>
      </c>
      <c r="G45" s="771">
        <f>INDEX(Tariff_HID_Tbl[],MATCH(HID_Tariffs[[#This Row],[Base Lamp]:[Base Lamp]],Tariff_HID_Tbl[[HID]:[HID]],0),MATCH(HID_Tariffs[[#Headers],[TFI]],Tariff_HID_Tbl[#Headers],0))</f>
        <v>0</v>
      </c>
      <c r="H45" s="771">
        <f>INDEX(Tariff_HID_Tbl[],MATCH(HID_Tariffs[[#This Row],[Base Lamp]:[Base Lamp]],Tariff_HID_Tbl[[HID]:[HID]],0),MATCH(HID_Tariffs[[#Headers],[SLUOS]],Tariff_HID_Tbl[#Headers],0))</f>
        <v>83.318414670856484</v>
      </c>
      <c r="J45" s="505" t="s">
        <v>165</v>
      </c>
      <c r="K45" s="773" t="s">
        <v>87</v>
      </c>
      <c r="L45" s="771">
        <v>3.0946062538521595</v>
      </c>
      <c r="M45" s="771">
        <v>28.423797811438423</v>
      </c>
      <c r="N45" s="771">
        <v>0</v>
      </c>
      <c r="O45" s="771">
        <v>0</v>
      </c>
      <c r="P45" s="771">
        <v>84.287953421731928</v>
      </c>
      <c r="R45" s="505" t="s">
        <v>165</v>
      </c>
      <c r="S45" s="558" t="s">
        <v>87</v>
      </c>
      <c r="T45" s="771">
        <v>3.1321148140898711</v>
      </c>
      <c r="U45" s="771">
        <v>28.646858223221457</v>
      </c>
      <c r="V45" s="771">
        <v>0</v>
      </c>
      <c r="W45" s="771">
        <v>0</v>
      </c>
      <c r="X45" s="771">
        <v>84.915461113427838</v>
      </c>
      <c r="Z45" s="505" t="s">
        <v>165</v>
      </c>
      <c r="AA45" s="558" t="s">
        <v>87</v>
      </c>
      <c r="AB45" s="771">
        <v>3.1663226210266635</v>
      </c>
      <c r="AC45" s="771">
        <v>28.85028931876759</v>
      </c>
      <c r="AD45" s="771">
        <v>0</v>
      </c>
      <c r="AE45" s="771">
        <v>0</v>
      </c>
      <c r="AF45" s="771">
        <v>86.687060247159636</v>
      </c>
      <c r="AH45" s="505" t="s">
        <v>165</v>
      </c>
      <c r="AI45" s="558" t="s">
        <v>87</v>
      </c>
      <c r="AJ45" s="771">
        <v>3.1969296061806358</v>
      </c>
      <c r="AK45" s="771">
        <v>29.032306614782541</v>
      </c>
      <c r="AL45" s="771">
        <v>0</v>
      </c>
      <c r="AM45" s="771">
        <v>0</v>
      </c>
      <c r="AN45" s="771">
        <v>87.355626185786775</v>
      </c>
    </row>
    <row r="46" spans="2:40" x14ac:dyDescent="0.2">
      <c r="B46" s="505" t="str">
        <f t="shared" si="6"/>
        <v>S-LP18</v>
      </c>
      <c r="C46" s="386" t="s">
        <v>93</v>
      </c>
      <c r="D46" s="771">
        <f>INDEX(Tariff_HID_Tbl[],MATCH(HID_Tariffs[[#This Row],[Base Lamp]:[Base Lamp]],Tariff_HID_Tbl[[HID]:[HID]],0),MATCH(HID_Tariffs[[#Headers],[ENERGY]],Tariff_HID_Tbl[#Headers],0))</f>
        <v>3.0621988578067763</v>
      </c>
      <c r="E46" s="771">
        <f>INDEX(Tariff_HID_Tbl[],MATCH(HID_Tariffs[[#This Row],[Base Lamp]:[Base Lamp]],Tariff_HID_Tbl[[HID]:[HID]],0),MATCH(HID_Tariffs[[#Headers],[CLER]],Tariff_HID_Tbl[#Headers],0))</f>
        <v>28.231073615657884</v>
      </c>
      <c r="F46" s="771">
        <f>INDEX(Tariff_HID_Tbl[],MATCH(HID_Tariffs[[#This Row],[Base Lamp]:[Base Lamp]],Tariff_HID_Tbl[[HID]:[HID]],0),MATCH(HID_Tariffs[[#Headers],[PLC]],Tariff_HID_Tbl[#Headers],0))</f>
        <v>0</v>
      </c>
      <c r="G46" s="771">
        <f>INDEX(Tariff_HID_Tbl[],MATCH(HID_Tariffs[[#This Row],[Base Lamp]:[Base Lamp]],Tariff_HID_Tbl[[HID]:[HID]],0),MATCH(HID_Tariffs[[#Headers],[TFI]],Tariff_HID_Tbl[#Headers],0))</f>
        <v>0</v>
      </c>
      <c r="H46" s="771">
        <f>INDEX(Tariff_HID_Tbl[],MATCH(HID_Tariffs[[#This Row],[Base Lamp]:[Base Lamp]],Tariff_HID_Tbl[[HID]:[HID]],0),MATCH(HID_Tariffs[[#Headers],[SLUOS]],Tariff_HID_Tbl[#Headers],0))</f>
        <v>83.318414670856484</v>
      </c>
      <c r="J46" s="505" t="s">
        <v>165</v>
      </c>
      <c r="K46" s="773" t="s">
        <v>93</v>
      </c>
      <c r="L46" s="771">
        <v>3.0946062538521595</v>
      </c>
      <c r="M46" s="771">
        <v>28.423797811438423</v>
      </c>
      <c r="N46" s="771">
        <v>0</v>
      </c>
      <c r="O46" s="771">
        <v>0</v>
      </c>
      <c r="P46" s="771">
        <v>84.287953421731928</v>
      </c>
      <c r="R46" s="505" t="s">
        <v>165</v>
      </c>
      <c r="S46" s="558" t="s">
        <v>93</v>
      </c>
      <c r="T46" s="771">
        <v>3.1321148140898711</v>
      </c>
      <c r="U46" s="771">
        <v>28.646858223221457</v>
      </c>
      <c r="V46" s="771">
        <v>0</v>
      </c>
      <c r="W46" s="771">
        <v>0</v>
      </c>
      <c r="X46" s="771">
        <v>84.915461113427838</v>
      </c>
      <c r="Z46" s="505" t="s">
        <v>165</v>
      </c>
      <c r="AA46" s="558" t="s">
        <v>93</v>
      </c>
      <c r="AB46" s="771">
        <v>3.1663226210266635</v>
      </c>
      <c r="AC46" s="771">
        <v>28.85028931876759</v>
      </c>
      <c r="AD46" s="771">
        <v>0</v>
      </c>
      <c r="AE46" s="771">
        <v>0</v>
      </c>
      <c r="AF46" s="771">
        <v>86.687060247159636</v>
      </c>
      <c r="AH46" s="505" t="s">
        <v>165</v>
      </c>
      <c r="AI46" s="558" t="s">
        <v>93</v>
      </c>
      <c r="AJ46" s="771">
        <v>3.1969296061806358</v>
      </c>
      <c r="AK46" s="771">
        <v>29.032306614782541</v>
      </c>
      <c r="AL46" s="771">
        <v>0</v>
      </c>
      <c r="AM46" s="771">
        <v>0</v>
      </c>
      <c r="AN46" s="771">
        <v>87.355626185786775</v>
      </c>
    </row>
    <row r="47" spans="2:40" x14ac:dyDescent="0.2">
      <c r="B47" s="505" t="str">
        <f t="shared" si="6"/>
        <v>S-LP18</v>
      </c>
      <c r="C47" s="386" t="s">
        <v>480</v>
      </c>
      <c r="D47" s="771">
        <f>INDEX(Tariff_HID_Tbl[],MATCH(HID_Tariffs[[#This Row],[Base Lamp]:[Base Lamp]],Tariff_HID_Tbl[[HID]:[HID]],0),MATCH(HID_Tariffs[[#Headers],[ENERGY]],Tariff_HID_Tbl[#Headers],0))</f>
        <v>3.0621988578067763</v>
      </c>
      <c r="E47" s="771">
        <f>INDEX(Tariff_HID_Tbl[],MATCH(HID_Tariffs[[#This Row],[Base Lamp]:[Base Lamp]],Tariff_HID_Tbl[[HID]:[HID]],0),MATCH(HID_Tariffs[[#Headers],[CLER]],Tariff_HID_Tbl[#Headers],0))</f>
        <v>28.231073615657884</v>
      </c>
      <c r="F47" s="771">
        <f>INDEX(Tariff_HID_Tbl[],MATCH(HID_Tariffs[[#This Row],[Base Lamp]:[Base Lamp]],Tariff_HID_Tbl[[HID]:[HID]],0),MATCH(HID_Tariffs[[#Headers],[PLC]],Tariff_HID_Tbl[#Headers],0))</f>
        <v>0</v>
      </c>
      <c r="G47" s="771">
        <f>INDEX(Tariff_HID_Tbl[],MATCH(HID_Tariffs[[#This Row],[Base Lamp]:[Base Lamp]],Tariff_HID_Tbl[[HID]:[HID]],0),MATCH(HID_Tariffs[[#Headers],[TFI]],Tariff_HID_Tbl[#Headers],0))</f>
        <v>0</v>
      </c>
      <c r="H47" s="771">
        <f>INDEX(Tariff_HID_Tbl[],MATCH(HID_Tariffs[[#This Row],[Base Lamp]:[Base Lamp]],Tariff_HID_Tbl[[HID]:[HID]],0),MATCH(HID_Tariffs[[#Headers],[SLUOS]],Tariff_HID_Tbl[#Headers],0))</f>
        <v>83.318414670856484</v>
      </c>
      <c r="J47" s="505" t="s">
        <v>165</v>
      </c>
      <c r="K47" s="773" t="s">
        <v>480</v>
      </c>
      <c r="L47" s="771">
        <v>3.0946062538521595</v>
      </c>
      <c r="M47" s="771">
        <v>28.423797811438423</v>
      </c>
      <c r="N47" s="771">
        <v>0</v>
      </c>
      <c r="O47" s="771">
        <v>0</v>
      </c>
      <c r="P47" s="771">
        <v>84.287953421731928</v>
      </c>
      <c r="R47" s="505" t="s">
        <v>165</v>
      </c>
      <c r="S47" s="558" t="s">
        <v>480</v>
      </c>
      <c r="T47" s="771">
        <v>3.1321148140898711</v>
      </c>
      <c r="U47" s="771">
        <v>28.646858223221457</v>
      </c>
      <c r="V47" s="771">
        <v>0</v>
      </c>
      <c r="W47" s="771">
        <v>0</v>
      </c>
      <c r="X47" s="771">
        <v>84.915461113427838</v>
      </c>
      <c r="Z47" s="505" t="s">
        <v>165</v>
      </c>
      <c r="AA47" s="558" t="s">
        <v>480</v>
      </c>
      <c r="AB47" s="771">
        <v>3.1663226210266635</v>
      </c>
      <c r="AC47" s="771">
        <v>28.85028931876759</v>
      </c>
      <c r="AD47" s="771">
        <v>0</v>
      </c>
      <c r="AE47" s="771">
        <v>0</v>
      </c>
      <c r="AF47" s="771">
        <v>86.687060247159636</v>
      </c>
      <c r="AH47" s="505" t="s">
        <v>165</v>
      </c>
      <c r="AI47" s="558" t="s">
        <v>480</v>
      </c>
      <c r="AJ47" s="771">
        <v>3.1969296061806358</v>
      </c>
      <c r="AK47" s="771">
        <v>29.032306614782541</v>
      </c>
      <c r="AL47" s="771">
        <v>0</v>
      </c>
      <c r="AM47" s="771">
        <v>0</v>
      </c>
      <c r="AN47" s="771">
        <v>87.355626185786775</v>
      </c>
    </row>
    <row r="48" spans="2:40" x14ac:dyDescent="0.2">
      <c r="B48" s="506"/>
      <c r="C48" s="83"/>
      <c r="D48" s="771"/>
      <c r="E48" s="771"/>
      <c r="F48" s="771"/>
      <c r="G48" s="771"/>
      <c r="H48" s="771"/>
      <c r="J48" s="506"/>
      <c r="K48" s="774"/>
      <c r="L48" s="771"/>
      <c r="M48" s="771"/>
      <c r="N48" s="771"/>
      <c r="O48" s="771"/>
      <c r="P48" s="771"/>
      <c r="R48" s="506"/>
      <c r="S48" s="83"/>
      <c r="T48" s="771"/>
      <c r="U48" s="771"/>
      <c r="V48" s="771"/>
      <c r="W48" s="771"/>
      <c r="X48" s="771"/>
      <c r="Z48" s="506"/>
      <c r="AA48" s="83"/>
      <c r="AB48" s="771"/>
      <c r="AC48" s="771"/>
      <c r="AD48" s="771"/>
      <c r="AE48" s="771"/>
      <c r="AF48" s="771"/>
      <c r="AH48" s="506"/>
      <c r="AI48" s="83"/>
      <c r="AJ48" s="771"/>
      <c r="AK48" s="771"/>
      <c r="AL48" s="771"/>
      <c r="AM48" s="771"/>
      <c r="AN48" s="771"/>
    </row>
    <row r="49" spans="2:40" x14ac:dyDescent="0.2">
      <c r="B49" s="506" t="s">
        <v>488</v>
      </c>
      <c r="C49" s="83"/>
      <c r="D49" s="771">
        <f>INDEX(Tariff_HID_Tbl[],MATCH(HID_Tariffs[[#This Row],[Base Lamp]:[Base Lamp]],Tariff_HID_Tbl[[HID]:[HID]],0),MATCH(HID_Tariffs[[#Headers],[ENERGY]],Tariff_HID_Tbl[#Headers],0))</f>
        <v>3.0621988578067763</v>
      </c>
      <c r="E49" s="771">
        <f>INDEX(Tariff_HID_Tbl[],MATCH(HID_Tariffs[[#This Row],[Base Lamp]:[Base Lamp]],Tariff_HID_Tbl[[HID]:[HID]],0),MATCH(HID_Tariffs[[#Headers],[CLER]],Tariff_HID_Tbl[#Headers],0))</f>
        <v>46.407102017369617</v>
      </c>
      <c r="F49" s="771">
        <f>INDEX(Tariff_HID_Tbl[],MATCH(HID_Tariffs[[#This Row],[Base Lamp]:[Base Lamp]],Tariff_HID_Tbl[[HID]:[HID]],0),MATCH(HID_Tariffs[[#Headers],[PLC]],Tariff_HID_Tbl[#Headers],0))</f>
        <v>0</v>
      </c>
      <c r="G49" s="771">
        <f>INDEX(Tariff_HID_Tbl[],MATCH(HID_Tariffs[[#This Row],[Base Lamp]:[Base Lamp]],Tariff_HID_Tbl[[HID]:[HID]],0),MATCH(HID_Tariffs[[#Headers],[TFI]],Tariff_HID_Tbl[#Headers],0))</f>
        <v>0</v>
      </c>
      <c r="H49" s="771">
        <f>INDEX(Tariff_HID_Tbl[],MATCH(HID_Tariffs[[#This Row],[Base Lamp]:[Base Lamp]],Tariff_HID_Tbl[[HID]:[HID]],0),MATCH(HID_Tariffs[[#Headers],[SLUOS]],Tariff_HID_Tbl[#Headers],0))</f>
        <v>96.657157120270099</v>
      </c>
      <c r="J49" s="506" t="s">
        <v>488</v>
      </c>
      <c r="K49" s="774"/>
      <c r="L49" s="771">
        <v>3.0946062538521595</v>
      </c>
      <c r="M49" s="771">
        <v>46.715599720133923</v>
      </c>
      <c r="N49" s="771">
        <v>0</v>
      </c>
      <c r="O49" s="771">
        <v>0</v>
      </c>
      <c r="P49" s="771">
        <v>97.713543013687001</v>
      </c>
      <c r="R49" s="506" t="s">
        <v>488</v>
      </c>
      <c r="S49" s="83"/>
      <c r="T49" s="771">
        <v>3.1321148140898711</v>
      </c>
      <c r="U49" s="771">
        <v>47.072660295570117</v>
      </c>
      <c r="V49" s="771">
        <v>0</v>
      </c>
      <c r="W49" s="771">
        <v>0</v>
      </c>
      <c r="X49" s="771">
        <v>98.441571103365405</v>
      </c>
      <c r="Z49" s="506" t="s">
        <v>488</v>
      </c>
      <c r="AA49" s="83"/>
      <c r="AB49" s="771">
        <v>3.1663226210266635</v>
      </c>
      <c r="AC49" s="771">
        <v>47.398298302511435</v>
      </c>
      <c r="AD49" s="771">
        <v>0</v>
      </c>
      <c r="AE49" s="771">
        <v>0</v>
      </c>
      <c r="AF49" s="771">
        <v>100.00885351718891</v>
      </c>
      <c r="AH49" s="506" t="s">
        <v>488</v>
      </c>
      <c r="AI49" s="83"/>
      <c r="AJ49" s="771">
        <v>3.1969296061806358</v>
      </c>
      <c r="AK49" s="771">
        <v>47.689659668587559</v>
      </c>
      <c r="AL49" s="771">
        <v>0</v>
      </c>
      <c r="AM49" s="771">
        <v>0</v>
      </c>
      <c r="AN49" s="771">
        <v>100.75944404077903</v>
      </c>
    </row>
    <row r="50" spans="2:40" x14ac:dyDescent="0.2">
      <c r="B50" s="506" t="str">
        <f t="shared" ref="B50:B59" si="7">$B$49</f>
        <v>S-HP Other</v>
      </c>
      <c r="C50" s="83" t="s">
        <v>91</v>
      </c>
      <c r="D50" s="771">
        <f>INDEX(Tariff_HID_Tbl[],MATCH(HID_Tariffs[[#This Row],[Base Lamp]:[Base Lamp]],Tariff_HID_Tbl[[HID]:[HID]],0),MATCH(HID_Tariffs[[#Headers],[ENERGY]],Tariff_HID_Tbl[#Headers],0))</f>
        <v>3.0621988578067763</v>
      </c>
      <c r="E50" s="771">
        <f>INDEX(Tariff_HID_Tbl[],MATCH(HID_Tariffs[[#This Row],[Base Lamp]:[Base Lamp]],Tariff_HID_Tbl[[HID]:[HID]],0),MATCH(HID_Tariffs[[#Headers],[CLER]],Tariff_HID_Tbl[#Headers],0))</f>
        <v>46.407102017369617</v>
      </c>
      <c r="F50" s="771">
        <f>INDEX(Tariff_HID_Tbl[],MATCH(HID_Tariffs[[#This Row],[Base Lamp]:[Base Lamp]],Tariff_HID_Tbl[[HID]:[HID]],0),MATCH(HID_Tariffs[[#Headers],[PLC]],Tariff_HID_Tbl[#Headers],0))</f>
        <v>0</v>
      </c>
      <c r="G50" s="771">
        <f>INDEX(Tariff_HID_Tbl[],MATCH(HID_Tariffs[[#This Row],[Base Lamp]:[Base Lamp]],Tariff_HID_Tbl[[HID]:[HID]],0),MATCH(HID_Tariffs[[#Headers],[TFI]],Tariff_HID_Tbl[#Headers],0))</f>
        <v>0</v>
      </c>
      <c r="H50" s="771">
        <f>INDEX(Tariff_HID_Tbl[],MATCH(HID_Tariffs[[#This Row],[Base Lamp]:[Base Lamp]],Tariff_HID_Tbl[[HID]:[HID]],0),MATCH(HID_Tariffs[[#Headers],[SLUOS]],Tariff_HID_Tbl[#Headers],0))</f>
        <v>96.657157120270099</v>
      </c>
      <c r="J50" s="506" t="s">
        <v>488</v>
      </c>
      <c r="K50" s="774" t="s">
        <v>91</v>
      </c>
      <c r="L50" s="771">
        <v>3.0946062538521595</v>
      </c>
      <c r="M50" s="771">
        <v>46.715599720133923</v>
      </c>
      <c r="N50" s="771">
        <v>0</v>
      </c>
      <c r="O50" s="771">
        <v>0</v>
      </c>
      <c r="P50" s="771">
        <v>97.713543013687001</v>
      </c>
      <c r="R50" s="506" t="s">
        <v>488</v>
      </c>
      <c r="S50" s="83" t="s">
        <v>91</v>
      </c>
      <c r="T50" s="771">
        <v>3.1321148140898711</v>
      </c>
      <c r="U50" s="771">
        <v>47.072660295570117</v>
      </c>
      <c r="V50" s="771">
        <v>0</v>
      </c>
      <c r="W50" s="771">
        <v>0</v>
      </c>
      <c r="X50" s="771">
        <v>98.441571103365405</v>
      </c>
      <c r="Z50" s="506" t="s">
        <v>488</v>
      </c>
      <c r="AA50" s="83" t="s">
        <v>91</v>
      </c>
      <c r="AB50" s="771">
        <v>3.1663226210266635</v>
      </c>
      <c r="AC50" s="771">
        <v>47.398298302511435</v>
      </c>
      <c r="AD50" s="771">
        <v>0</v>
      </c>
      <c r="AE50" s="771">
        <v>0</v>
      </c>
      <c r="AF50" s="771">
        <v>100.00885351718891</v>
      </c>
      <c r="AH50" s="506" t="s">
        <v>488</v>
      </c>
      <c r="AI50" s="83" t="s">
        <v>91</v>
      </c>
      <c r="AJ50" s="771">
        <v>3.1969296061806358</v>
      </c>
      <c r="AK50" s="771">
        <v>47.689659668587559</v>
      </c>
      <c r="AL50" s="771">
        <v>0</v>
      </c>
      <c r="AM50" s="771">
        <v>0</v>
      </c>
      <c r="AN50" s="771">
        <v>100.75944404077903</v>
      </c>
    </row>
    <row r="51" spans="2:40" x14ac:dyDescent="0.2">
      <c r="B51" s="506" t="str">
        <f t="shared" si="7"/>
        <v>S-HP Other</v>
      </c>
      <c r="C51" s="83" t="s">
        <v>131</v>
      </c>
      <c r="D51" s="771">
        <f>INDEX(Tariff_HID_Tbl[],MATCH(HID_Tariffs[[#This Row],[Base Lamp]:[Base Lamp]],Tariff_HID_Tbl[[HID]:[HID]],0),MATCH(HID_Tariffs[[#Headers],[ENERGY]],Tariff_HID_Tbl[#Headers],0))</f>
        <v>3.0621988578067763</v>
      </c>
      <c r="E51" s="771">
        <f>INDEX(Tariff_HID_Tbl[],MATCH(HID_Tariffs[[#This Row],[Base Lamp]:[Base Lamp]],Tariff_HID_Tbl[[HID]:[HID]],0),MATCH(HID_Tariffs[[#Headers],[CLER]],Tariff_HID_Tbl[#Headers],0))</f>
        <v>46.407102017369617</v>
      </c>
      <c r="F51" s="771">
        <f>INDEX(Tariff_HID_Tbl[],MATCH(HID_Tariffs[[#This Row],[Base Lamp]:[Base Lamp]],Tariff_HID_Tbl[[HID]:[HID]],0),MATCH(HID_Tariffs[[#Headers],[PLC]],Tariff_HID_Tbl[#Headers],0))</f>
        <v>0</v>
      </c>
      <c r="G51" s="771">
        <f>INDEX(Tariff_HID_Tbl[],MATCH(HID_Tariffs[[#This Row],[Base Lamp]:[Base Lamp]],Tariff_HID_Tbl[[HID]:[HID]],0),MATCH(HID_Tariffs[[#Headers],[TFI]],Tariff_HID_Tbl[#Headers],0))</f>
        <v>0</v>
      </c>
      <c r="H51" s="771">
        <f>INDEX(Tariff_HID_Tbl[],MATCH(HID_Tariffs[[#This Row],[Base Lamp]:[Base Lamp]],Tariff_HID_Tbl[[HID]:[HID]],0),MATCH(HID_Tariffs[[#Headers],[SLUOS]],Tariff_HID_Tbl[#Headers],0))</f>
        <v>96.657157120270099</v>
      </c>
      <c r="J51" s="506" t="s">
        <v>488</v>
      </c>
      <c r="K51" s="774" t="s">
        <v>131</v>
      </c>
      <c r="L51" s="771">
        <v>3.0946062538521595</v>
      </c>
      <c r="M51" s="771">
        <v>46.715599720133923</v>
      </c>
      <c r="N51" s="771">
        <v>0</v>
      </c>
      <c r="O51" s="771">
        <v>0</v>
      </c>
      <c r="P51" s="771">
        <v>97.713543013687001</v>
      </c>
      <c r="R51" s="506" t="s">
        <v>488</v>
      </c>
      <c r="S51" s="83" t="s">
        <v>131</v>
      </c>
      <c r="T51" s="771">
        <v>3.1321148140898711</v>
      </c>
      <c r="U51" s="771">
        <v>47.072660295570117</v>
      </c>
      <c r="V51" s="771">
        <v>0</v>
      </c>
      <c r="W51" s="771">
        <v>0</v>
      </c>
      <c r="X51" s="771">
        <v>98.441571103365405</v>
      </c>
      <c r="Z51" s="506" t="s">
        <v>488</v>
      </c>
      <c r="AA51" s="83" t="s">
        <v>131</v>
      </c>
      <c r="AB51" s="771">
        <v>3.1663226210266635</v>
      </c>
      <c r="AC51" s="771">
        <v>47.398298302511435</v>
      </c>
      <c r="AD51" s="771">
        <v>0</v>
      </c>
      <c r="AE51" s="771">
        <v>0</v>
      </c>
      <c r="AF51" s="771">
        <v>100.00885351718891</v>
      </c>
      <c r="AH51" s="506" t="s">
        <v>488</v>
      </c>
      <c r="AI51" s="83" t="s">
        <v>131</v>
      </c>
      <c r="AJ51" s="771">
        <v>3.1969296061806358</v>
      </c>
      <c r="AK51" s="771">
        <v>47.689659668587559</v>
      </c>
      <c r="AL51" s="771">
        <v>0</v>
      </c>
      <c r="AM51" s="771">
        <v>0</v>
      </c>
      <c r="AN51" s="771">
        <v>100.75944404077903</v>
      </c>
    </row>
    <row r="52" spans="2:40" x14ac:dyDescent="0.2">
      <c r="B52" s="506" t="str">
        <f t="shared" si="7"/>
        <v>S-HP Other</v>
      </c>
      <c r="C52" s="83" t="s">
        <v>115</v>
      </c>
      <c r="D52" s="771">
        <f>INDEX(Tariff_HID_Tbl[],MATCH(HID_Tariffs[[#This Row],[Base Lamp]:[Base Lamp]],Tariff_HID_Tbl[[HID]:[HID]],0),MATCH(HID_Tariffs[[#Headers],[ENERGY]],Tariff_HID_Tbl[#Headers],0))</f>
        <v>3.0621988578067763</v>
      </c>
      <c r="E52" s="771">
        <f>INDEX(Tariff_HID_Tbl[],MATCH(HID_Tariffs[[#This Row],[Base Lamp]:[Base Lamp]],Tariff_HID_Tbl[[HID]:[HID]],0),MATCH(HID_Tariffs[[#Headers],[CLER]],Tariff_HID_Tbl[#Headers],0))</f>
        <v>46.407102017369617</v>
      </c>
      <c r="F52" s="771">
        <f>INDEX(Tariff_HID_Tbl[],MATCH(HID_Tariffs[[#This Row],[Base Lamp]:[Base Lamp]],Tariff_HID_Tbl[[HID]:[HID]],0),MATCH(HID_Tariffs[[#Headers],[PLC]],Tariff_HID_Tbl[#Headers],0))</f>
        <v>0</v>
      </c>
      <c r="G52" s="771">
        <f>INDEX(Tariff_HID_Tbl[],MATCH(HID_Tariffs[[#This Row],[Base Lamp]:[Base Lamp]],Tariff_HID_Tbl[[HID]:[HID]],0),MATCH(HID_Tariffs[[#Headers],[TFI]],Tariff_HID_Tbl[#Headers],0))</f>
        <v>0</v>
      </c>
      <c r="H52" s="771">
        <f>INDEX(Tariff_HID_Tbl[],MATCH(HID_Tariffs[[#This Row],[Base Lamp]:[Base Lamp]],Tariff_HID_Tbl[[HID]:[HID]],0),MATCH(HID_Tariffs[[#Headers],[SLUOS]],Tariff_HID_Tbl[#Headers],0))</f>
        <v>96.657157120270099</v>
      </c>
      <c r="J52" s="506" t="s">
        <v>488</v>
      </c>
      <c r="K52" s="774" t="s">
        <v>115</v>
      </c>
      <c r="L52" s="771">
        <v>3.0946062538521595</v>
      </c>
      <c r="M52" s="771">
        <v>46.715599720133923</v>
      </c>
      <c r="N52" s="771">
        <v>0</v>
      </c>
      <c r="O52" s="771">
        <v>0</v>
      </c>
      <c r="P52" s="771">
        <v>97.713543013687001</v>
      </c>
      <c r="R52" s="506" t="s">
        <v>488</v>
      </c>
      <c r="S52" s="83" t="s">
        <v>115</v>
      </c>
      <c r="T52" s="771">
        <v>3.1321148140898711</v>
      </c>
      <c r="U52" s="771">
        <v>47.072660295570117</v>
      </c>
      <c r="V52" s="771">
        <v>0</v>
      </c>
      <c r="W52" s="771">
        <v>0</v>
      </c>
      <c r="X52" s="771">
        <v>98.441571103365405</v>
      </c>
      <c r="Z52" s="506" t="s">
        <v>488</v>
      </c>
      <c r="AA52" s="83" t="s">
        <v>115</v>
      </c>
      <c r="AB52" s="771">
        <v>3.1663226210266635</v>
      </c>
      <c r="AC52" s="771">
        <v>47.398298302511435</v>
      </c>
      <c r="AD52" s="771">
        <v>0</v>
      </c>
      <c r="AE52" s="771">
        <v>0</v>
      </c>
      <c r="AF52" s="771">
        <v>100.00885351718891</v>
      </c>
      <c r="AH52" s="506" t="s">
        <v>488</v>
      </c>
      <c r="AI52" s="83" t="s">
        <v>115</v>
      </c>
      <c r="AJ52" s="771">
        <v>3.1969296061806358</v>
      </c>
      <c r="AK52" s="771">
        <v>47.689659668587559</v>
      </c>
      <c r="AL52" s="771">
        <v>0</v>
      </c>
      <c r="AM52" s="771">
        <v>0</v>
      </c>
      <c r="AN52" s="771">
        <v>100.75944404077903</v>
      </c>
    </row>
    <row r="53" spans="2:40" x14ac:dyDescent="0.2">
      <c r="B53" s="506" t="str">
        <f t="shared" si="7"/>
        <v>S-HP Other</v>
      </c>
      <c r="C53" s="83" t="s">
        <v>120</v>
      </c>
      <c r="D53" s="771">
        <f>INDEX(Tariff_HID_Tbl[],MATCH(HID_Tariffs[[#This Row],[Base Lamp]:[Base Lamp]],Tariff_HID_Tbl[[HID]:[HID]],0),MATCH(HID_Tariffs[[#Headers],[ENERGY]],Tariff_HID_Tbl[#Headers],0))</f>
        <v>3.0621988578067763</v>
      </c>
      <c r="E53" s="771">
        <f>INDEX(Tariff_HID_Tbl[],MATCH(HID_Tariffs[[#This Row],[Base Lamp]:[Base Lamp]],Tariff_HID_Tbl[[HID]:[HID]],0),MATCH(HID_Tariffs[[#Headers],[CLER]],Tariff_HID_Tbl[#Headers],0))</f>
        <v>46.407102017369617</v>
      </c>
      <c r="F53" s="771">
        <f>INDEX(Tariff_HID_Tbl[],MATCH(HID_Tariffs[[#This Row],[Base Lamp]:[Base Lamp]],Tariff_HID_Tbl[[HID]:[HID]],0),MATCH(HID_Tariffs[[#Headers],[PLC]],Tariff_HID_Tbl[#Headers],0))</f>
        <v>0</v>
      </c>
      <c r="G53" s="771">
        <f>INDEX(Tariff_HID_Tbl[],MATCH(HID_Tariffs[[#This Row],[Base Lamp]:[Base Lamp]],Tariff_HID_Tbl[[HID]:[HID]],0),MATCH(HID_Tariffs[[#Headers],[TFI]],Tariff_HID_Tbl[#Headers],0))</f>
        <v>0</v>
      </c>
      <c r="H53" s="771">
        <f>INDEX(Tariff_HID_Tbl[],MATCH(HID_Tariffs[[#This Row],[Base Lamp]:[Base Lamp]],Tariff_HID_Tbl[[HID]:[HID]],0),MATCH(HID_Tariffs[[#Headers],[SLUOS]],Tariff_HID_Tbl[#Headers],0))</f>
        <v>96.657157120270099</v>
      </c>
      <c r="J53" s="506" t="s">
        <v>488</v>
      </c>
      <c r="K53" s="774" t="s">
        <v>120</v>
      </c>
      <c r="L53" s="771">
        <v>3.0946062538521595</v>
      </c>
      <c r="M53" s="771">
        <v>46.715599720133923</v>
      </c>
      <c r="N53" s="771">
        <v>0</v>
      </c>
      <c r="O53" s="771">
        <v>0</v>
      </c>
      <c r="P53" s="771">
        <v>97.713543013687001</v>
      </c>
      <c r="R53" s="506" t="s">
        <v>488</v>
      </c>
      <c r="S53" s="83" t="s">
        <v>120</v>
      </c>
      <c r="T53" s="771">
        <v>3.1321148140898711</v>
      </c>
      <c r="U53" s="771">
        <v>47.072660295570117</v>
      </c>
      <c r="V53" s="771">
        <v>0</v>
      </c>
      <c r="W53" s="771">
        <v>0</v>
      </c>
      <c r="X53" s="771">
        <v>98.441571103365405</v>
      </c>
      <c r="Z53" s="506" t="s">
        <v>488</v>
      </c>
      <c r="AA53" s="83" t="s">
        <v>120</v>
      </c>
      <c r="AB53" s="771">
        <v>3.1663226210266635</v>
      </c>
      <c r="AC53" s="771">
        <v>47.398298302511435</v>
      </c>
      <c r="AD53" s="771">
        <v>0</v>
      </c>
      <c r="AE53" s="771">
        <v>0</v>
      </c>
      <c r="AF53" s="771">
        <v>100.00885351718891</v>
      </c>
      <c r="AH53" s="506" t="s">
        <v>488</v>
      </c>
      <c r="AI53" s="83" t="s">
        <v>120</v>
      </c>
      <c r="AJ53" s="771">
        <v>3.1969296061806358</v>
      </c>
      <c r="AK53" s="771">
        <v>47.689659668587559</v>
      </c>
      <c r="AL53" s="771">
        <v>0</v>
      </c>
      <c r="AM53" s="771">
        <v>0</v>
      </c>
      <c r="AN53" s="771">
        <v>100.75944404077903</v>
      </c>
    </row>
    <row r="54" spans="2:40" x14ac:dyDescent="0.2">
      <c r="B54" s="506" t="str">
        <f t="shared" si="7"/>
        <v>S-HP Other</v>
      </c>
      <c r="C54" s="83" t="s">
        <v>128</v>
      </c>
      <c r="D54" s="771">
        <f>INDEX(Tariff_HID_Tbl[],MATCH(HID_Tariffs[[#This Row],[Base Lamp]:[Base Lamp]],Tariff_HID_Tbl[[HID]:[HID]],0),MATCH(HID_Tariffs[[#Headers],[ENERGY]],Tariff_HID_Tbl[#Headers],0))</f>
        <v>3.0621988578067763</v>
      </c>
      <c r="E54" s="771">
        <f>INDEX(Tariff_HID_Tbl[],MATCH(HID_Tariffs[[#This Row],[Base Lamp]:[Base Lamp]],Tariff_HID_Tbl[[HID]:[HID]],0),MATCH(HID_Tariffs[[#Headers],[CLER]],Tariff_HID_Tbl[#Headers],0))</f>
        <v>46.407102017369617</v>
      </c>
      <c r="F54" s="771">
        <f>INDEX(Tariff_HID_Tbl[],MATCH(HID_Tariffs[[#This Row],[Base Lamp]:[Base Lamp]],Tariff_HID_Tbl[[HID]:[HID]],0),MATCH(HID_Tariffs[[#Headers],[PLC]],Tariff_HID_Tbl[#Headers],0))</f>
        <v>0</v>
      </c>
      <c r="G54" s="771">
        <f>INDEX(Tariff_HID_Tbl[],MATCH(HID_Tariffs[[#This Row],[Base Lamp]:[Base Lamp]],Tariff_HID_Tbl[[HID]:[HID]],0),MATCH(HID_Tariffs[[#Headers],[TFI]],Tariff_HID_Tbl[#Headers],0))</f>
        <v>0</v>
      </c>
      <c r="H54" s="771">
        <f>INDEX(Tariff_HID_Tbl[],MATCH(HID_Tariffs[[#This Row],[Base Lamp]:[Base Lamp]],Tariff_HID_Tbl[[HID]:[HID]],0),MATCH(HID_Tariffs[[#Headers],[SLUOS]],Tariff_HID_Tbl[#Headers],0))</f>
        <v>96.657157120270099</v>
      </c>
      <c r="J54" s="506" t="s">
        <v>488</v>
      </c>
      <c r="K54" s="774" t="s">
        <v>128</v>
      </c>
      <c r="L54" s="771">
        <v>3.0946062538521595</v>
      </c>
      <c r="M54" s="771">
        <v>46.715599720133923</v>
      </c>
      <c r="N54" s="771">
        <v>0</v>
      </c>
      <c r="O54" s="771">
        <v>0</v>
      </c>
      <c r="P54" s="771">
        <v>97.713543013687001</v>
      </c>
      <c r="R54" s="506" t="s">
        <v>488</v>
      </c>
      <c r="S54" s="83" t="s">
        <v>128</v>
      </c>
      <c r="T54" s="771">
        <v>3.1321148140898711</v>
      </c>
      <c r="U54" s="771">
        <v>47.072660295570117</v>
      </c>
      <c r="V54" s="771">
        <v>0</v>
      </c>
      <c r="W54" s="771">
        <v>0</v>
      </c>
      <c r="X54" s="771">
        <v>98.441571103365405</v>
      </c>
      <c r="Z54" s="506" t="s">
        <v>488</v>
      </c>
      <c r="AA54" s="83" t="s">
        <v>128</v>
      </c>
      <c r="AB54" s="771">
        <v>3.1663226210266635</v>
      </c>
      <c r="AC54" s="771">
        <v>47.398298302511435</v>
      </c>
      <c r="AD54" s="771">
        <v>0</v>
      </c>
      <c r="AE54" s="771">
        <v>0</v>
      </c>
      <c r="AF54" s="771">
        <v>100.00885351718891</v>
      </c>
      <c r="AH54" s="506" t="s">
        <v>488</v>
      </c>
      <c r="AI54" s="83" t="s">
        <v>128</v>
      </c>
      <c r="AJ54" s="771">
        <v>3.1969296061806358</v>
      </c>
      <c r="AK54" s="771">
        <v>47.689659668587559</v>
      </c>
      <c r="AL54" s="771">
        <v>0</v>
      </c>
      <c r="AM54" s="771">
        <v>0</v>
      </c>
      <c r="AN54" s="771">
        <v>100.75944404077903</v>
      </c>
    </row>
    <row r="55" spans="2:40" x14ac:dyDescent="0.2">
      <c r="B55" s="506" t="str">
        <f t="shared" si="7"/>
        <v>S-HP Other</v>
      </c>
      <c r="C55" s="83" t="s">
        <v>125</v>
      </c>
      <c r="D55" s="771">
        <f>INDEX(Tariff_HID_Tbl[],MATCH(HID_Tariffs[[#This Row],[Base Lamp]:[Base Lamp]],Tariff_HID_Tbl[[HID]:[HID]],0),MATCH(HID_Tariffs[[#Headers],[ENERGY]],Tariff_HID_Tbl[#Headers],0))</f>
        <v>3.0621988578067763</v>
      </c>
      <c r="E55" s="771">
        <f>INDEX(Tariff_HID_Tbl[],MATCH(HID_Tariffs[[#This Row],[Base Lamp]:[Base Lamp]],Tariff_HID_Tbl[[HID]:[HID]],0),MATCH(HID_Tariffs[[#Headers],[CLER]],Tariff_HID_Tbl[#Headers],0))</f>
        <v>46.407102017369617</v>
      </c>
      <c r="F55" s="771">
        <f>INDEX(Tariff_HID_Tbl[],MATCH(HID_Tariffs[[#This Row],[Base Lamp]:[Base Lamp]],Tariff_HID_Tbl[[HID]:[HID]],0),MATCH(HID_Tariffs[[#Headers],[PLC]],Tariff_HID_Tbl[#Headers],0))</f>
        <v>0</v>
      </c>
      <c r="G55" s="771">
        <f>INDEX(Tariff_HID_Tbl[],MATCH(HID_Tariffs[[#This Row],[Base Lamp]:[Base Lamp]],Tariff_HID_Tbl[[HID]:[HID]],0),MATCH(HID_Tariffs[[#Headers],[TFI]],Tariff_HID_Tbl[#Headers],0))</f>
        <v>0</v>
      </c>
      <c r="H55" s="771">
        <f>INDEX(Tariff_HID_Tbl[],MATCH(HID_Tariffs[[#This Row],[Base Lamp]:[Base Lamp]],Tariff_HID_Tbl[[HID]:[HID]],0),MATCH(HID_Tariffs[[#Headers],[SLUOS]],Tariff_HID_Tbl[#Headers],0))</f>
        <v>96.657157120270099</v>
      </c>
      <c r="J55" s="506" t="s">
        <v>488</v>
      </c>
      <c r="K55" s="774" t="s">
        <v>125</v>
      </c>
      <c r="L55" s="771">
        <v>3.0946062538521595</v>
      </c>
      <c r="M55" s="771">
        <v>46.715599720133923</v>
      </c>
      <c r="N55" s="771">
        <v>0</v>
      </c>
      <c r="O55" s="771">
        <v>0</v>
      </c>
      <c r="P55" s="771">
        <v>97.713543013687001</v>
      </c>
      <c r="R55" s="506" t="s">
        <v>488</v>
      </c>
      <c r="S55" s="83" t="s">
        <v>125</v>
      </c>
      <c r="T55" s="771">
        <v>3.1321148140898711</v>
      </c>
      <c r="U55" s="771">
        <v>47.072660295570117</v>
      </c>
      <c r="V55" s="771">
        <v>0</v>
      </c>
      <c r="W55" s="771">
        <v>0</v>
      </c>
      <c r="X55" s="771">
        <v>98.441571103365405</v>
      </c>
      <c r="Z55" s="506" t="s">
        <v>488</v>
      </c>
      <c r="AA55" s="83" t="s">
        <v>125</v>
      </c>
      <c r="AB55" s="771">
        <v>3.1663226210266635</v>
      </c>
      <c r="AC55" s="771">
        <v>47.398298302511435</v>
      </c>
      <c r="AD55" s="771">
        <v>0</v>
      </c>
      <c r="AE55" s="771">
        <v>0</v>
      </c>
      <c r="AF55" s="771">
        <v>100.00885351718891</v>
      </c>
      <c r="AH55" s="506" t="s">
        <v>488</v>
      </c>
      <c r="AI55" s="83" t="s">
        <v>125</v>
      </c>
      <c r="AJ55" s="771">
        <v>3.1969296061806358</v>
      </c>
      <c r="AK55" s="771">
        <v>47.689659668587559</v>
      </c>
      <c r="AL55" s="771">
        <v>0</v>
      </c>
      <c r="AM55" s="771">
        <v>0</v>
      </c>
      <c r="AN55" s="771">
        <v>100.75944404077903</v>
      </c>
    </row>
    <row r="56" spans="2:40" x14ac:dyDescent="0.2">
      <c r="B56" s="506" t="str">
        <f t="shared" si="7"/>
        <v>S-HP Other</v>
      </c>
      <c r="C56" s="83" t="s">
        <v>118</v>
      </c>
      <c r="D56" s="771">
        <f>INDEX(Tariff_HID_Tbl[],MATCH(HID_Tariffs[[#This Row],[Base Lamp]:[Base Lamp]],Tariff_HID_Tbl[[HID]:[HID]],0),MATCH(HID_Tariffs[[#Headers],[ENERGY]],Tariff_HID_Tbl[#Headers],0))</f>
        <v>3.0621988578067763</v>
      </c>
      <c r="E56" s="771">
        <f>INDEX(Tariff_HID_Tbl[],MATCH(HID_Tariffs[[#This Row],[Base Lamp]:[Base Lamp]],Tariff_HID_Tbl[[HID]:[HID]],0),MATCH(HID_Tariffs[[#Headers],[CLER]],Tariff_HID_Tbl[#Headers],0))</f>
        <v>46.407102017369617</v>
      </c>
      <c r="F56" s="771">
        <f>INDEX(Tariff_HID_Tbl[],MATCH(HID_Tariffs[[#This Row],[Base Lamp]:[Base Lamp]],Tariff_HID_Tbl[[HID]:[HID]],0),MATCH(HID_Tariffs[[#Headers],[PLC]],Tariff_HID_Tbl[#Headers],0))</f>
        <v>0</v>
      </c>
      <c r="G56" s="771">
        <f>INDEX(Tariff_HID_Tbl[],MATCH(HID_Tariffs[[#This Row],[Base Lamp]:[Base Lamp]],Tariff_HID_Tbl[[HID]:[HID]],0),MATCH(HID_Tariffs[[#Headers],[TFI]],Tariff_HID_Tbl[#Headers],0))</f>
        <v>0</v>
      </c>
      <c r="H56" s="771">
        <f>INDEX(Tariff_HID_Tbl[],MATCH(HID_Tariffs[[#This Row],[Base Lamp]:[Base Lamp]],Tariff_HID_Tbl[[HID]:[HID]],0),MATCH(HID_Tariffs[[#Headers],[SLUOS]],Tariff_HID_Tbl[#Headers],0))</f>
        <v>96.657157120270099</v>
      </c>
      <c r="J56" s="506" t="s">
        <v>488</v>
      </c>
      <c r="K56" s="774" t="s">
        <v>118</v>
      </c>
      <c r="L56" s="771">
        <v>3.0946062538521595</v>
      </c>
      <c r="M56" s="771">
        <v>46.715599720133923</v>
      </c>
      <c r="N56" s="771">
        <v>0</v>
      </c>
      <c r="O56" s="771">
        <v>0</v>
      </c>
      <c r="P56" s="771">
        <v>97.713543013687001</v>
      </c>
      <c r="R56" s="506" t="s">
        <v>488</v>
      </c>
      <c r="S56" s="83" t="s">
        <v>118</v>
      </c>
      <c r="T56" s="771">
        <v>3.1321148140898711</v>
      </c>
      <c r="U56" s="771">
        <v>47.072660295570117</v>
      </c>
      <c r="V56" s="771">
        <v>0</v>
      </c>
      <c r="W56" s="771">
        <v>0</v>
      </c>
      <c r="X56" s="771">
        <v>98.441571103365405</v>
      </c>
      <c r="Z56" s="506" t="s">
        <v>488</v>
      </c>
      <c r="AA56" s="83" t="s">
        <v>118</v>
      </c>
      <c r="AB56" s="771">
        <v>3.1663226210266635</v>
      </c>
      <c r="AC56" s="771">
        <v>47.398298302511435</v>
      </c>
      <c r="AD56" s="771">
        <v>0</v>
      </c>
      <c r="AE56" s="771">
        <v>0</v>
      </c>
      <c r="AF56" s="771">
        <v>100.00885351718891</v>
      </c>
      <c r="AH56" s="506" t="s">
        <v>488</v>
      </c>
      <c r="AI56" s="83" t="s">
        <v>118</v>
      </c>
      <c r="AJ56" s="771">
        <v>3.1969296061806358</v>
      </c>
      <c r="AK56" s="771">
        <v>47.689659668587559</v>
      </c>
      <c r="AL56" s="771">
        <v>0</v>
      </c>
      <c r="AM56" s="771">
        <v>0</v>
      </c>
      <c r="AN56" s="771">
        <v>100.75944404077903</v>
      </c>
    </row>
    <row r="57" spans="2:40" x14ac:dyDescent="0.2">
      <c r="B57" s="506" t="str">
        <f t="shared" si="7"/>
        <v>S-HP Other</v>
      </c>
      <c r="C57" s="83" t="s">
        <v>482</v>
      </c>
      <c r="D57" s="771">
        <f>INDEX(Tariff_HID_Tbl[],MATCH(HID_Tariffs[[#This Row],[Base Lamp]:[Base Lamp]],Tariff_HID_Tbl[[HID]:[HID]],0),MATCH(HID_Tariffs[[#Headers],[ENERGY]],Tariff_HID_Tbl[#Headers],0))</f>
        <v>3.0621988578067763</v>
      </c>
      <c r="E57" s="771">
        <f>INDEX(Tariff_HID_Tbl[],MATCH(HID_Tariffs[[#This Row],[Base Lamp]:[Base Lamp]],Tariff_HID_Tbl[[HID]:[HID]],0),MATCH(HID_Tariffs[[#Headers],[CLER]],Tariff_HID_Tbl[#Headers],0))</f>
        <v>46.407102017369617</v>
      </c>
      <c r="F57" s="771">
        <f>INDEX(Tariff_HID_Tbl[],MATCH(HID_Tariffs[[#This Row],[Base Lamp]:[Base Lamp]],Tariff_HID_Tbl[[HID]:[HID]],0),MATCH(HID_Tariffs[[#Headers],[PLC]],Tariff_HID_Tbl[#Headers],0))</f>
        <v>0</v>
      </c>
      <c r="G57" s="771">
        <f>INDEX(Tariff_HID_Tbl[],MATCH(HID_Tariffs[[#This Row],[Base Lamp]:[Base Lamp]],Tariff_HID_Tbl[[HID]:[HID]],0),MATCH(HID_Tariffs[[#Headers],[TFI]],Tariff_HID_Tbl[#Headers],0))</f>
        <v>0</v>
      </c>
      <c r="H57" s="771">
        <f>INDEX(Tariff_HID_Tbl[],MATCH(HID_Tariffs[[#This Row],[Base Lamp]:[Base Lamp]],Tariff_HID_Tbl[[HID]:[HID]],0),MATCH(HID_Tariffs[[#Headers],[SLUOS]],Tariff_HID_Tbl[#Headers],0))</f>
        <v>96.657157120270099</v>
      </c>
      <c r="J57" s="506" t="s">
        <v>488</v>
      </c>
      <c r="K57" s="774" t="s">
        <v>482</v>
      </c>
      <c r="L57" s="771">
        <v>3.0946062538521595</v>
      </c>
      <c r="M57" s="771">
        <v>46.715599720133923</v>
      </c>
      <c r="N57" s="771">
        <v>0</v>
      </c>
      <c r="O57" s="771">
        <v>0</v>
      </c>
      <c r="P57" s="771">
        <v>97.713543013687001</v>
      </c>
      <c r="R57" s="506" t="s">
        <v>488</v>
      </c>
      <c r="S57" s="83" t="s">
        <v>482</v>
      </c>
      <c r="T57" s="771">
        <v>3.1321148140898711</v>
      </c>
      <c r="U57" s="771">
        <v>47.072660295570117</v>
      </c>
      <c r="V57" s="771">
        <v>0</v>
      </c>
      <c r="W57" s="771">
        <v>0</v>
      </c>
      <c r="X57" s="771">
        <v>98.441571103365405</v>
      </c>
      <c r="Z57" s="506" t="s">
        <v>488</v>
      </c>
      <c r="AA57" s="83" t="s">
        <v>482</v>
      </c>
      <c r="AB57" s="771">
        <v>3.1663226210266635</v>
      </c>
      <c r="AC57" s="771">
        <v>47.398298302511435</v>
      </c>
      <c r="AD57" s="771">
        <v>0</v>
      </c>
      <c r="AE57" s="771">
        <v>0</v>
      </c>
      <c r="AF57" s="771">
        <v>100.00885351718891</v>
      </c>
      <c r="AH57" s="506" t="s">
        <v>488</v>
      </c>
      <c r="AI57" s="83" t="s">
        <v>482</v>
      </c>
      <c r="AJ57" s="771">
        <v>3.1969296061806358</v>
      </c>
      <c r="AK57" s="771">
        <v>47.689659668587559</v>
      </c>
      <c r="AL57" s="771">
        <v>0</v>
      </c>
      <c r="AM57" s="771">
        <v>0</v>
      </c>
      <c r="AN57" s="771">
        <v>100.75944404077903</v>
      </c>
    </row>
    <row r="58" spans="2:40" x14ac:dyDescent="0.2">
      <c r="B58" s="506" t="str">
        <f t="shared" si="7"/>
        <v>S-HP Other</v>
      </c>
      <c r="C58" s="83" t="s">
        <v>474</v>
      </c>
      <c r="D58" s="771">
        <f>INDEX(Tariff_HID_Tbl[],MATCH(HID_Tariffs[[#This Row],[Base Lamp]:[Base Lamp]],Tariff_HID_Tbl[[HID]:[HID]],0),MATCH(HID_Tariffs[[#Headers],[ENERGY]],Tariff_HID_Tbl[#Headers],0))</f>
        <v>3.0621988578067763</v>
      </c>
      <c r="E58" s="771">
        <f>INDEX(Tariff_HID_Tbl[],MATCH(HID_Tariffs[[#This Row],[Base Lamp]:[Base Lamp]],Tariff_HID_Tbl[[HID]:[HID]],0),MATCH(HID_Tariffs[[#Headers],[CLER]],Tariff_HID_Tbl[#Headers],0))</f>
        <v>46.407102017369617</v>
      </c>
      <c r="F58" s="771">
        <f>INDEX(Tariff_HID_Tbl[],MATCH(HID_Tariffs[[#This Row],[Base Lamp]:[Base Lamp]],Tariff_HID_Tbl[[HID]:[HID]],0),MATCH(HID_Tariffs[[#Headers],[PLC]],Tariff_HID_Tbl[#Headers],0))</f>
        <v>0</v>
      </c>
      <c r="G58" s="771">
        <f>INDEX(Tariff_HID_Tbl[],MATCH(HID_Tariffs[[#This Row],[Base Lamp]:[Base Lamp]],Tariff_HID_Tbl[[HID]:[HID]],0),MATCH(HID_Tariffs[[#Headers],[TFI]],Tariff_HID_Tbl[#Headers],0))</f>
        <v>0</v>
      </c>
      <c r="H58" s="771">
        <f>INDEX(Tariff_HID_Tbl[],MATCH(HID_Tariffs[[#This Row],[Base Lamp]:[Base Lamp]],Tariff_HID_Tbl[[HID]:[HID]],0),MATCH(HID_Tariffs[[#Headers],[SLUOS]],Tariff_HID_Tbl[#Headers],0))</f>
        <v>96.657157120270099</v>
      </c>
      <c r="J58" s="506" t="s">
        <v>488</v>
      </c>
      <c r="K58" s="774" t="s">
        <v>474</v>
      </c>
      <c r="L58" s="771">
        <v>3.0946062538521595</v>
      </c>
      <c r="M58" s="771">
        <v>46.715599720133923</v>
      </c>
      <c r="N58" s="771">
        <v>0</v>
      </c>
      <c r="O58" s="771">
        <v>0</v>
      </c>
      <c r="P58" s="771">
        <v>97.713543013687001</v>
      </c>
      <c r="R58" s="506" t="s">
        <v>488</v>
      </c>
      <c r="S58" s="83" t="s">
        <v>474</v>
      </c>
      <c r="T58" s="771">
        <v>3.1321148140898711</v>
      </c>
      <c r="U58" s="771">
        <v>47.072660295570117</v>
      </c>
      <c r="V58" s="771">
        <v>0</v>
      </c>
      <c r="W58" s="771">
        <v>0</v>
      </c>
      <c r="X58" s="771">
        <v>98.441571103365405</v>
      </c>
      <c r="Z58" s="506" t="s">
        <v>488</v>
      </c>
      <c r="AA58" s="83" t="s">
        <v>474</v>
      </c>
      <c r="AB58" s="771">
        <v>3.1663226210266635</v>
      </c>
      <c r="AC58" s="771">
        <v>47.398298302511435</v>
      </c>
      <c r="AD58" s="771">
        <v>0</v>
      </c>
      <c r="AE58" s="771">
        <v>0</v>
      </c>
      <c r="AF58" s="771">
        <v>100.00885351718891</v>
      </c>
      <c r="AH58" s="506" t="s">
        <v>488</v>
      </c>
      <c r="AI58" s="83" t="s">
        <v>474</v>
      </c>
      <c r="AJ58" s="771">
        <v>3.1969296061806358</v>
      </c>
      <c r="AK58" s="771">
        <v>47.689659668587559</v>
      </c>
      <c r="AL58" s="771">
        <v>0</v>
      </c>
      <c r="AM58" s="771">
        <v>0</v>
      </c>
      <c r="AN58" s="771">
        <v>100.75944404077903</v>
      </c>
    </row>
    <row r="59" spans="2:40" x14ac:dyDescent="0.2">
      <c r="B59" s="506" t="str">
        <f t="shared" si="7"/>
        <v>S-HP Other</v>
      </c>
      <c r="C59" s="83" t="s">
        <v>108</v>
      </c>
      <c r="D59" s="771">
        <f>INDEX(Tariff_HID_Tbl[],MATCH(HID_Tariffs[[#This Row],[Base Lamp]:[Base Lamp]],Tariff_HID_Tbl[[HID]:[HID]],0),MATCH(HID_Tariffs[[#Headers],[ENERGY]],Tariff_HID_Tbl[#Headers],0))</f>
        <v>3.0621988578067763</v>
      </c>
      <c r="E59" s="771">
        <f>INDEX(Tariff_HID_Tbl[],MATCH(HID_Tariffs[[#This Row],[Base Lamp]:[Base Lamp]],Tariff_HID_Tbl[[HID]:[HID]],0),MATCH(HID_Tariffs[[#Headers],[CLER]],Tariff_HID_Tbl[#Headers],0))</f>
        <v>46.407102017369617</v>
      </c>
      <c r="F59" s="771">
        <f>INDEX(Tariff_HID_Tbl[],MATCH(HID_Tariffs[[#This Row],[Base Lamp]:[Base Lamp]],Tariff_HID_Tbl[[HID]:[HID]],0),MATCH(HID_Tariffs[[#Headers],[PLC]],Tariff_HID_Tbl[#Headers],0))</f>
        <v>0</v>
      </c>
      <c r="G59" s="771">
        <f>INDEX(Tariff_HID_Tbl[],MATCH(HID_Tariffs[[#This Row],[Base Lamp]:[Base Lamp]],Tariff_HID_Tbl[[HID]:[HID]],0),MATCH(HID_Tariffs[[#Headers],[TFI]],Tariff_HID_Tbl[#Headers],0))</f>
        <v>0</v>
      </c>
      <c r="H59" s="771">
        <f>INDEX(Tariff_HID_Tbl[],MATCH(HID_Tariffs[[#This Row],[Base Lamp]:[Base Lamp]],Tariff_HID_Tbl[[HID]:[HID]],0),MATCH(HID_Tariffs[[#Headers],[SLUOS]],Tariff_HID_Tbl[#Headers],0))</f>
        <v>96.657157120270099</v>
      </c>
      <c r="J59" s="506" t="s">
        <v>488</v>
      </c>
      <c r="K59" s="774" t="s">
        <v>108</v>
      </c>
      <c r="L59" s="771">
        <v>3.0946062538521595</v>
      </c>
      <c r="M59" s="771">
        <v>46.715599720133923</v>
      </c>
      <c r="N59" s="771">
        <v>0</v>
      </c>
      <c r="O59" s="771">
        <v>0</v>
      </c>
      <c r="P59" s="771">
        <v>97.713543013687001</v>
      </c>
      <c r="R59" s="506" t="s">
        <v>488</v>
      </c>
      <c r="S59" s="83" t="s">
        <v>108</v>
      </c>
      <c r="T59" s="771">
        <v>3.1321148140898711</v>
      </c>
      <c r="U59" s="771">
        <v>47.072660295570117</v>
      </c>
      <c r="V59" s="771">
        <v>0</v>
      </c>
      <c r="W59" s="771">
        <v>0</v>
      </c>
      <c r="X59" s="771">
        <v>98.441571103365405</v>
      </c>
      <c r="Z59" s="506" t="s">
        <v>488</v>
      </c>
      <c r="AA59" s="83" t="s">
        <v>108</v>
      </c>
      <c r="AB59" s="771">
        <v>3.1663226210266635</v>
      </c>
      <c r="AC59" s="771">
        <v>47.398298302511435</v>
      </c>
      <c r="AD59" s="771">
        <v>0</v>
      </c>
      <c r="AE59" s="771">
        <v>0</v>
      </c>
      <c r="AF59" s="771">
        <v>100.00885351718891</v>
      </c>
      <c r="AH59" s="506" t="s">
        <v>488</v>
      </c>
      <c r="AI59" s="83" t="s">
        <v>108</v>
      </c>
      <c r="AJ59" s="771">
        <v>3.1969296061806358</v>
      </c>
      <c r="AK59" s="771">
        <v>47.689659668587559</v>
      </c>
      <c r="AL59" s="771">
        <v>0</v>
      </c>
      <c r="AM59" s="771">
        <v>0</v>
      </c>
      <c r="AN59" s="771">
        <v>100.75944404077903</v>
      </c>
    </row>
    <row r="60" spans="2:40" x14ac:dyDescent="0.2">
      <c r="B60" s="506"/>
      <c r="C60" s="83"/>
      <c r="D60" s="771"/>
      <c r="E60" s="771"/>
      <c r="F60" s="771"/>
      <c r="G60" s="771"/>
      <c r="H60" s="771"/>
      <c r="J60" s="506"/>
      <c r="K60" s="774"/>
      <c r="L60" s="771"/>
      <c r="M60" s="771"/>
      <c r="N60" s="771"/>
      <c r="O60" s="771"/>
      <c r="P60" s="771"/>
      <c r="R60" s="506"/>
      <c r="S60" s="83"/>
      <c r="T60" s="771"/>
      <c r="U60" s="771"/>
      <c r="V60" s="771"/>
      <c r="W60" s="771"/>
      <c r="X60" s="771"/>
      <c r="Z60" s="506"/>
      <c r="AA60" s="83"/>
      <c r="AB60" s="771"/>
      <c r="AC60" s="771"/>
      <c r="AD60" s="771"/>
      <c r="AE60" s="771"/>
      <c r="AF60" s="771"/>
      <c r="AH60" s="506"/>
      <c r="AI60" s="83"/>
      <c r="AJ60" s="771"/>
      <c r="AK60" s="771"/>
      <c r="AL60" s="771"/>
      <c r="AM60" s="771"/>
      <c r="AN60" s="771"/>
    </row>
    <row r="61" spans="2:40" x14ac:dyDescent="0.2">
      <c r="B61" s="506" t="s">
        <v>487</v>
      </c>
      <c r="C61" s="83"/>
      <c r="D61" s="771">
        <f>INDEX(Tariff_HID_Tbl[],MATCH(HID_Tariffs[[#This Row],[Base Lamp]:[Base Lamp]],Tariff_HID_Tbl[[HID]:[HID]],0),MATCH(HID_Tariffs[[#Headers],[ENERGY]],Tariff_HID_Tbl[#Headers],0))</f>
        <v>3.0621988578067763</v>
      </c>
      <c r="E61" s="771">
        <f>INDEX(Tariff_HID_Tbl[],MATCH(HID_Tariffs[[#This Row],[Base Lamp]:[Base Lamp]],Tariff_HID_Tbl[[HID]:[HID]],0),MATCH(HID_Tariffs[[#Headers],[CLER]],Tariff_HID_Tbl[#Headers],0))</f>
        <v>50.932337253702997</v>
      </c>
      <c r="F61" s="771">
        <f>INDEX(Tariff_HID_Tbl[],MATCH(HID_Tariffs[[#This Row],[Base Lamp]:[Base Lamp]],Tariff_HID_Tbl[[HID]:[HID]],0),MATCH(HID_Tariffs[[#Headers],[PLC]],Tariff_HID_Tbl[#Headers],0))</f>
        <v>0</v>
      </c>
      <c r="G61" s="771">
        <f>INDEX(Tariff_HID_Tbl[],MATCH(HID_Tariffs[[#This Row],[Base Lamp]:[Base Lamp]],Tariff_HID_Tbl[[HID]:[HID]],0),MATCH(HID_Tariffs[[#Headers],[TFI]],Tariff_HID_Tbl[#Headers],0))</f>
        <v>0</v>
      </c>
      <c r="H61" s="771">
        <f>INDEX(Tariff_HID_Tbl[],MATCH(HID_Tariffs[[#This Row],[Base Lamp]:[Base Lamp]],Tariff_HID_Tbl[[HID]:[HID]],0),MATCH(HID_Tariffs[[#Headers],[SLUOS]],Tariff_HID_Tbl[#Headers],0))</f>
        <v>89.750857936045534</v>
      </c>
      <c r="J61" s="506" t="s">
        <v>487</v>
      </c>
      <c r="K61" s="774"/>
      <c r="L61" s="771">
        <v>3.0946062538521595</v>
      </c>
      <c r="M61" s="771">
        <v>51.26954169739971</v>
      </c>
      <c r="N61" s="771">
        <v>0</v>
      </c>
      <c r="O61" s="771">
        <v>0</v>
      </c>
      <c r="P61" s="771">
        <v>90.764263336445538</v>
      </c>
      <c r="R61" s="506" t="s">
        <v>487</v>
      </c>
      <c r="S61" s="83"/>
      <c r="T61" s="771">
        <v>3.1321148140898711</v>
      </c>
      <c r="U61" s="771">
        <v>51.660116363864702</v>
      </c>
      <c r="V61" s="771">
        <v>0</v>
      </c>
      <c r="W61" s="771">
        <v>0</v>
      </c>
      <c r="X61" s="771">
        <v>91.4428174041593</v>
      </c>
      <c r="Z61" s="506" t="s">
        <v>487</v>
      </c>
      <c r="AA61" s="83"/>
      <c r="AB61" s="771">
        <v>3.1663226210266635</v>
      </c>
      <c r="AC61" s="771">
        <v>52.016016334003361</v>
      </c>
      <c r="AD61" s="771">
        <v>0</v>
      </c>
      <c r="AE61" s="771">
        <v>0</v>
      </c>
      <c r="AF61" s="771">
        <v>92.788740853019718</v>
      </c>
      <c r="AH61" s="506" t="s">
        <v>487</v>
      </c>
      <c r="AI61" s="83"/>
      <c r="AJ61" s="771">
        <v>3.1969296061806358</v>
      </c>
      <c r="AK61" s="771">
        <v>52.334867735129116</v>
      </c>
      <c r="AL61" s="771">
        <v>0</v>
      </c>
      <c r="AM61" s="771">
        <v>0</v>
      </c>
      <c r="AN61" s="771">
        <v>93.499094828025804</v>
      </c>
    </row>
    <row r="62" spans="2:40" x14ac:dyDescent="0.2">
      <c r="B62" s="506" t="str">
        <f>$B$61</f>
        <v>S-HP50 PT</v>
      </c>
      <c r="C62" s="83" t="s">
        <v>472</v>
      </c>
      <c r="D62" s="771">
        <f>INDEX(Tariff_HID_Tbl[],MATCH(HID_Tariffs[[#This Row],[Base Lamp]:[Base Lamp]],Tariff_HID_Tbl[[HID]:[HID]],0),MATCH(HID_Tariffs[[#Headers],[ENERGY]],Tariff_HID_Tbl[#Headers],0))</f>
        <v>3.0621988578067763</v>
      </c>
      <c r="E62" s="771">
        <f>INDEX(Tariff_HID_Tbl[],MATCH(HID_Tariffs[[#This Row],[Base Lamp]:[Base Lamp]],Tariff_HID_Tbl[[HID]:[HID]],0),MATCH(HID_Tariffs[[#Headers],[CLER]],Tariff_HID_Tbl[#Headers],0))</f>
        <v>50.932337253702997</v>
      </c>
      <c r="F62" s="771">
        <f>INDEX(Tariff_HID_Tbl[],MATCH(HID_Tariffs[[#This Row],[Base Lamp]:[Base Lamp]],Tariff_HID_Tbl[[HID]:[HID]],0),MATCH(HID_Tariffs[[#Headers],[PLC]],Tariff_HID_Tbl[#Headers],0))</f>
        <v>0</v>
      </c>
      <c r="G62" s="771">
        <f>INDEX(Tariff_HID_Tbl[],MATCH(HID_Tariffs[[#This Row],[Base Lamp]:[Base Lamp]],Tariff_HID_Tbl[[HID]:[HID]],0),MATCH(HID_Tariffs[[#Headers],[TFI]],Tariff_HID_Tbl[#Headers],0))</f>
        <v>0</v>
      </c>
      <c r="H62" s="771">
        <f>INDEX(Tariff_HID_Tbl[],MATCH(HID_Tariffs[[#This Row],[Base Lamp]:[Base Lamp]],Tariff_HID_Tbl[[HID]:[HID]],0),MATCH(HID_Tariffs[[#Headers],[SLUOS]],Tariff_HID_Tbl[#Headers],0))</f>
        <v>89.750857936045534</v>
      </c>
      <c r="J62" s="506" t="s">
        <v>487</v>
      </c>
      <c r="K62" s="774" t="s">
        <v>472</v>
      </c>
      <c r="L62" s="771">
        <v>3.0946062538521595</v>
      </c>
      <c r="M62" s="771">
        <v>51.26954169739971</v>
      </c>
      <c r="N62" s="771">
        <v>0</v>
      </c>
      <c r="O62" s="771">
        <v>0</v>
      </c>
      <c r="P62" s="771">
        <v>90.764263336445538</v>
      </c>
      <c r="R62" s="506" t="s">
        <v>487</v>
      </c>
      <c r="S62" s="83" t="s">
        <v>472</v>
      </c>
      <c r="T62" s="771">
        <v>3.1321148140898711</v>
      </c>
      <c r="U62" s="771">
        <v>51.660116363864702</v>
      </c>
      <c r="V62" s="771">
        <v>0</v>
      </c>
      <c r="W62" s="771">
        <v>0</v>
      </c>
      <c r="X62" s="771">
        <v>91.4428174041593</v>
      </c>
      <c r="Z62" s="506" t="s">
        <v>487</v>
      </c>
      <c r="AA62" s="83" t="s">
        <v>472</v>
      </c>
      <c r="AB62" s="771">
        <v>3.1663226210266635</v>
      </c>
      <c r="AC62" s="771">
        <v>52.016016334003361</v>
      </c>
      <c r="AD62" s="771">
        <v>0</v>
      </c>
      <c r="AE62" s="771">
        <v>0</v>
      </c>
      <c r="AF62" s="771">
        <v>92.788740853019718</v>
      </c>
      <c r="AH62" s="506" t="s">
        <v>487</v>
      </c>
      <c r="AI62" s="83" t="s">
        <v>472</v>
      </c>
      <c r="AJ62" s="771">
        <v>3.1969296061806358</v>
      </c>
      <c r="AK62" s="771">
        <v>52.334867735129116</v>
      </c>
      <c r="AL62" s="771">
        <v>0</v>
      </c>
      <c r="AM62" s="771">
        <v>0</v>
      </c>
      <c r="AN62" s="771">
        <v>93.499094828025804</v>
      </c>
    </row>
    <row r="63" spans="2:40" x14ac:dyDescent="0.2">
      <c r="B63" s="506"/>
      <c r="C63" s="83"/>
      <c r="D63" s="771"/>
      <c r="E63" s="771"/>
      <c r="F63" s="771"/>
      <c r="G63" s="771"/>
      <c r="H63" s="771"/>
      <c r="J63" s="506"/>
      <c r="K63" s="774"/>
      <c r="L63" s="771"/>
      <c r="M63" s="771"/>
      <c r="N63" s="771"/>
      <c r="O63" s="771"/>
      <c r="P63" s="771"/>
      <c r="R63" s="506"/>
      <c r="S63" s="83"/>
      <c r="T63" s="771"/>
      <c r="U63" s="771"/>
      <c r="V63" s="771"/>
      <c r="W63" s="771"/>
      <c r="X63" s="771"/>
      <c r="Z63" s="506"/>
      <c r="AA63" s="83"/>
      <c r="AB63" s="771"/>
      <c r="AC63" s="771"/>
      <c r="AD63" s="771"/>
      <c r="AE63" s="771"/>
      <c r="AF63" s="771"/>
      <c r="AH63" s="506"/>
      <c r="AI63" s="83"/>
      <c r="AJ63" s="771"/>
      <c r="AK63" s="771"/>
      <c r="AL63" s="771"/>
      <c r="AM63" s="771"/>
      <c r="AN63" s="771"/>
    </row>
    <row r="64" spans="2:40" x14ac:dyDescent="0.2">
      <c r="B64" s="505" t="s">
        <v>200</v>
      </c>
      <c r="C64" s="386"/>
      <c r="D64" s="771"/>
      <c r="E64" s="771"/>
      <c r="F64" s="771"/>
      <c r="G64" s="771"/>
      <c r="H64" s="771"/>
      <c r="J64" s="505" t="s">
        <v>200</v>
      </c>
      <c r="K64" s="773"/>
      <c r="L64" s="771"/>
      <c r="M64" s="771"/>
      <c r="N64" s="771"/>
      <c r="O64" s="771"/>
      <c r="P64" s="771"/>
      <c r="R64" s="505" t="s">
        <v>200</v>
      </c>
      <c r="T64" s="771"/>
      <c r="U64" s="771"/>
      <c r="V64" s="771"/>
      <c r="W64" s="771"/>
      <c r="X64" s="771"/>
      <c r="Z64" s="505" t="s">
        <v>200</v>
      </c>
      <c r="AB64" s="771"/>
      <c r="AC64" s="771"/>
      <c r="AD64" s="771"/>
      <c r="AE64" s="771"/>
      <c r="AF64" s="771"/>
      <c r="AH64" s="505" t="s">
        <v>200</v>
      </c>
      <c r="AJ64" s="771"/>
      <c r="AK64" s="771"/>
      <c r="AL64" s="771"/>
      <c r="AM64" s="771"/>
      <c r="AN64" s="771"/>
    </row>
    <row r="65" spans="2:40" x14ac:dyDescent="0.2">
      <c r="B65" s="505" t="s">
        <v>193</v>
      </c>
      <c r="C65" s="386"/>
      <c r="D65" s="771">
        <f>INDEX(Tariff_HID_Tbl[],MATCH(HID_Tariffs[[#This Row],[Base Lamp]:[Base Lamp]],Tariff_HID_Tbl[[HID]:[HID]],0),MATCH(HID_Tariffs[[#Headers],[ENERGY]],Tariff_HID_Tbl[#Headers],0))</f>
        <v>3.0621988578067763</v>
      </c>
      <c r="E65" s="771">
        <f>INDEX(Tariff_HID_Tbl[],MATCH(HID_Tariffs[[#This Row],[Base Lamp]:[Base Lamp]],Tariff_HID_Tbl[[HID]:[HID]],0),MATCH(HID_Tariffs[[#Headers],[CLER]],Tariff_HID_Tbl[#Headers],0))</f>
        <v>25.175568037371473</v>
      </c>
      <c r="F65" s="771">
        <f>INDEX(Tariff_HID_Tbl[],MATCH(HID_Tariffs[[#This Row],[Base Lamp]:[Base Lamp]],Tariff_HID_Tbl[[HID]:[HID]],0),MATCH(HID_Tariffs[[#Headers],[PLC]],Tariff_HID_Tbl[#Headers],0))</f>
        <v>0</v>
      </c>
      <c r="G65" s="771">
        <f>INDEX(Tariff_HID_Tbl[],MATCH(HID_Tariffs[[#This Row],[Base Lamp]:[Base Lamp]],Tariff_HID_Tbl[[HID]:[HID]],0),MATCH(HID_Tariffs[[#Headers],[TFI]],Tariff_HID_Tbl[#Headers],0))</f>
        <v>0</v>
      </c>
      <c r="H65" s="771">
        <f>INDEX(Tariff_HID_Tbl[],MATCH(HID_Tariffs[[#This Row],[Base Lamp]:[Base Lamp]],Tariff_HID_Tbl[[HID]:[HID]],0),MATCH(HID_Tariffs[[#Headers],[SLUOS]],Tariff_HID_Tbl[#Headers],0))</f>
        <v>73.064841344826775</v>
      </c>
      <c r="J65" s="505" t="s">
        <v>193</v>
      </c>
      <c r="K65" s="773"/>
      <c r="L65" s="771">
        <v>3.0946062538521595</v>
      </c>
      <c r="M65" s="771">
        <v>25.348829747021959</v>
      </c>
      <c r="N65" s="771">
        <v>0</v>
      </c>
      <c r="O65" s="771">
        <v>0</v>
      </c>
      <c r="P65" s="771">
        <v>73.970939284891131</v>
      </c>
      <c r="R65" s="505" t="s">
        <v>193</v>
      </c>
      <c r="T65" s="771">
        <v>3.1321148140898711</v>
      </c>
      <c r="U65" s="771">
        <v>25.549364133191496</v>
      </c>
      <c r="V65" s="771">
        <v>0</v>
      </c>
      <c r="W65" s="771">
        <v>0</v>
      </c>
      <c r="X65" s="771">
        <v>74.52502011222235</v>
      </c>
      <c r="Z65" s="505" t="s">
        <v>193</v>
      </c>
      <c r="AB65" s="771">
        <v>3.1663226210266635</v>
      </c>
      <c r="AC65" s="771">
        <v>25.732251493378126</v>
      </c>
      <c r="AD65" s="771">
        <v>0</v>
      </c>
      <c r="AE65" s="771">
        <v>0</v>
      </c>
      <c r="AF65" s="771">
        <v>75.93594648819483</v>
      </c>
      <c r="AH65" s="505" t="s">
        <v>193</v>
      </c>
      <c r="AJ65" s="771">
        <v>3.1969296061806358</v>
      </c>
      <c r="AK65" s="771">
        <v>25.895887552492471</v>
      </c>
      <c r="AL65" s="771">
        <v>0</v>
      </c>
      <c r="AM65" s="771">
        <v>0</v>
      </c>
      <c r="AN65" s="771">
        <v>76.544596105500403</v>
      </c>
    </row>
    <row r="66" spans="2:40" x14ac:dyDescent="0.2">
      <c r="B66" s="505" t="str">
        <f t="shared" ref="B66:B72" si="8">$B$65</f>
        <v>MV-80+</v>
      </c>
      <c r="C66" s="386" t="s">
        <v>113</v>
      </c>
      <c r="D66" s="771">
        <f>INDEX(Tariff_HID_Tbl[],MATCH(HID_Tariffs[[#This Row],[Base Lamp]:[Base Lamp]],Tariff_HID_Tbl[[HID]:[HID]],0),MATCH(HID_Tariffs[[#Headers],[ENERGY]],Tariff_HID_Tbl[#Headers],0))</f>
        <v>3.0621988578067763</v>
      </c>
      <c r="E66" s="771">
        <f>INDEX(Tariff_HID_Tbl[],MATCH(HID_Tariffs[[#This Row],[Base Lamp]:[Base Lamp]],Tariff_HID_Tbl[[HID]:[HID]],0),MATCH(HID_Tariffs[[#Headers],[CLER]],Tariff_HID_Tbl[#Headers],0))</f>
        <v>25.175568037371473</v>
      </c>
      <c r="F66" s="771">
        <f>INDEX(Tariff_HID_Tbl[],MATCH(HID_Tariffs[[#This Row],[Base Lamp]:[Base Lamp]],Tariff_HID_Tbl[[HID]:[HID]],0),MATCH(HID_Tariffs[[#Headers],[PLC]],Tariff_HID_Tbl[#Headers],0))</f>
        <v>0</v>
      </c>
      <c r="G66" s="771">
        <f>INDEX(Tariff_HID_Tbl[],MATCH(HID_Tariffs[[#This Row],[Base Lamp]:[Base Lamp]],Tariff_HID_Tbl[[HID]:[HID]],0),MATCH(HID_Tariffs[[#Headers],[TFI]],Tariff_HID_Tbl[#Headers],0))</f>
        <v>0</v>
      </c>
      <c r="H66" s="771">
        <f>INDEX(Tariff_HID_Tbl[],MATCH(HID_Tariffs[[#This Row],[Base Lamp]:[Base Lamp]],Tariff_HID_Tbl[[HID]:[HID]],0),MATCH(HID_Tariffs[[#Headers],[SLUOS]],Tariff_HID_Tbl[#Headers],0))</f>
        <v>73.064841344826775</v>
      </c>
      <c r="J66" s="505" t="s">
        <v>193</v>
      </c>
      <c r="K66" s="773" t="s">
        <v>113</v>
      </c>
      <c r="L66" s="771">
        <v>3.0946062538521595</v>
      </c>
      <c r="M66" s="771">
        <v>25.348829747021959</v>
      </c>
      <c r="N66" s="771">
        <v>0</v>
      </c>
      <c r="O66" s="771">
        <v>0</v>
      </c>
      <c r="P66" s="771">
        <v>73.970939284891131</v>
      </c>
      <c r="R66" s="505" t="s">
        <v>193</v>
      </c>
      <c r="S66" s="558" t="s">
        <v>113</v>
      </c>
      <c r="T66" s="771">
        <v>3.1321148140898711</v>
      </c>
      <c r="U66" s="771">
        <v>25.549364133191496</v>
      </c>
      <c r="V66" s="771">
        <v>0</v>
      </c>
      <c r="W66" s="771">
        <v>0</v>
      </c>
      <c r="X66" s="771">
        <v>74.52502011222235</v>
      </c>
      <c r="Z66" s="505" t="s">
        <v>193</v>
      </c>
      <c r="AA66" s="558" t="s">
        <v>113</v>
      </c>
      <c r="AB66" s="771">
        <v>3.1663226210266635</v>
      </c>
      <c r="AC66" s="771">
        <v>25.732251493378126</v>
      </c>
      <c r="AD66" s="771">
        <v>0</v>
      </c>
      <c r="AE66" s="771">
        <v>0</v>
      </c>
      <c r="AF66" s="771">
        <v>75.93594648819483</v>
      </c>
      <c r="AH66" s="505" t="s">
        <v>193</v>
      </c>
      <c r="AI66" s="558" t="s">
        <v>113</v>
      </c>
      <c r="AJ66" s="771">
        <v>3.1969296061806358</v>
      </c>
      <c r="AK66" s="771">
        <v>25.895887552492471</v>
      </c>
      <c r="AL66" s="771">
        <v>0</v>
      </c>
      <c r="AM66" s="771">
        <v>0</v>
      </c>
      <c r="AN66" s="771">
        <v>76.544596105500403</v>
      </c>
    </row>
    <row r="67" spans="2:40" x14ac:dyDescent="0.2">
      <c r="B67" s="505" t="str">
        <f t="shared" si="8"/>
        <v>MV-80+</v>
      </c>
      <c r="C67" s="83" t="s">
        <v>79</v>
      </c>
      <c r="D67" s="771">
        <f>INDEX(Tariff_HID_Tbl[],MATCH(HID_Tariffs[[#This Row],[Base Lamp]:[Base Lamp]],Tariff_HID_Tbl[[HID]:[HID]],0),MATCH(HID_Tariffs[[#Headers],[ENERGY]],Tariff_HID_Tbl[#Headers],0))</f>
        <v>3.0621988578067763</v>
      </c>
      <c r="E67" s="771">
        <f>INDEX(Tariff_HID_Tbl[],MATCH(HID_Tariffs[[#This Row],[Base Lamp]:[Base Lamp]],Tariff_HID_Tbl[[HID]:[HID]],0),MATCH(HID_Tariffs[[#Headers],[CLER]],Tariff_HID_Tbl[#Headers],0))</f>
        <v>25.175568037371473</v>
      </c>
      <c r="F67" s="771">
        <f>INDEX(Tariff_HID_Tbl[],MATCH(HID_Tariffs[[#This Row],[Base Lamp]:[Base Lamp]],Tariff_HID_Tbl[[HID]:[HID]],0),MATCH(HID_Tariffs[[#Headers],[PLC]],Tariff_HID_Tbl[#Headers],0))</f>
        <v>0</v>
      </c>
      <c r="G67" s="771">
        <f>INDEX(Tariff_HID_Tbl[],MATCH(HID_Tariffs[[#This Row],[Base Lamp]:[Base Lamp]],Tariff_HID_Tbl[[HID]:[HID]],0),MATCH(HID_Tariffs[[#Headers],[TFI]],Tariff_HID_Tbl[#Headers],0))</f>
        <v>0</v>
      </c>
      <c r="H67" s="771">
        <f>INDEX(Tariff_HID_Tbl[],MATCH(HID_Tariffs[[#This Row],[Base Lamp]:[Base Lamp]],Tariff_HID_Tbl[[HID]:[HID]],0),MATCH(HID_Tariffs[[#Headers],[SLUOS]],Tariff_HID_Tbl[#Headers],0))</f>
        <v>73.064841344826775</v>
      </c>
      <c r="J67" s="505" t="s">
        <v>193</v>
      </c>
      <c r="K67" s="774" t="s">
        <v>79</v>
      </c>
      <c r="L67" s="771">
        <v>3.0946062538521595</v>
      </c>
      <c r="M67" s="771">
        <v>25.348829747021959</v>
      </c>
      <c r="N67" s="771">
        <v>0</v>
      </c>
      <c r="O67" s="771">
        <v>0</v>
      </c>
      <c r="P67" s="771">
        <v>73.970939284891131</v>
      </c>
      <c r="R67" s="505" t="s">
        <v>193</v>
      </c>
      <c r="S67" s="83" t="s">
        <v>79</v>
      </c>
      <c r="T67" s="771">
        <v>3.1321148140898711</v>
      </c>
      <c r="U67" s="771">
        <v>25.549364133191496</v>
      </c>
      <c r="V67" s="771">
        <v>0</v>
      </c>
      <c r="W67" s="771">
        <v>0</v>
      </c>
      <c r="X67" s="771">
        <v>74.52502011222235</v>
      </c>
      <c r="Z67" s="505" t="s">
        <v>193</v>
      </c>
      <c r="AA67" s="83" t="s">
        <v>79</v>
      </c>
      <c r="AB67" s="771">
        <v>3.1663226210266635</v>
      </c>
      <c r="AC67" s="771">
        <v>25.732251493378126</v>
      </c>
      <c r="AD67" s="771">
        <v>0</v>
      </c>
      <c r="AE67" s="771">
        <v>0</v>
      </c>
      <c r="AF67" s="771">
        <v>75.93594648819483</v>
      </c>
      <c r="AH67" s="505" t="s">
        <v>193</v>
      </c>
      <c r="AI67" s="83" t="s">
        <v>79</v>
      </c>
      <c r="AJ67" s="771">
        <v>3.1969296061806358</v>
      </c>
      <c r="AK67" s="771">
        <v>25.895887552492471</v>
      </c>
      <c r="AL67" s="771">
        <v>0</v>
      </c>
      <c r="AM67" s="771">
        <v>0</v>
      </c>
      <c r="AN67" s="771">
        <v>76.544596105500403</v>
      </c>
    </row>
    <row r="68" spans="2:40" x14ac:dyDescent="0.2">
      <c r="B68" s="505" t="str">
        <f t="shared" si="8"/>
        <v>MV-80+</v>
      </c>
      <c r="C68" s="83" t="s">
        <v>484</v>
      </c>
      <c r="D68" s="771">
        <f>INDEX(Tariff_HID_Tbl[],MATCH(HID_Tariffs[[#This Row],[Base Lamp]:[Base Lamp]],Tariff_HID_Tbl[[HID]:[HID]],0),MATCH(HID_Tariffs[[#Headers],[ENERGY]],Tariff_HID_Tbl[#Headers],0))</f>
        <v>3.0621988578067763</v>
      </c>
      <c r="E68" s="771">
        <f>INDEX(Tariff_HID_Tbl[],MATCH(HID_Tariffs[[#This Row],[Base Lamp]:[Base Lamp]],Tariff_HID_Tbl[[HID]:[HID]],0),MATCH(HID_Tariffs[[#Headers],[CLER]],Tariff_HID_Tbl[#Headers],0))</f>
        <v>25.175568037371473</v>
      </c>
      <c r="F68" s="771">
        <f>INDEX(Tariff_HID_Tbl[],MATCH(HID_Tariffs[[#This Row],[Base Lamp]:[Base Lamp]],Tariff_HID_Tbl[[HID]:[HID]],0),MATCH(HID_Tariffs[[#Headers],[PLC]],Tariff_HID_Tbl[#Headers],0))</f>
        <v>0</v>
      </c>
      <c r="G68" s="771">
        <f>INDEX(Tariff_HID_Tbl[],MATCH(HID_Tariffs[[#This Row],[Base Lamp]:[Base Lamp]],Tariff_HID_Tbl[[HID]:[HID]],0),MATCH(HID_Tariffs[[#Headers],[TFI]],Tariff_HID_Tbl[#Headers],0))</f>
        <v>0</v>
      </c>
      <c r="H68" s="771">
        <f>INDEX(Tariff_HID_Tbl[],MATCH(HID_Tariffs[[#This Row],[Base Lamp]:[Base Lamp]],Tariff_HID_Tbl[[HID]:[HID]],0),MATCH(HID_Tariffs[[#Headers],[SLUOS]],Tariff_HID_Tbl[#Headers],0))</f>
        <v>73.064841344826775</v>
      </c>
      <c r="J68" s="505" t="s">
        <v>193</v>
      </c>
      <c r="K68" s="774" t="s">
        <v>484</v>
      </c>
      <c r="L68" s="771">
        <v>3.0946062538521595</v>
      </c>
      <c r="M68" s="771">
        <v>25.348829747021959</v>
      </c>
      <c r="N68" s="771">
        <v>0</v>
      </c>
      <c r="O68" s="771">
        <v>0</v>
      </c>
      <c r="P68" s="771">
        <v>73.970939284891131</v>
      </c>
      <c r="R68" s="505" t="s">
        <v>193</v>
      </c>
      <c r="S68" s="83" t="s">
        <v>484</v>
      </c>
      <c r="T68" s="771">
        <v>3.1321148140898711</v>
      </c>
      <c r="U68" s="771">
        <v>25.549364133191496</v>
      </c>
      <c r="V68" s="771">
        <v>0</v>
      </c>
      <c r="W68" s="771">
        <v>0</v>
      </c>
      <c r="X68" s="771">
        <v>74.52502011222235</v>
      </c>
      <c r="Z68" s="505" t="s">
        <v>193</v>
      </c>
      <c r="AA68" s="83" t="s">
        <v>484</v>
      </c>
      <c r="AB68" s="771">
        <v>3.1663226210266635</v>
      </c>
      <c r="AC68" s="771">
        <v>25.732251493378126</v>
      </c>
      <c r="AD68" s="771">
        <v>0</v>
      </c>
      <c r="AE68" s="771">
        <v>0</v>
      </c>
      <c r="AF68" s="771">
        <v>75.93594648819483</v>
      </c>
      <c r="AH68" s="505" t="s">
        <v>193</v>
      </c>
      <c r="AI68" s="83" t="s">
        <v>484</v>
      </c>
      <c r="AJ68" s="771">
        <v>3.1969296061806358</v>
      </c>
      <c r="AK68" s="771">
        <v>25.895887552492471</v>
      </c>
      <c r="AL68" s="771">
        <v>0</v>
      </c>
      <c r="AM68" s="771">
        <v>0</v>
      </c>
      <c r="AN68" s="771">
        <v>76.544596105500403</v>
      </c>
    </row>
    <row r="69" spans="2:40" x14ac:dyDescent="0.2">
      <c r="B69" s="505" t="str">
        <f t="shared" si="8"/>
        <v>MV-80+</v>
      </c>
      <c r="C69" s="386" t="s">
        <v>99</v>
      </c>
      <c r="D69" s="771">
        <f>INDEX(Tariff_HID_Tbl[],MATCH(HID_Tariffs[[#This Row],[Base Lamp]:[Base Lamp]],Tariff_HID_Tbl[[HID]:[HID]],0),MATCH(HID_Tariffs[[#Headers],[ENERGY]],Tariff_HID_Tbl[#Headers],0))</f>
        <v>3.0621988578067763</v>
      </c>
      <c r="E69" s="771">
        <f>INDEX(Tariff_HID_Tbl[],MATCH(HID_Tariffs[[#This Row],[Base Lamp]:[Base Lamp]],Tariff_HID_Tbl[[HID]:[HID]],0),MATCH(HID_Tariffs[[#Headers],[CLER]],Tariff_HID_Tbl[#Headers],0))</f>
        <v>25.175568037371473</v>
      </c>
      <c r="F69" s="771">
        <f>INDEX(Tariff_HID_Tbl[],MATCH(HID_Tariffs[[#This Row],[Base Lamp]:[Base Lamp]],Tariff_HID_Tbl[[HID]:[HID]],0),MATCH(HID_Tariffs[[#Headers],[PLC]],Tariff_HID_Tbl[#Headers],0))</f>
        <v>0</v>
      </c>
      <c r="G69" s="771">
        <f>INDEX(Tariff_HID_Tbl[],MATCH(HID_Tariffs[[#This Row],[Base Lamp]:[Base Lamp]],Tariff_HID_Tbl[[HID]:[HID]],0),MATCH(HID_Tariffs[[#Headers],[TFI]],Tariff_HID_Tbl[#Headers],0))</f>
        <v>0</v>
      </c>
      <c r="H69" s="771">
        <f>INDEX(Tariff_HID_Tbl[],MATCH(HID_Tariffs[[#This Row],[Base Lamp]:[Base Lamp]],Tariff_HID_Tbl[[HID]:[HID]],0),MATCH(HID_Tariffs[[#Headers],[SLUOS]],Tariff_HID_Tbl[#Headers],0))</f>
        <v>73.064841344826775</v>
      </c>
      <c r="J69" s="505" t="s">
        <v>193</v>
      </c>
      <c r="K69" s="773" t="s">
        <v>99</v>
      </c>
      <c r="L69" s="771">
        <v>3.0946062538521595</v>
      </c>
      <c r="M69" s="771">
        <v>25.348829747021959</v>
      </c>
      <c r="N69" s="771">
        <v>0</v>
      </c>
      <c r="O69" s="771">
        <v>0</v>
      </c>
      <c r="P69" s="771">
        <v>73.970939284891131</v>
      </c>
      <c r="R69" s="505" t="s">
        <v>193</v>
      </c>
      <c r="S69" s="558" t="s">
        <v>99</v>
      </c>
      <c r="T69" s="771">
        <v>3.1321148140898711</v>
      </c>
      <c r="U69" s="771">
        <v>25.549364133191496</v>
      </c>
      <c r="V69" s="771">
        <v>0</v>
      </c>
      <c r="W69" s="771">
        <v>0</v>
      </c>
      <c r="X69" s="771">
        <v>74.52502011222235</v>
      </c>
      <c r="Z69" s="505" t="s">
        <v>193</v>
      </c>
      <c r="AA69" s="558" t="s">
        <v>99</v>
      </c>
      <c r="AB69" s="771">
        <v>3.1663226210266635</v>
      </c>
      <c r="AC69" s="771">
        <v>25.732251493378126</v>
      </c>
      <c r="AD69" s="771">
        <v>0</v>
      </c>
      <c r="AE69" s="771">
        <v>0</v>
      </c>
      <c r="AF69" s="771">
        <v>75.93594648819483</v>
      </c>
      <c r="AH69" s="505" t="s">
        <v>193</v>
      </c>
      <c r="AI69" s="558" t="s">
        <v>99</v>
      </c>
      <c r="AJ69" s="771">
        <v>3.1969296061806358</v>
      </c>
      <c r="AK69" s="771">
        <v>25.895887552492471</v>
      </c>
      <c r="AL69" s="771">
        <v>0</v>
      </c>
      <c r="AM69" s="771">
        <v>0</v>
      </c>
      <c r="AN69" s="771">
        <v>76.544596105500403</v>
      </c>
    </row>
    <row r="70" spans="2:40" x14ac:dyDescent="0.2">
      <c r="B70" s="505" t="str">
        <f t="shared" si="8"/>
        <v>MV-80+</v>
      </c>
      <c r="C70" s="386" t="s">
        <v>92</v>
      </c>
      <c r="D70" s="771">
        <f>INDEX(Tariff_HID_Tbl[],MATCH(HID_Tariffs[[#This Row],[Base Lamp]:[Base Lamp]],Tariff_HID_Tbl[[HID]:[HID]],0),MATCH(HID_Tariffs[[#Headers],[ENERGY]],Tariff_HID_Tbl[#Headers],0))</f>
        <v>3.0621988578067763</v>
      </c>
      <c r="E70" s="771">
        <f>INDEX(Tariff_HID_Tbl[],MATCH(HID_Tariffs[[#This Row],[Base Lamp]:[Base Lamp]],Tariff_HID_Tbl[[HID]:[HID]],0),MATCH(HID_Tariffs[[#Headers],[CLER]],Tariff_HID_Tbl[#Headers],0))</f>
        <v>25.175568037371473</v>
      </c>
      <c r="F70" s="771">
        <f>INDEX(Tariff_HID_Tbl[],MATCH(HID_Tariffs[[#This Row],[Base Lamp]:[Base Lamp]],Tariff_HID_Tbl[[HID]:[HID]],0),MATCH(HID_Tariffs[[#Headers],[PLC]],Tariff_HID_Tbl[#Headers],0))</f>
        <v>0</v>
      </c>
      <c r="G70" s="771">
        <f>INDEX(Tariff_HID_Tbl[],MATCH(HID_Tariffs[[#This Row],[Base Lamp]:[Base Lamp]],Tariff_HID_Tbl[[HID]:[HID]],0),MATCH(HID_Tariffs[[#Headers],[TFI]],Tariff_HID_Tbl[#Headers],0))</f>
        <v>0</v>
      </c>
      <c r="H70" s="771">
        <f>INDEX(Tariff_HID_Tbl[],MATCH(HID_Tariffs[[#This Row],[Base Lamp]:[Base Lamp]],Tariff_HID_Tbl[[HID]:[HID]],0),MATCH(HID_Tariffs[[#Headers],[SLUOS]],Tariff_HID_Tbl[#Headers],0))</f>
        <v>73.064841344826775</v>
      </c>
      <c r="J70" s="505" t="s">
        <v>193</v>
      </c>
      <c r="K70" s="773" t="s">
        <v>92</v>
      </c>
      <c r="L70" s="771">
        <v>3.0946062538521595</v>
      </c>
      <c r="M70" s="771">
        <v>25.348829747021959</v>
      </c>
      <c r="N70" s="771">
        <v>0</v>
      </c>
      <c r="O70" s="771">
        <v>0</v>
      </c>
      <c r="P70" s="771">
        <v>73.970939284891131</v>
      </c>
      <c r="R70" s="505" t="s">
        <v>193</v>
      </c>
      <c r="S70" s="558" t="s">
        <v>92</v>
      </c>
      <c r="T70" s="771">
        <v>3.1321148140898711</v>
      </c>
      <c r="U70" s="771">
        <v>25.549364133191496</v>
      </c>
      <c r="V70" s="771">
        <v>0</v>
      </c>
      <c r="W70" s="771">
        <v>0</v>
      </c>
      <c r="X70" s="771">
        <v>74.52502011222235</v>
      </c>
      <c r="Z70" s="505" t="s">
        <v>193</v>
      </c>
      <c r="AA70" s="558" t="s">
        <v>92</v>
      </c>
      <c r="AB70" s="771">
        <v>3.1663226210266635</v>
      </c>
      <c r="AC70" s="771">
        <v>25.732251493378126</v>
      </c>
      <c r="AD70" s="771">
        <v>0</v>
      </c>
      <c r="AE70" s="771">
        <v>0</v>
      </c>
      <c r="AF70" s="771">
        <v>75.93594648819483</v>
      </c>
      <c r="AH70" s="505" t="s">
        <v>193</v>
      </c>
      <c r="AI70" s="558" t="s">
        <v>92</v>
      </c>
      <c r="AJ70" s="771">
        <v>3.1969296061806358</v>
      </c>
      <c r="AK70" s="771">
        <v>25.895887552492471</v>
      </c>
      <c r="AL70" s="771">
        <v>0</v>
      </c>
      <c r="AM70" s="771">
        <v>0</v>
      </c>
      <c r="AN70" s="771">
        <v>76.544596105500403</v>
      </c>
    </row>
    <row r="71" spans="2:40" x14ac:dyDescent="0.2">
      <c r="B71" s="505" t="str">
        <f t="shared" si="8"/>
        <v>MV-80+</v>
      </c>
      <c r="C71" s="386" t="s">
        <v>129</v>
      </c>
      <c r="D71" s="771">
        <f>INDEX(Tariff_HID_Tbl[],MATCH(HID_Tariffs[[#This Row],[Base Lamp]:[Base Lamp]],Tariff_HID_Tbl[[HID]:[HID]],0),MATCH(HID_Tariffs[[#Headers],[ENERGY]],Tariff_HID_Tbl[#Headers],0))</f>
        <v>3.0621988578067763</v>
      </c>
      <c r="E71" s="771">
        <f>INDEX(Tariff_HID_Tbl[],MATCH(HID_Tariffs[[#This Row],[Base Lamp]:[Base Lamp]],Tariff_HID_Tbl[[HID]:[HID]],0),MATCH(HID_Tariffs[[#Headers],[CLER]],Tariff_HID_Tbl[#Headers],0))</f>
        <v>25.175568037371473</v>
      </c>
      <c r="F71" s="771">
        <f>INDEX(Tariff_HID_Tbl[],MATCH(HID_Tariffs[[#This Row],[Base Lamp]:[Base Lamp]],Tariff_HID_Tbl[[HID]:[HID]],0),MATCH(HID_Tariffs[[#Headers],[PLC]],Tariff_HID_Tbl[#Headers],0))</f>
        <v>0</v>
      </c>
      <c r="G71" s="771">
        <f>INDEX(Tariff_HID_Tbl[],MATCH(HID_Tariffs[[#This Row],[Base Lamp]:[Base Lamp]],Tariff_HID_Tbl[[HID]:[HID]],0),MATCH(HID_Tariffs[[#Headers],[TFI]],Tariff_HID_Tbl[#Headers],0))</f>
        <v>0</v>
      </c>
      <c r="H71" s="771">
        <f>INDEX(Tariff_HID_Tbl[],MATCH(HID_Tariffs[[#This Row],[Base Lamp]:[Base Lamp]],Tariff_HID_Tbl[[HID]:[HID]],0),MATCH(HID_Tariffs[[#Headers],[SLUOS]],Tariff_HID_Tbl[#Headers],0))</f>
        <v>73.064841344826775</v>
      </c>
      <c r="J71" s="505" t="s">
        <v>193</v>
      </c>
      <c r="K71" s="773" t="s">
        <v>129</v>
      </c>
      <c r="L71" s="771">
        <v>3.0946062538521595</v>
      </c>
      <c r="M71" s="771">
        <v>25.348829747021959</v>
      </c>
      <c r="N71" s="771">
        <v>0</v>
      </c>
      <c r="O71" s="771">
        <v>0</v>
      </c>
      <c r="P71" s="771">
        <v>73.970939284891131</v>
      </c>
      <c r="R71" s="505" t="s">
        <v>193</v>
      </c>
      <c r="S71" s="558" t="s">
        <v>129</v>
      </c>
      <c r="T71" s="771">
        <v>3.1321148140898711</v>
      </c>
      <c r="U71" s="771">
        <v>25.549364133191496</v>
      </c>
      <c r="V71" s="771">
        <v>0</v>
      </c>
      <c r="W71" s="771">
        <v>0</v>
      </c>
      <c r="X71" s="771">
        <v>74.52502011222235</v>
      </c>
      <c r="Z71" s="505" t="s">
        <v>193</v>
      </c>
      <c r="AA71" s="558" t="s">
        <v>129</v>
      </c>
      <c r="AB71" s="771">
        <v>3.1663226210266635</v>
      </c>
      <c r="AC71" s="771">
        <v>25.732251493378126</v>
      </c>
      <c r="AD71" s="771">
        <v>0</v>
      </c>
      <c r="AE71" s="771">
        <v>0</v>
      </c>
      <c r="AF71" s="771">
        <v>75.93594648819483</v>
      </c>
      <c r="AH71" s="505" t="s">
        <v>193</v>
      </c>
      <c r="AI71" s="558" t="s">
        <v>129</v>
      </c>
      <c r="AJ71" s="771">
        <v>3.1969296061806358</v>
      </c>
      <c r="AK71" s="771">
        <v>25.895887552492471</v>
      </c>
      <c r="AL71" s="771">
        <v>0</v>
      </c>
      <c r="AM71" s="771">
        <v>0</v>
      </c>
      <c r="AN71" s="771">
        <v>76.544596105500403</v>
      </c>
    </row>
    <row r="72" spans="2:40" x14ac:dyDescent="0.2">
      <c r="B72" s="505" t="str">
        <f t="shared" si="8"/>
        <v>MV-80+</v>
      </c>
      <c r="C72" s="386" t="s">
        <v>476</v>
      </c>
      <c r="D72" s="771">
        <f>INDEX(Tariff_HID_Tbl[],MATCH(HID_Tariffs[[#This Row],[Base Lamp]:[Base Lamp]],Tariff_HID_Tbl[[HID]:[HID]],0),MATCH(HID_Tariffs[[#Headers],[ENERGY]],Tariff_HID_Tbl[#Headers],0))</f>
        <v>3.0621988578067763</v>
      </c>
      <c r="E72" s="771">
        <f>INDEX(Tariff_HID_Tbl[],MATCH(HID_Tariffs[[#This Row],[Base Lamp]:[Base Lamp]],Tariff_HID_Tbl[[HID]:[HID]],0),MATCH(HID_Tariffs[[#Headers],[CLER]],Tariff_HID_Tbl[#Headers],0))</f>
        <v>25.175568037371473</v>
      </c>
      <c r="F72" s="771">
        <f>INDEX(Tariff_HID_Tbl[],MATCH(HID_Tariffs[[#This Row],[Base Lamp]:[Base Lamp]],Tariff_HID_Tbl[[HID]:[HID]],0),MATCH(HID_Tariffs[[#Headers],[PLC]],Tariff_HID_Tbl[#Headers],0))</f>
        <v>0</v>
      </c>
      <c r="G72" s="771">
        <f>INDEX(Tariff_HID_Tbl[],MATCH(HID_Tariffs[[#This Row],[Base Lamp]:[Base Lamp]],Tariff_HID_Tbl[[HID]:[HID]],0),MATCH(HID_Tariffs[[#Headers],[TFI]],Tariff_HID_Tbl[#Headers],0))</f>
        <v>0</v>
      </c>
      <c r="H72" s="771">
        <f>INDEX(Tariff_HID_Tbl[],MATCH(HID_Tariffs[[#This Row],[Base Lamp]:[Base Lamp]],Tariff_HID_Tbl[[HID]:[HID]],0),MATCH(HID_Tariffs[[#Headers],[SLUOS]],Tariff_HID_Tbl[#Headers],0))</f>
        <v>73.064841344826775</v>
      </c>
      <c r="J72" s="505" t="s">
        <v>193</v>
      </c>
      <c r="K72" s="773" t="s">
        <v>476</v>
      </c>
      <c r="L72" s="771">
        <v>3.0946062538521595</v>
      </c>
      <c r="M72" s="771">
        <v>25.348829747021959</v>
      </c>
      <c r="N72" s="771">
        <v>0</v>
      </c>
      <c r="O72" s="771">
        <v>0</v>
      </c>
      <c r="P72" s="771">
        <v>73.970939284891131</v>
      </c>
      <c r="R72" s="505" t="s">
        <v>193</v>
      </c>
      <c r="S72" s="558" t="s">
        <v>476</v>
      </c>
      <c r="T72" s="771">
        <v>3.1321148140898711</v>
      </c>
      <c r="U72" s="771">
        <v>25.549364133191496</v>
      </c>
      <c r="V72" s="771">
        <v>0</v>
      </c>
      <c r="W72" s="771">
        <v>0</v>
      </c>
      <c r="X72" s="771">
        <v>74.52502011222235</v>
      </c>
      <c r="Z72" s="505" t="s">
        <v>193</v>
      </c>
      <c r="AA72" s="558" t="s">
        <v>476</v>
      </c>
      <c r="AB72" s="771">
        <v>3.1663226210266635</v>
      </c>
      <c r="AC72" s="771">
        <v>25.732251493378126</v>
      </c>
      <c r="AD72" s="771">
        <v>0</v>
      </c>
      <c r="AE72" s="771">
        <v>0</v>
      </c>
      <c r="AF72" s="771">
        <v>75.93594648819483</v>
      </c>
      <c r="AH72" s="505" t="s">
        <v>193</v>
      </c>
      <c r="AI72" s="558" t="s">
        <v>476</v>
      </c>
      <c r="AJ72" s="771">
        <v>3.1969296061806358</v>
      </c>
      <c r="AK72" s="771">
        <v>25.895887552492471</v>
      </c>
      <c r="AL72" s="771">
        <v>0</v>
      </c>
      <c r="AM72" s="771">
        <v>0</v>
      </c>
      <c r="AN72" s="771">
        <v>76.544596105500403</v>
      </c>
    </row>
    <row r="73" spans="2:40" x14ac:dyDescent="0.2">
      <c r="B73" s="505"/>
      <c r="C73" s="386"/>
      <c r="D73" s="771"/>
      <c r="E73" s="771"/>
      <c r="F73" s="771"/>
      <c r="G73" s="771"/>
      <c r="H73" s="771"/>
      <c r="J73" s="505"/>
      <c r="K73" s="773"/>
      <c r="L73" s="771"/>
      <c r="M73" s="771"/>
      <c r="N73" s="771"/>
      <c r="O73" s="771"/>
      <c r="P73" s="771"/>
      <c r="R73" s="505"/>
      <c r="T73" s="771"/>
      <c r="U73" s="771"/>
      <c r="V73" s="771"/>
      <c r="W73" s="771"/>
      <c r="X73" s="771"/>
      <c r="Z73" s="505"/>
      <c r="AB73" s="771"/>
      <c r="AC73" s="771"/>
      <c r="AD73" s="771"/>
      <c r="AE73" s="771"/>
      <c r="AF73" s="771"/>
      <c r="AH73" s="505"/>
      <c r="AJ73" s="771"/>
      <c r="AK73" s="771"/>
      <c r="AL73" s="771"/>
      <c r="AM73" s="771"/>
      <c r="AN73" s="771"/>
    </row>
    <row r="74" spans="2:40" x14ac:dyDescent="0.2">
      <c r="B74" s="505" t="s">
        <v>167</v>
      </c>
      <c r="C74" s="386"/>
      <c r="D74" s="771">
        <f>INDEX(Tariff_HID_Tbl[],MATCH(HID_Tariffs[[#This Row],[Base Lamp]:[Base Lamp]],Tariff_HID_Tbl[[HID]:[HID]],0),MATCH(HID_Tariffs[[#Headers],[ENERGY]],Tariff_HID_Tbl[#Headers],0))</f>
        <v>3.0621988578067763</v>
      </c>
      <c r="E74" s="771">
        <f>INDEX(Tariff_HID_Tbl[],MATCH(HID_Tariffs[[#This Row],[Base Lamp]:[Base Lamp]],Tariff_HID_Tbl[[HID]:[HID]],0),MATCH(HID_Tariffs[[#Headers],[CLER]],Tariff_HID_Tbl[#Headers],0))</f>
        <v>49.450384801121103</v>
      </c>
      <c r="F74" s="771">
        <f>INDEX(Tariff_HID_Tbl[],MATCH(HID_Tariffs[[#This Row],[Base Lamp]:[Base Lamp]],Tariff_HID_Tbl[[HID]:[HID]],0),MATCH(HID_Tariffs[[#Headers],[PLC]],Tariff_HID_Tbl[#Headers],0))</f>
        <v>0</v>
      </c>
      <c r="G74" s="771">
        <f>INDEX(Tariff_HID_Tbl[],MATCH(HID_Tariffs[[#This Row],[Base Lamp]:[Base Lamp]],Tariff_HID_Tbl[[HID]:[HID]],0),MATCH(HID_Tariffs[[#Headers],[TFI]],Tariff_HID_Tbl[#Headers],0))</f>
        <v>0</v>
      </c>
      <c r="H74" s="771">
        <f>INDEX(Tariff_HID_Tbl[],MATCH(HID_Tariffs[[#This Row],[Base Lamp]:[Base Lamp]],Tariff_HID_Tbl[[HID]:[HID]],0),MATCH(HID_Tariffs[[#Headers],[SLUOS]],Tariff_HID_Tbl[#Headers],0))</f>
        <v>74.264607193426329</v>
      </c>
      <c r="J74" s="505" t="s">
        <v>167</v>
      </c>
      <c r="K74" s="773"/>
      <c r="L74" s="771">
        <v>3.0946062538521595</v>
      </c>
      <c r="M74" s="771">
        <v>49.778268478386885</v>
      </c>
      <c r="N74" s="771">
        <v>0</v>
      </c>
      <c r="O74" s="771">
        <v>0</v>
      </c>
      <c r="P74" s="771">
        <v>75.178128313273817</v>
      </c>
      <c r="R74" s="505" t="s">
        <v>167</v>
      </c>
      <c r="T74" s="771">
        <v>3.1321148140898711</v>
      </c>
      <c r="U74" s="771">
        <v>50.157763475222275</v>
      </c>
      <c r="V74" s="771">
        <v>0</v>
      </c>
      <c r="W74" s="771">
        <v>0</v>
      </c>
      <c r="X74" s="771">
        <v>75.740800783872544</v>
      </c>
      <c r="Z74" s="505" t="s">
        <v>167</v>
      </c>
      <c r="AB74" s="771">
        <v>3.1663226210266635</v>
      </c>
      <c r="AC74" s="771">
        <v>50.50386291233616</v>
      </c>
      <c r="AD74" s="771">
        <v>0</v>
      </c>
      <c r="AE74" s="771">
        <v>0</v>
      </c>
      <c r="AF74" s="771">
        <v>77.193929311575033</v>
      </c>
      <c r="AH74" s="505" t="s">
        <v>167</v>
      </c>
      <c r="AJ74" s="771">
        <v>3.1969296061806358</v>
      </c>
      <c r="AK74" s="771">
        <v>50.813530829753837</v>
      </c>
      <c r="AL74" s="771">
        <v>0</v>
      </c>
      <c r="AM74" s="771">
        <v>0</v>
      </c>
      <c r="AN74" s="771">
        <v>77.809589709786891</v>
      </c>
    </row>
    <row r="75" spans="2:40" x14ac:dyDescent="0.2">
      <c r="B75" s="505" t="str">
        <f t="shared" ref="B75:B76" si="9">$B$74</f>
        <v>S-HP100</v>
      </c>
      <c r="C75" s="386" t="s">
        <v>481</v>
      </c>
      <c r="D75" s="771">
        <f>INDEX(Tariff_HID_Tbl[],MATCH(HID_Tariffs[[#This Row],[Base Lamp]:[Base Lamp]],Tariff_HID_Tbl[[HID]:[HID]],0),MATCH(HID_Tariffs[[#Headers],[ENERGY]],Tariff_HID_Tbl[#Headers],0))</f>
        <v>3.0621988578067763</v>
      </c>
      <c r="E75" s="771">
        <f>INDEX(Tariff_HID_Tbl[],MATCH(HID_Tariffs[[#This Row],[Base Lamp]:[Base Lamp]],Tariff_HID_Tbl[[HID]:[HID]],0),MATCH(HID_Tariffs[[#Headers],[CLER]],Tariff_HID_Tbl[#Headers],0))</f>
        <v>49.450384801121103</v>
      </c>
      <c r="F75" s="771">
        <f>INDEX(Tariff_HID_Tbl[],MATCH(HID_Tariffs[[#This Row],[Base Lamp]:[Base Lamp]],Tariff_HID_Tbl[[HID]:[HID]],0),MATCH(HID_Tariffs[[#Headers],[PLC]],Tariff_HID_Tbl[#Headers],0))</f>
        <v>0</v>
      </c>
      <c r="G75" s="771">
        <f>INDEX(Tariff_HID_Tbl[],MATCH(HID_Tariffs[[#This Row],[Base Lamp]:[Base Lamp]],Tariff_HID_Tbl[[HID]:[HID]],0),MATCH(HID_Tariffs[[#Headers],[TFI]],Tariff_HID_Tbl[#Headers],0))</f>
        <v>0</v>
      </c>
      <c r="H75" s="771">
        <f>INDEX(Tariff_HID_Tbl[],MATCH(HID_Tariffs[[#This Row],[Base Lamp]:[Base Lamp]],Tariff_HID_Tbl[[HID]:[HID]],0),MATCH(HID_Tariffs[[#Headers],[SLUOS]],Tariff_HID_Tbl[#Headers],0))</f>
        <v>74.264607193426329</v>
      </c>
      <c r="J75" s="505" t="s">
        <v>167</v>
      </c>
      <c r="K75" s="773" t="s">
        <v>481</v>
      </c>
      <c r="L75" s="771">
        <v>3.0946062538521595</v>
      </c>
      <c r="M75" s="771">
        <v>49.778268478386885</v>
      </c>
      <c r="N75" s="771">
        <v>0</v>
      </c>
      <c r="O75" s="771">
        <v>0</v>
      </c>
      <c r="P75" s="771">
        <v>75.178128313273817</v>
      </c>
      <c r="R75" s="505" t="s">
        <v>167</v>
      </c>
      <c r="S75" s="558" t="s">
        <v>481</v>
      </c>
      <c r="T75" s="771">
        <v>3.1321148140898711</v>
      </c>
      <c r="U75" s="771">
        <v>50.157763475222275</v>
      </c>
      <c r="V75" s="771">
        <v>0</v>
      </c>
      <c r="W75" s="771">
        <v>0</v>
      </c>
      <c r="X75" s="771">
        <v>75.740800783872544</v>
      </c>
      <c r="Z75" s="505" t="s">
        <v>167</v>
      </c>
      <c r="AA75" s="558" t="s">
        <v>481</v>
      </c>
      <c r="AB75" s="771">
        <v>3.1663226210266635</v>
      </c>
      <c r="AC75" s="771">
        <v>50.50386291233616</v>
      </c>
      <c r="AD75" s="771">
        <v>0</v>
      </c>
      <c r="AE75" s="771">
        <v>0</v>
      </c>
      <c r="AF75" s="771">
        <v>77.193929311575033</v>
      </c>
      <c r="AH75" s="505" t="s">
        <v>167</v>
      </c>
      <c r="AI75" s="558" t="s">
        <v>481</v>
      </c>
      <c r="AJ75" s="771">
        <v>3.1969296061806358</v>
      </c>
      <c r="AK75" s="771">
        <v>50.813530829753837</v>
      </c>
      <c r="AL75" s="771">
        <v>0</v>
      </c>
      <c r="AM75" s="771">
        <v>0</v>
      </c>
      <c r="AN75" s="771">
        <v>77.809589709786891</v>
      </c>
    </row>
    <row r="76" spans="2:40" x14ac:dyDescent="0.2">
      <c r="B76" s="506" t="str">
        <f t="shared" si="9"/>
        <v>S-HP100</v>
      </c>
      <c r="C76" s="83" t="s">
        <v>82</v>
      </c>
      <c r="D76" s="771">
        <f>INDEX(Tariff_HID_Tbl[],MATCH(HID_Tariffs[[#This Row],[Base Lamp]:[Base Lamp]],Tariff_HID_Tbl[[HID]:[HID]],0),MATCH(HID_Tariffs[[#Headers],[ENERGY]],Tariff_HID_Tbl[#Headers],0))</f>
        <v>3.0621988578067763</v>
      </c>
      <c r="E76" s="771">
        <f>INDEX(Tariff_HID_Tbl[],MATCH(HID_Tariffs[[#This Row],[Base Lamp]:[Base Lamp]],Tariff_HID_Tbl[[HID]:[HID]],0),MATCH(HID_Tariffs[[#Headers],[CLER]],Tariff_HID_Tbl[#Headers],0))</f>
        <v>49.450384801121103</v>
      </c>
      <c r="F76" s="771">
        <f>INDEX(Tariff_HID_Tbl[],MATCH(HID_Tariffs[[#This Row],[Base Lamp]:[Base Lamp]],Tariff_HID_Tbl[[HID]:[HID]],0),MATCH(HID_Tariffs[[#Headers],[PLC]],Tariff_HID_Tbl[#Headers],0))</f>
        <v>0</v>
      </c>
      <c r="G76" s="771">
        <f>INDEX(Tariff_HID_Tbl[],MATCH(HID_Tariffs[[#This Row],[Base Lamp]:[Base Lamp]],Tariff_HID_Tbl[[HID]:[HID]],0),MATCH(HID_Tariffs[[#Headers],[TFI]],Tariff_HID_Tbl[#Headers],0))</f>
        <v>0</v>
      </c>
      <c r="H76" s="771">
        <f>INDEX(Tariff_HID_Tbl[],MATCH(HID_Tariffs[[#This Row],[Base Lamp]:[Base Lamp]],Tariff_HID_Tbl[[HID]:[HID]],0),MATCH(HID_Tariffs[[#Headers],[SLUOS]],Tariff_HID_Tbl[#Headers],0))</f>
        <v>74.264607193426329</v>
      </c>
      <c r="J76" s="506" t="s">
        <v>167</v>
      </c>
      <c r="K76" s="774" t="s">
        <v>82</v>
      </c>
      <c r="L76" s="771">
        <v>3.0946062538521595</v>
      </c>
      <c r="M76" s="771">
        <v>49.778268478386885</v>
      </c>
      <c r="N76" s="771">
        <v>0</v>
      </c>
      <c r="O76" s="771">
        <v>0</v>
      </c>
      <c r="P76" s="771">
        <v>75.178128313273817</v>
      </c>
      <c r="R76" s="506" t="s">
        <v>167</v>
      </c>
      <c r="S76" s="83" t="s">
        <v>82</v>
      </c>
      <c r="T76" s="771">
        <v>3.1321148140898711</v>
      </c>
      <c r="U76" s="771">
        <v>50.157763475222275</v>
      </c>
      <c r="V76" s="771">
        <v>0</v>
      </c>
      <c r="W76" s="771">
        <v>0</v>
      </c>
      <c r="X76" s="771">
        <v>75.740800783872544</v>
      </c>
      <c r="Z76" s="506" t="s">
        <v>167</v>
      </c>
      <c r="AA76" s="83" t="s">
        <v>82</v>
      </c>
      <c r="AB76" s="771">
        <v>3.1663226210266635</v>
      </c>
      <c r="AC76" s="771">
        <v>50.50386291233616</v>
      </c>
      <c r="AD76" s="771">
        <v>0</v>
      </c>
      <c r="AE76" s="771">
        <v>0</v>
      </c>
      <c r="AF76" s="771">
        <v>77.193929311575033</v>
      </c>
      <c r="AH76" s="506" t="s">
        <v>167</v>
      </c>
      <c r="AI76" s="83" t="s">
        <v>82</v>
      </c>
      <c r="AJ76" s="771">
        <v>3.1969296061806358</v>
      </c>
      <c r="AK76" s="771">
        <v>50.813530829753837</v>
      </c>
      <c r="AL76" s="771">
        <v>0</v>
      </c>
      <c r="AM76" s="771">
        <v>0</v>
      </c>
      <c r="AN76" s="771">
        <v>77.809589709786891</v>
      </c>
    </row>
    <row r="77" spans="2:40" x14ac:dyDescent="0.2">
      <c r="B77" s="505"/>
      <c r="C77" s="386"/>
      <c r="D77" s="771"/>
      <c r="E77" s="771"/>
      <c r="F77" s="771"/>
      <c r="G77" s="771"/>
      <c r="H77" s="771"/>
      <c r="J77" s="505"/>
      <c r="K77" s="773"/>
      <c r="L77" s="771"/>
      <c r="M77" s="771"/>
      <c r="N77" s="771"/>
      <c r="O77" s="771"/>
      <c r="P77" s="771"/>
      <c r="R77" s="505"/>
      <c r="T77" s="771"/>
      <c r="U77" s="771"/>
      <c r="V77" s="771"/>
      <c r="W77" s="771"/>
      <c r="X77" s="771"/>
      <c r="Z77" s="505"/>
      <c r="AB77" s="771"/>
      <c r="AC77" s="771"/>
      <c r="AD77" s="771"/>
      <c r="AE77" s="771"/>
      <c r="AF77" s="771"/>
      <c r="AH77" s="505"/>
      <c r="AJ77" s="771"/>
      <c r="AK77" s="771"/>
      <c r="AL77" s="771"/>
      <c r="AM77" s="771"/>
      <c r="AN77" s="771"/>
    </row>
    <row r="78" spans="2:40" x14ac:dyDescent="0.2">
      <c r="B78" s="505" t="s">
        <v>168</v>
      </c>
      <c r="C78" s="386"/>
      <c r="D78" s="771">
        <f>INDEX(Tariff_HID_Tbl[],MATCH(HID_Tariffs[[#This Row],[Base Lamp]:[Base Lamp]],Tariff_HID_Tbl[[HID]:[HID]],0),MATCH(HID_Tariffs[[#Headers],[ENERGY]],Tariff_HID_Tbl[#Headers],0))</f>
        <v>3.0621988578067763</v>
      </c>
      <c r="E78" s="771">
        <f>INDEX(Tariff_HID_Tbl[],MATCH(HID_Tariffs[[#This Row],[Base Lamp]:[Base Lamp]],Tariff_HID_Tbl[[HID]:[HID]],0),MATCH(HID_Tariffs[[#Headers],[CLER]],Tariff_HID_Tbl[#Headers],0))</f>
        <v>42.083403430540152</v>
      </c>
      <c r="F78" s="771">
        <f>INDEX(Tariff_HID_Tbl[],MATCH(HID_Tariffs[[#This Row],[Base Lamp]:[Base Lamp]],Tariff_HID_Tbl[[HID]:[HID]],0),MATCH(HID_Tariffs[[#Headers],[PLC]],Tariff_HID_Tbl[#Headers],0))</f>
        <v>0</v>
      </c>
      <c r="G78" s="771">
        <f>INDEX(Tariff_HID_Tbl[],MATCH(HID_Tariffs[[#This Row],[Base Lamp]:[Base Lamp]],Tariff_HID_Tbl[[HID]:[HID]],0),MATCH(HID_Tariffs[[#Headers],[TFI]],Tariff_HID_Tbl[#Headers],0))</f>
        <v>0</v>
      </c>
      <c r="H78" s="771">
        <f>INDEX(Tariff_HID_Tbl[],MATCH(HID_Tariffs[[#This Row],[Base Lamp]:[Base Lamp]],Tariff_HID_Tbl[[HID]:[HID]],0),MATCH(HID_Tariffs[[#Headers],[SLUOS]],Tariff_HID_Tbl[#Headers],0))</f>
        <v>76.19865786100749</v>
      </c>
      <c r="J78" s="505" t="s">
        <v>168</v>
      </c>
      <c r="K78" s="773"/>
      <c r="L78" s="771">
        <v>3.0946062538521595</v>
      </c>
      <c r="M78" s="771">
        <v>42.364362051028337</v>
      </c>
      <c r="N78" s="771">
        <v>0</v>
      </c>
      <c r="O78" s="771">
        <v>0</v>
      </c>
      <c r="P78" s="771">
        <v>77.124145320646932</v>
      </c>
      <c r="R78" s="505" t="s">
        <v>168</v>
      </c>
      <c r="T78" s="771">
        <v>3.1321148140898711</v>
      </c>
      <c r="U78" s="771">
        <v>42.689545639556343</v>
      </c>
      <c r="V78" s="771">
        <v>0</v>
      </c>
      <c r="W78" s="771">
        <v>0</v>
      </c>
      <c r="X78" s="771">
        <v>77.700667721560436</v>
      </c>
      <c r="Z78" s="505" t="s">
        <v>168</v>
      </c>
      <c r="AB78" s="771">
        <v>3.1663226210266635</v>
      </c>
      <c r="AC78" s="771">
        <v>42.986113072293882</v>
      </c>
      <c r="AD78" s="771">
        <v>0</v>
      </c>
      <c r="AE78" s="771">
        <v>0</v>
      </c>
      <c r="AF78" s="771">
        <v>79.221827106969087</v>
      </c>
      <c r="AH78" s="505" t="s">
        <v>168</v>
      </c>
      <c r="AJ78" s="771">
        <v>3.1969296061806358</v>
      </c>
      <c r="AK78" s="771">
        <v>43.251462880532735</v>
      </c>
      <c r="AL78" s="771">
        <v>0</v>
      </c>
      <c r="AM78" s="771">
        <v>0</v>
      </c>
      <c r="AN78" s="771">
        <v>79.848789048317784</v>
      </c>
    </row>
    <row r="79" spans="2:40" x14ac:dyDescent="0.2">
      <c r="B79" s="505" t="str">
        <f>$B$78</f>
        <v>S-HP150</v>
      </c>
      <c r="C79" s="386" t="s">
        <v>479</v>
      </c>
      <c r="D79" s="771">
        <f>INDEX(Tariff_HID_Tbl[],MATCH(HID_Tariffs[[#This Row],[Base Lamp]:[Base Lamp]],Tariff_HID_Tbl[[HID]:[HID]],0),MATCH(HID_Tariffs[[#Headers],[ENERGY]],Tariff_HID_Tbl[#Headers],0))</f>
        <v>3.0621988578067763</v>
      </c>
      <c r="E79" s="771">
        <f>INDEX(Tariff_HID_Tbl[],MATCH(HID_Tariffs[[#This Row],[Base Lamp]:[Base Lamp]],Tariff_HID_Tbl[[HID]:[HID]],0),MATCH(HID_Tariffs[[#Headers],[CLER]],Tariff_HID_Tbl[#Headers],0))</f>
        <v>42.083403430540152</v>
      </c>
      <c r="F79" s="771">
        <f>INDEX(Tariff_HID_Tbl[],MATCH(HID_Tariffs[[#This Row],[Base Lamp]:[Base Lamp]],Tariff_HID_Tbl[[HID]:[HID]],0),MATCH(HID_Tariffs[[#Headers],[PLC]],Tariff_HID_Tbl[#Headers],0))</f>
        <v>0</v>
      </c>
      <c r="G79" s="771">
        <f>INDEX(Tariff_HID_Tbl[],MATCH(HID_Tariffs[[#This Row],[Base Lamp]:[Base Lamp]],Tariff_HID_Tbl[[HID]:[HID]],0),MATCH(HID_Tariffs[[#Headers],[TFI]],Tariff_HID_Tbl[#Headers],0))</f>
        <v>0</v>
      </c>
      <c r="H79" s="771">
        <f>INDEX(Tariff_HID_Tbl[],MATCH(HID_Tariffs[[#This Row],[Base Lamp]:[Base Lamp]],Tariff_HID_Tbl[[HID]:[HID]],0),MATCH(HID_Tariffs[[#Headers],[SLUOS]],Tariff_HID_Tbl[#Headers],0))</f>
        <v>76.19865786100749</v>
      </c>
      <c r="J79" s="505" t="s">
        <v>168</v>
      </c>
      <c r="K79" s="773" t="s">
        <v>479</v>
      </c>
      <c r="L79" s="771">
        <v>3.0946062538521595</v>
      </c>
      <c r="M79" s="771">
        <v>42.364362051028337</v>
      </c>
      <c r="N79" s="771">
        <v>0</v>
      </c>
      <c r="O79" s="771">
        <v>0</v>
      </c>
      <c r="P79" s="771">
        <v>77.124145320646932</v>
      </c>
      <c r="R79" s="505" t="s">
        <v>168</v>
      </c>
      <c r="S79" s="558" t="s">
        <v>479</v>
      </c>
      <c r="T79" s="771">
        <v>3.1321148140898711</v>
      </c>
      <c r="U79" s="771">
        <v>42.689545639556343</v>
      </c>
      <c r="V79" s="771">
        <v>0</v>
      </c>
      <c r="W79" s="771">
        <v>0</v>
      </c>
      <c r="X79" s="771">
        <v>77.700667721560436</v>
      </c>
      <c r="Z79" s="505" t="s">
        <v>168</v>
      </c>
      <c r="AA79" s="558" t="s">
        <v>479</v>
      </c>
      <c r="AB79" s="771">
        <v>3.1663226210266635</v>
      </c>
      <c r="AC79" s="771">
        <v>42.986113072293882</v>
      </c>
      <c r="AD79" s="771">
        <v>0</v>
      </c>
      <c r="AE79" s="771">
        <v>0</v>
      </c>
      <c r="AF79" s="771">
        <v>79.221827106969087</v>
      </c>
      <c r="AH79" s="505" t="s">
        <v>168</v>
      </c>
      <c r="AI79" s="558" t="s">
        <v>479</v>
      </c>
      <c r="AJ79" s="771">
        <v>3.1969296061806358</v>
      </c>
      <c r="AK79" s="771">
        <v>43.251462880532735</v>
      </c>
      <c r="AL79" s="771">
        <v>0</v>
      </c>
      <c r="AM79" s="771">
        <v>0</v>
      </c>
      <c r="AN79" s="771">
        <v>79.848789048317784</v>
      </c>
    </row>
    <row r="80" spans="2:40" x14ac:dyDescent="0.2">
      <c r="B80" s="505" t="str">
        <f>$B$78</f>
        <v>S-HP150</v>
      </c>
      <c r="C80" s="83" t="s">
        <v>75</v>
      </c>
      <c r="D80" s="771">
        <f>INDEX(Tariff_HID_Tbl[],MATCH(HID_Tariffs[[#This Row],[Base Lamp]:[Base Lamp]],Tariff_HID_Tbl[[HID]:[HID]],0),MATCH(HID_Tariffs[[#Headers],[ENERGY]],Tariff_HID_Tbl[#Headers],0))</f>
        <v>3.0621988578067763</v>
      </c>
      <c r="E80" s="771">
        <f>INDEX(Tariff_HID_Tbl[],MATCH(HID_Tariffs[[#This Row],[Base Lamp]:[Base Lamp]],Tariff_HID_Tbl[[HID]:[HID]],0),MATCH(HID_Tariffs[[#Headers],[CLER]],Tariff_HID_Tbl[#Headers],0))</f>
        <v>42.083403430540152</v>
      </c>
      <c r="F80" s="771">
        <f>INDEX(Tariff_HID_Tbl[],MATCH(HID_Tariffs[[#This Row],[Base Lamp]:[Base Lamp]],Tariff_HID_Tbl[[HID]:[HID]],0),MATCH(HID_Tariffs[[#Headers],[PLC]],Tariff_HID_Tbl[#Headers],0))</f>
        <v>0</v>
      </c>
      <c r="G80" s="771">
        <f>INDEX(Tariff_HID_Tbl[],MATCH(HID_Tariffs[[#This Row],[Base Lamp]:[Base Lamp]],Tariff_HID_Tbl[[HID]:[HID]],0),MATCH(HID_Tariffs[[#Headers],[TFI]],Tariff_HID_Tbl[#Headers],0))</f>
        <v>0</v>
      </c>
      <c r="H80" s="771">
        <f>INDEX(Tariff_HID_Tbl[],MATCH(HID_Tariffs[[#This Row],[Base Lamp]:[Base Lamp]],Tariff_HID_Tbl[[HID]:[HID]],0),MATCH(HID_Tariffs[[#Headers],[SLUOS]],Tariff_HID_Tbl[#Headers],0))</f>
        <v>76.19865786100749</v>
      </c>
      <c r="J80" s="505" t="s">
        <v>168</v>
      </c>
      <c r="K80" s="774" t="s">
        <v>75</v>
      </c>
      <c r="L80" s="771">
        <v>3.0946062538521595</v>
      </c>
      <c r="M80" s="771">
        <v>42.364362051028337</v>
      </c>
      <c r="N80" s="771">
        <v>0</v>
      </c>
      <c r="O80" s="771">
        <v>0</v>
      </c>
      <c r="P80" s="771">
        <v>77.124145320646932</v>
      </c>
      <c r="R80" s="505" t="s">
        <v>168</v>
      </c>
      <c r="S80" s="83" t="s">
        <v>75</v>
      </c>
      <c r="T80" s="771">
        <v>3.1321148140898711</v>
      </c>
      <c r="U80" s="771">
        <v>42.689545639556343</v>
      </c>
      <c r="V80" s="771">
        <v>0</v>
      </c>
      <c r="W80" s="771">
        <v>0</v>
      </c>
      <c r="X80" s="771">
        <v>77.700667721560436</v>
      </c>
      <c r="Z80" s="505" t="s">
        <v>168</v>
      </c>
      <c r="AA80" s="83" t="s">
        <v>75</v>
      </c>
      <c r="AB80" s="771">
        <v>3.1663226210266635</v>
      </c>
      <c r="AC80" s="771">
        <v>42.986113072293882</v>
      </c>
      <c r="AD80" s="771">
        <v>0</v>
      </c>
      <c r="AE80" s="771">
        <v>0</v>
      </c>
      <c r="AF80" s="771">
        <v>79.221827106969087</v>
      </c>
      <c r="AH80" s="505" t="s">
        <v>168</v>
      </c>
      <c r="AI80" s="83" t="s">
        <v>75</v>
      </c>
      <c r="AJ80" s="771">
        <v>3.1969296061806358</v>
      </c>
      <c r="AK80" s="771">
        <v>43.251462880532735</v>
      </c>
      <c r="AL80" s="771">
        <v>0</v>
      </c>
      <c r="AM80" s="771">
        <v>0</v>
      </c>
      <c r="AN80" s="771">
        <v>79.848789048317784</v>
      </c>
    </row>
    <row r="81" spans="2:40" x14ac:dyDescent="0.2">
      <c r="B81" s="505"/>
      <c r="C81" s="386"/>
      <c r="D81" s="771"/>
      <c r="E81" s="771"/>
      <c r="F81" s="771"/>
      <c r="G81" s="771"/>
      <c r="H81" s="771"/>
      <c r="J81" s="505"/>
      <c r="K81" s="773"/>
      <c r="L81" s="771"/>
      <c r="M81" s="771"/>
      <c r="N81" s="771"/>
      <c r="O81" s="771"/>
      <c r="P81" s="771"/>
      <c r="R81" s="505"/>
      <c r="T81" s="771"/>
      <c r="U81" s="771"/>
      <c r="V81" s="771"/>
      <c r="W81" s="771"/>
      <c r="X81" s="771"/>
      <c r="Z81" s="505"/>
      <c r="AB81" s="771"/>
      <c r="AC81" s="771"/>
      <c r="AD81" s="771"/>
      <c r="AE81" s="771"/>
      <c r="AF81" s="771"/>
      <c r="AH81" s="505"/>
      <c r="AJ81" s="771"/>
      <c r="AK81" s="771"/>
      <c r="AL81" s="771"/>
      <c r="AM81" s="771"/>
      <c r="AN81" s="771"/>
    </row>
    <row r="82" spans="2:40" x14ac:dyDescent="0.2">
      <c r="B82" s="505" t="s">
        <v>169</v>
      </c>
      <c r="C82" s="386"/>
      <c r="D82" s="771">
        <f>INDEX(Tariff_HID_Tbl[],MATCH(HID_Tariffs[[#This Row],[Base Lamp]:[Base Lamp]],Tariff_HID_Tbl[[HID]:[HID]],0),MATCH(HID_Tariffs[[#Headers],[ENERGY]],Tariff_HID_Tbl[#Headers],0))</f>
        <v>3.0621988578067763</v>
      </c>
      <c r="E82" s="771">
        <f>INDEX(Tariff_HID_Tbl[],MATCH(HID_Tariffs[[#This Row],[Base Lamp]:[Base Lamp]],Tariff_HID_Tbl[[HID]:[HID]],0),MATCH(HID_Tariffs[[#Headers],[CLER]],Tariff_HID_Tbl[#Headers],0))</f>
        <v>48.327428949941648</v>
      </c>
      <c r="F82" s="771">
        <f>INDEX(Tariff_HID_Tbl[],MATCH(HID_Tariffs[[#This Row],[Base Lamp]:[Base Lamp]],Tariff_HID_Tbl[[HID]:[HID]],0),MATCH(HID_Tariffs[[#Headers],[PLC]],Tariff_HID_Tbl[#Headers],0))</f>
        <v>0</v>
      </c>
      <c r="G82" s="771">
        <f>INDEX(Tariff_HID_Tbl[],MATCH(HID_Tariffs[[#This Row],[Base Lamp]:[Base Lamp]],Tariff_HID_Tbl[[HID]:[HID]],0),MATCH(HID_Tariffs[[#Headers],[TFI]],Tariff_HID_Tbl[#Headers],0))</f>
        <v>0</v>
      </c>
      <c r="H82" s="771">
        <f>INDEX(Tariff_HID_Tbl[],MATCH(HID_Tariffs[[#This Row],[Base Lamp]:[Base Lamp]],Tariff_HID_Tbl[[HID]:[HID]],0),MATCH(HID_Tariffs[[#Headers],[SLUOS]],Tariff_HID_Tbl[#Headers],0))</f>
        <v>87.254525270488713</v>
      </c>
      <c r="J82" s="505" t="s">
        <v>169</v>
      </c>
      <c r="K82" s="773"/>
      <c r="L82" s="771">
        <v>3.0946062538521595</v>
      </c>
      <c r="M82" s="771">
        <v>48.648159796974163</v>
      </c>
      <c r="N82" s="771">
        <v>0</v>
      </c>
      <c r="O82" s="771">
        <v>0</v>
      </c>
      <c r="P82" s="771">
        <v>88.248417487218731</v>
      </c>
      <c r="R82" s="505" t="s">
        <v>169</v>
      </c>
      <c r="T82" s="771">
        <v>3.1321148140898711</v>
      </c>
      <c r="U82" s="771">
        <v>49.019376055113661</v>
      </c>
      <c r="V82" s="771">
        <v>0</v>
      </c>
      <c r="W82" s="771">
        <v>0</v>
      </c>
      <c r="X82" s="771">
        <v>88.904112060690764</v>
      </c>
      <c r="Z82" s="505" t="s">
        <v>169</v>
      </c>
      <c r="AB82" s="771">
        <v>3.1663226210266635</v>
      </c>
      <c r="AC82" s="771">
        <v>49.35792528253689</v>
      </c>
      <c r="AD82" s="771">
        <v>0</v>
      </c>
      <c r="AE82" s="771">
        <v>0</v>
      </c>
      <c r="AF82" s="771">
        <v>90.814165157706853</v>
      </c>
      <c r="AH82" s="505" t="s">
        <v>169</v>
      </c>
      <c r="AJ82" s="771">
        <v>3.1969296061806358</v>
      </c>
      <c r="AK82" s="771">
        <v>49.660837749178718</v>
      </c>
      <c r="AL82" s="771">
        <v>0</v>
      </c>
      <c r="AM82" s="771">
        <v>0</v>
      </c>
      <c r="AN82" s="771">
        <v>91.505731591863324</v>
      </c>
    </row>
    <row r="83" spans="2:40" x14ac:dyDescent="0.2">
      <c r="B83" s="505" t="str">
        <f t="shared" ref="B83:B84" si="10">$B$82</f>
        <v>S-HP250</v>
      </c>
      <c r="C83" s="386" t="s">
        <v>98</v>
      </c>
      <c r="D83" s="771">
        <f>INDEX(Tariff_HID_Tbl[],MATCH(HID_Tariffs[[#This Row],[Base Lamp]:[Base Lamp]],Tariff_HID_Tbl[[HID]:[HID]],0),MATCH(HID_Tariffs[[#Headers],[ENERGY]],Tariff_HID_Tbl[#Headers],0))</f>
        <v>3.0621988578067763</v>
      </c>
      <c r="E83" s="771">
        <f>INDEX(Tariff_HID_Tbl[],MATCH(HID_Tariffs[[#This Row],[Base Lamp]:[Base Lamp]],Tariff_HID_Tbl[[HID]:[HID]],0),MATCH(HID_Tariffs[[#Headers],[CLER]],Tariff_HID_Tbl[#Headers],0))</f>
        <v>48.327428949941648</v>
      </c>
      <c r="F83" s="771">
        <f>INDEX(Tariff_HID_Tbl[],MATCH(HID_Tariffs[[#This Row],[Base Lamp]:[Base Lamp]],Tariff_HID_Tbl[[HID]:[HID]],0),MATCH(HID_Tariffs[[#Headers],[PLC]],Tariff_HID_Tbl[#Headers],0))</f>
        <v>0</v>
      </c>
      <c r="G83" s="771">
        <f>INDEX(Tariff_HID_Tbl[],MATCH(HID_Tariffs[[#This Row],[Base Lamp]:[Base Lamp]],Tariff_HID_Tbl[[HID]:[HID]],0),MATCH(HID_Tariffs[[#Headers],[TFI]],Tariff_HID_Tbl[#Headers],0))</f>
        <v>0</v>
      </c>
      <c r="H83" s="771">
        <f>INDEX(Tariff_HID_Tbl[],MATCH(HID_Tariffs[[#This Row],[Base Lamp]:[Base Lamp]],Tariff_HID_Tbl[[HID]:[HID]],0),MATCH(HID_Tariffs[[#Headers],[SLUOS]],Tariff_HID_Tbl[#Headers],0))</f>
        <v>87.254525270488713</v>
      </c>
      <c r="J83" s="505" t="s">
        <v>169</v>
      </c>
      <c r="K83" s="773" t="s">
        <v>98</v>
      </c>
      <c r="L83" s="771">
        <v>3.0946062538521595</v>
      </c>
      <c r="M83" s="771">
        <v>48.648159796974163</v>
      </c>
      <c r="N83" s="771">
        <v>0</v>
      </c>
      <c r="O83" s="771">
        <v>0</v>
      </c>
      <c r="P83" s="771">
        <v>88.248417487218731</v>
      </c>
      <c r="R83" s="505" t="s">
        <v>169</v>
      </c>
      <c r="S83" s="558" t="s">
        <v>98</v>
      </c>
      <c r="T83" s="771">
        <v>3.1321148140898711</v>
      </c>
      <c r="U83" s="771">
        <v>49.019376055113661</v>
      </c>
      <c r="V83" s="771">
        <v>0</v>
      </c>
      <c r="W83" s="771">
        <v>0</v>
      </c>
      <c r="X83" s="771">
        <v>88.904112060690764</v>
      </c>
      <c r="Z83" s="505" t="s">
        <v>169</v>
      </c>
      <c r="AA83" s="558" t="s">
        <v>98</v>
      </c>
      <c r="AB83" s="771">
        <v>3.1663226210266635</v>
      </c>
      <c r="AC83" s="771">
        <v>49.35792528253689</v>
      </c>
      <c r="AD83" s="771">
        <v>0</v>
      </c>
      <c r="AE83" s="771">
        <v>0</v>
      </c>
      <c r="AF83" s="771">
        <v>90.814165157706853</v>
      </c>
      <c r="AH83" s="505" t="s">
        <v>169</v>
      </c>
      <c r="AI83" s="558" t="s">
        <v>98</v>
      </c>
      <c r="AJ83" s="771">
        <v>3.1969296061806358</v>
      </c>
      <c r="AK83" s="771">
        <v>49.660837749178718</v>
      </c>
      <c r="AL83" s="771">
        <v>0</v>
      </c>
      <c r="AM83" s="771">
        <v>0</v>
      </c>
      <c r="AN83" s="771">
        <v>91.505731591863324</v>
      </c>
    </row>
    <row r="84" spans="2:40" x14ac:dyDescent="0.2">
      <c r="B84" s="505" t="str">
        <f t="shared" si="10"/>
        <v>S-HP250</v>
      </c>
      <c r="C84" s="386" t="s">
        <v>102</v>
      </c>
      <c r="D84" s="771">
        <f>INDEX(Tariff_HID_Tbl[],MATCH(HID_Tariffs[[#This Row],[Base Lamp]:[Base Lamp]],Tariff_HID_Tbl[[HID]:[HID]],0),MATCH(HID_Tariffs[[#Headers],[ENERGY]],Tariff_HID_Tbl[#Headers],0))</f>
        <v>3.0621988578067763</v>
      </c>
      <c r="E84" s="771">
        <f>INDEX(Tariff_HID_Tbl[],MATCH(HID_Tariffs[[#This Row],[Base Lamp]:[Base Lamp]],Tariff_HID_Tbl[[HID]:[HID]],0),MATCH(HID_Tariffs[[#Headers],[CLER]],Tariff_HID_Tbl[#Headers],0))</f>
        <v>48.327428949941648</v>
      </c>
      <c r="F84" s="771">
        <f>INDEX(Tariff_HID_Tbl[],MATCH(HID_Tariffs[[#This Row],[Base Lamp]:[Base Lamp]],Tariff_HID_Tbl[[HID]:[HID]],0),MATCH(HID_Tariffs[[#Headers],[PLC]],Tariff_HID_Tbl[#Headers],0))</f>
        <v>0</v>
      </c>
      <c r="G84" s="771">
        <f>INDEX(Tariff_HID_Tbl[],MATCH(HID_Tariffs[[#This Row],[Base Lamp]:[Base Lamp]],Tariff_HID_Tbl[[HID]:[HID]],0),MATCH(HID_Tariffs[[#Headers],[TFI]],Tariff_HID_Tbl[#Headers],0))</f>
        <v>0</v>
      </c>
      <c r="H84" s="771">
        <f>INDEX(Tariff_HID_Tbl[],MATCH(HID_Tariffs[[#This Row],[Base Lamp]:[Base Lamp]],Tariff_HID_Tbl[[HID]:[HID]],0),MATCH(HID_Tariffs[[#Headers],[SLUOS]],Tariff_HID_Tbl[#Headers],0))</f>
        <v>87.254525270488713</v>
      </c>
      <c r="J84" s="505" t="s">
        <v>169</v>
      </c>
      <c r="K84" s="773" t="s">
        <v>102</v>
      </c>
      <c r="L84" s="771">
        <v>3.0946062538521595</v>
      </c>
      <c r="M84" s="771">
        <v>48.648159796974163</v>
      </c>
      <c r="N84" s="771">
        <v>0</v>
      </c>
      <c r="O84" s="771">
        <v>0</v>
      </c>
      <c r="P84" s="771">
        <v>88.248417487218731</v>
      </c>
      <c r="R84" s="505" t="s">
        <v>169</v>
      </c>
      <c r="S84" s="558" t="s">
        <v>102</v>
      </c>
      <c r="T84" s="771">
        <v>3.1321148140898711</v>
      </c>
      <c r="U84" s="771">
        <v>49.019376055113661</v>
      </c>
      <c r="V84" s="771">
        <v>0</v>
      </c>
      <c r="W84" s="771">
        <v>0</v>
      </c>
      <c r="X84" s="771">
        <v>88.904112060690764</v>
      </c>
      <c r="Z84" s="505" t="s">
        <v>169</v>
      </c>
      <c r="AA84" s="558" t="s">
        <v>102</v>
      </c>
      <c r="AB84" s="771">
        <v>3.1663226210266635</v>
      </c>
      <c r="AC84" s="771">
        <v>49.35792528253689</v>
      </c>
      <c r="AD84" s="771">
        <v>0</v>
      </c>
      <c r="AE84" s="771">
        <v>0</v>
      </c>
      <c r="AF84" s="771">
        <v>90.814165157706853</v>
      </c>
      <c r="AH84" s="505" t="s">
        <v>169</v>
      </c>
      <c r="AI84" s="558" t="s">
        <v>102</v>
      </c>
      <c r="AJ84" s="771">
        <v>3.1969296061806358</v>
      </c>
      <c r="AK84" s="771">
        <v>49.660837749178718</v>
      </c>
      <c r="AL84" s="771">
        <v>0</v>
      </c>
      <c r="AM84" s="771">
        <v>0</v>
      </c>
      <c r="AN84" s="771">
        <v>91.505731591863324</v>
      </c>
    </row>
    <row r="85" spans="2:40" x14ac:dyDescent="0.2">
      <c r="B85" s="505"/>
      <c r="C85" s="386"/>
      <c r="D85" s="771"/>
      <c r="E85" s="771"/>
      <c r="F85" s="771"/>
      <c r="G85" s="771"/>
      <c r="H85" s="771"/>
      <c r="J85" s="505"/>
      <c r="K85" s="773"/>
      <c r="L85" s="771"/>
      <c r="M85" s="771"/>
      <c r="N85" s="771"/>
      <c r="O85" s="771"/>
      <c r="P85" s="771"/>
      <c r="R85" s="505"/>
      <c r="T85" s="771"/>
      <c r="U85" s="771"/>
      <c r="V85" s="771"/>
      <c r="W85" s="771"/>
      <c r="X85" s="771"/>
      <c r="Z85" s="505"/>
      <c r="AB85" s="771"/>
      <c r="AC85" s="771"/>
      <c r="AD85" s="771"/>
      <c r="AE85" s="771"/>
      <c r="AF85" s="771"/>
      <c r="AH85" s="505"/>
      <c r="AJ85" s="771"/>
      <c r="AK85" s="771"/>
      <c r="AL85" s="771"/>
      <c r="AM85" s="771"/>
      <c r="AN85" s="771"/>
    </row>
    <row r="86" spans="2:40" x14ac:dyDescent="0.2">
      <c r="B86" s="505" t="s">
        <v>166</v>
      </c>
      <c r="C86" s="386"/>
      <c r="D86" s="771">
        <f>INDEX(Tariff_HID_Tbl[],MATCH(HID_Tariffs[[#This Row],[Base Lamp]:[Base Lamp]],Tariff_HID_Tbl[[HID]:[HID]],0),MATCH(HID_Tariffs[[#Headers],[ENERGY]],Tariff_HID_Tbl[#Headers],0))</f>
        <v>3.0621988578067763</v>
      </c>
      <c r="E86" s="771">
        <f>INDEX(Tariff_HID_Tbl[],MATCH(HID_Tariffs[[#This Row],[Base Lamp]:[Base Lamp]],Tariff_HID_Tbl[[HID]:[HID]],0),MATCH(HID_Tariffs[[#Headers],[CLER]],Tariff_HID_Tbl[#Headers],0))</f>
        <v>58.277432893397908</v>
      </c>
      <c r="F86" s="771">
        <f>INDEX(Tariff_HID_Tbl[],MATCH(HID_Tariffs[[#This Row],[Base Lamp]:[Base Lamp]],Tariff_HID_Tbl[[HID]:[HID]],0),MATCH(HID_Tariffs[[#Headers],[PLC]],Tariff_HID_Tbl[#Headers],0))</f>
        <v>0</v>
      </c>
      <c r="G86" s="771">
        <f>INDEX(Tariff_HID_Tbl[],MATCH(HID_Tariffs[[#This Row],[Base Lamp]:[Base Lamp]],Tariff_HID_Tbl[[HID]:[HID]],0),MATCH(HID_Tariffs[[#Headers],[TFI]],Tariff_HID_Tbl[#Headers],0))</f>
        <v>0</v>
      </c>
      <c r="H86" s="771">
        <f>INDEX(Tariff_HID_Tbl[],MATCH(HID_Tariffs[[#This Row],[Base Lamp]:[Base Lamp]],Tariff_HID_Tbl[[HID]:[HID]],0),MATCH(HID_Tariffs[[#Headers],[SLUOS]],Tariff_HID_Tbl[#Headers],0))</f>
        <v>92.969146373969735</v>
      </c>
      <c r="J86" s="505" t="s">
        <v>166</v>
      </c>
      <c r="K86" s="773"/>
      <c r="L86" s="771">
        <v>3.0946062538521595</v>
      </c>
      <c r="M86" s="771">
        <v>58.661541734278551</v>
      </c>
      <c r="N86" s="771">
        <v>0</v>
      </c>
      <c r="O86" s="771">
        <v>0</v>
      </c>
      <c r="P86" s="771">
        <v>93.99839603973291</v>
      </c>
      <c r="R86" s="505" t="s">
        <v>166</v>
      </c>
      <c r="T86" s="771">
        <v>3.1321148140898711</v>
      </c>
      <c r="U86" s="771">
        <v>59.106112151964481</v>
      </c>
      <c r="V86" s="771">
        <v>0</v>
      </c>
      <c r="W86" s="771">
        <v>0</v>
      </c>
      <c r="X86" s="771">
        <v>94.695013586622977</v>
      </c>
      <c r="Z86" s="505" t="s">
        <v>166</v>
      </c>
      <c r="AB86" s="771">
        <v>3.1663226210266635</v>
      </c>
      <c r="AC86" s="771">
        <v>59.511560372894046</v>
      </c>
      <c r="AD86" s="771">
        <v>0</v>
      </c>
      <c r="AE86" s="771">
        <v>0</v>
      </c>
      <c r="AF86" s="771">
        <v>96.806080329068394</v>
      </c>
      <c r="AH86" s="505" t="s">
        <v>166</v>
      </c>
      <c r="AJ86" s="771">
        <v>3.1969296061806358</v>
      </c>
      <c r="AK86" s="771">
        <v>59.874329833725767</v>
      </c>
      <c r="AL86" s="771">
        <v>0</v>
      </c>
      <c r="AM86" s="771">
        <v>0</v>
      </c>
      <c r="AN86" s="771">
        <v>97.531039909533959</v>
      </c>
    </row>
    <row r="87" spans="2:40" x14ac:dyDescent="0.2">
      <c r="B87" s="505" t="str">
        <f t="shared" ref="B87:B89" si="11">$B$86</f>
        <v>S-LP90</v>
      </c>
      <c r="C87" s="386" t="s">
        <v>96</v>
      </c>
      <c r="D87" s="771">
        <f>INDEX(Tariff_HID_Tbl[],MATCH(HID_Tariffs[[#This Row],[Base Lamp]:[Base Lamp]],Tariff_HID_Tbl[[HID]:[HID]],0),MATCH(HID_Tariffs[[#Headers],[ENERGY]],Tariff_HID_Tbl[#Headers],0))</f>
        <v>3.0621988578067763</v>
      </c>
      <c r="E87" s="771">
        <f>INDEX(Tariff_HID_Tbl[],MATCH(HID_Tariffs[[#This Row],[Base Lamp]:[Base Lamp]],Tariff_HID_Tbl[[HID]:[HID]],0),MATCH(HID_Tariffs[[#Headers],[CLER]],Tariff_HID_Tbl[#Headers],0))</f>
        <v>58.277432893397908</v>
      </c>
      <c r="F87" s="771">
        <f>INDEX(Tariff_HID_Tbl[],MATCH(HID_Tariffs[[#This Row],[Base Lamp]:[Base Lamp]],Tariff_HID_Tbl[[HID]:[HID]],0),MATCH(HID_Tariffs[[#Headers],[PLC]],Tariff_HID_Tbl[#Headers],0))</f>
        <v>0</v>
      </c>
      <c r="G87" s="771">
        <f>INDEX(Tariff_HID_Tbl[],MATCH(HID_Tariffs[[#This Row],[Base Lamp]:[Base Lamp]],Tariff_HID_Tbl[[HID]:[HID]],0),MATCH(HID_Tariffs[[#Headers],[TFI]],Tariff_HID_Tbl[#Headers],0))</f>
        <v>0</v>
      </c>
      <c r="H87" s="771">
        <f>INDEX(Tariff_HID_Tbl[],MATCH(HID_Tariffs[[#This Row],[Base Lamp]:[Base Lamp]],Tariff_HID_Tbl[[HID]:[HID]],0),MATCH(HID_Tariffs[[#Headers],[SLUOS]],Tariff_HID_Tbl[#Headers],0))</f>
        <v>92.969146373969735</v>
      </c>
      <c r="J87" s="505" t="s">
        <v>166</v>
      </c>
      <c r="K87" s="773" t="s">
        <v>96</v>
      </c>
      <c r="L87" s="771">
        <v>3.0946062538521595</v>
      </c>
      <c r="M87" s="771">
        <v>58.661541734278551</v>
      </c>
      <c r="N87" s="771">
        <v>0</v>
      </c>
      <c r="O87" s="771">
        <v>0</v>
      </c>
      <c r="P87" s="771">
        <v>93.99839603973291</v>
      </c>
      <c r="R87" s="505" t="s">
        <v>166</v>
      </c>
      <c r="S87" s="558" t="s">
        <v>96</v>
      </c>
      <c r="T87" s="771">
        <v>3.1321148140898711</v>
      </c>
      <c r="U87" s="771">
        <v>59.106112151964481</v>
      </c>
      <c r="V87" s="771">
        <v>0</v>
      </c>
      <c r="W87" s="771">
        <v>0</v>
      </c>
      <c r="X87" s="771">
        <v>94.695013586622977</v>
      </c>
      <c r="Z87" s="505" t="s">
        <v>166</v>
      </c>
      <c r="AA87" s="558" t="s">
        <v>96</v>
      </c>
      <c r="AB87" s="771">
        <v>3.1663226210266635</v>
      </c>
      <c r="AC87" s="771">
        <v>59.511560372894046</v>
      </c>
      <c r="AD87" s="771">
        <v>0</v>
      </c>
      <c r="AE87" s="771">
        <v>0</v>
      </c>
      <c r="AF87" s="771">
        <v>96.806080329068394</v>
      </c>
      <c r="AH87" s="505" t="s">
        <v>166</v>
      </c>
      <c r="AI87" s="558" t="s">
        <v>96</v>
      </c>
      <c r="AJ87" s="771">
        <v>3.1969296061806358</v>
      </c>
      <c r="AK87" s="771">
        <v>59.874329833725767</v>
      </c>
      <c r="AL87" s="771">
        <v>0</v>
      </c>
      <c r="AM87" s="771">
        <v>0</v>
      </c>
      <c r="AN87" s="771">
        <v>97.531039909533959</v>
      </c>
    </row>
    <row r="88" spans="2:40" x14ac:dyDescent="0.2">
      <c r="B88" s="505" t="str">
        <f t="shared" si="11"/>
        <v>S-LP90</v>
      </c>
      <c r="C88" s="386" t="s">
        <v>95</v>
      </c>
      <c r="D88" s="771">
        <f>INDEX(Tariff_HID_Tbl[],MATCH(HID_Tariffs[[#This Row],[Base Lamp]:[Base Lamp]],Tariff_HID_Tbl[[HID]:[HID]],0),MATCH(HID_Tariffs[[#Headers],[ENERGY]],Tariff_HID_Tbl[#Headers],0))</f>
        <v>3.0621988578067763</v>
      </c>
      <c r="E88" s="771">
        <f>INDEX(Tariff_HID_Tbl[],MATCH(HID_Tariffs[[#This Row],[Base Lamp]:[Base Lamp]],Tariff_HID_Tbl[[HID]:[HID]],0),MATCH(HID_Tariffs[[#Headers],[CLER]],Tariff_HID_Tbl[#Headers],0))</f>
        <v>58.277432893397908</v>
      </c>
      <c r="F88" s="771">
        <f>INDEX(Tariff_HID_Tbl[],MATCH(HID_Tariffs[[#This Row],[Base Lamp]:[Base Lamp]],Tariff_HID_Tbl[[HID]:[HID]],0),MATCH(HID_Tariffs[[#Headers],[PLC]],Tariff_HID_Tbl[#Headers],0))</f>
        <v>0</v>
      </c>
      <c r="G88" s="771">
        <f>INDEX(Tariff_HID_Tbl[],MATCH(HID_Tariffs[[#This Row],[Base Lamp]:[Base Lamp]],Tariff_HID_Tbl[[HID]:[HID]],0),MATCH(HID_Tariffs[[#Headers],[TFI]],Tariff_HID_Tbl[#Headers],0))</f>
        <v>0</v>
      </c>
      <c r="H88" s="771">
        <f>INDEX(Tariff_HID_Tbl[],MATCH(HID_Tariffs[[#This Row],[Base Lamp]:[Base Lamp]],Tariff_HID_Tbl[[HID]:[HID]],0),MATCH(HID_Tariffs[[#Headers],[SLUOS]],Tariff_HID_Tbl[#Headers],0))</f>
        <v>92.969146373969735</v>
      </c>
      <c r="J88" s="505" t="s">
        <v>166</v>
      </c>
      <c r="K88" s="773" t="s">
        <v>95</v>
      </c>
      <c r="L88" s="771">
        <v>3.0946062538521595</v>
      </c>
      <c r="M88" s="771">
        <v>58.661541734278551</v>
      </c>
      <c r="N88" s="771">
        <v>0</v>
      </c>
      <c r="O88" s="771">
        <v>0</v>
      </c>
      <c r="P88" s="771">
        <v>93.99839603973291</v>
      </c>
      <c r="R88" s="505" t="s">
        <v>166</v>
      </c>
      <c r="S88" s="558" t="s">
        <v>95</v>
      </c>
      <c r="T88" s="771">
        <v>3.1321148140898711</v>
      </c>
      <c r="U88" s="771">
        <v>59.106112151964481</v>
      </c>
      <c r="V88" s="771">
        <v>0</v>
      </c>
      <c r="W88" s="771">
        <v>0</v>
      </c>
      <c r="X88" s="771">
        <v>94.695013586622977</v>
      </c>
      <c r="Z88" s="505" t="s">
        <v>166</v>
      </c>
      <c r="AA88" s="558" t="s">
        <v>95</v>
      </c>
      <c r="AB88" s="771">
        <v>3.1663226210266635</v>
      </c>
      <c r="AC88" s="771">
        <v>59.511560372894046</v>
      </c>
      <c r="AD88" s="771">
        <v>0</v>
      </c>
      <c r="AE88" s="771">
        <v>0</v>
      </c>
      <c r="AF88" s="771">
        <v>96.806080329068394</v>
      </c>
      <c r="AH88" s="505" t="s">
        <v>166</v>
      </c>
      <c r="AI88" s="558" t="s">
        <v>95</v>
      </c>
      <c r="AJ88" s="771">
        <v>3.1969296061806358</v>
      </c>
      <c r="AK88" s="771">
        <v>59.874329833725767</v>
      </c>
      <c r="AL88" s="771">
        <v>0</v>
      </c>
      <c r="AM88" s="771">
        <v>0</v>
      </c>
      <c r="AN88" s="771">
        <v>97.531039909533959</v>
      </c>
    </row>
    <row r="89" spans="2:40" x14ac:dyDescent="0.2">
      <c r="B89" s="505" t="str">
        <f t="shared" si="11"/>
        <v>S-LP90</v>
      </c>
      <c r="C89" s="386" t="s">
        <v>81</v>
      </c>
      <c r="D89" s="771">
        <f>INDEX(Tariff_HID_Tbl[],MATCH(HID_Tariffs[[#This Row],[Base Lamp]:[Base Lamp]],Tariff_HID_Tbl[[HID]:[HID]],0),MATCH(HID_Tariffs[[#Headers],[ENERGY]],Tariff_HID_Tbl[#Headers],0))</f>
        <v>3.0621988578067763</v>
      </c>
      <c r="E89" s="771">
        <f>INDEX(Tariff_HID_Tbl[],MATCH(HID_Tariffs[[#This Row],[Base Lamp]:[Base Lamp]],Tariff_HID_Tbl[[HID]:[HID]],0),MATCH(HID_Tariffs[[#Headers],[CLER]],Tariff_HID_Tbl[#Headers],0))</f>
        <v>58.277432893397908</v>
      </c>
      <c r="F89" s="771">
        <f>INDEX(Tariff_HID_Tbl[],MATCH(HID_Tariffs[[#This Row],[Base Lamp]:[Base Lamp]],Tariff_HID_Tbl[[HID]:[HID]],0),MATCH(HID_Tariffs[[#Headers],[PLC]],Tariff_HID_Tbl[#Headers],0))</f>
        <v>0</v>
      </c>
      <c r="G89" s="771">
        <f>INDEX(Tariff_HID_Tbl[],MATCH(HID_Tariffs[[#This Row],[Base Lamp]:[Base Lamp]],Tariff_HID_Tbl[[HID]:[HID]],0),MATCH(HID_Tariffs[[#Headers],[TFI]],Tariff_HID_Tbl[#Headers],0))</f>
        <v>0</v>
      </c>
      <c r="H89" s="771">
        <f>INDEX(Tariff_HID_Tbl[],MATCH(HID_Tariffs[[#This Row],[Base Lamp]:[Base Lamp]],Tariff_HID_Tbl[[HID]:[HID]],0),MATCH(HID_Tariffs[[#Headers],[SLUOS]],Tariff_HID_Tbl[#Headers],0))</f>
        <v>92.969146373969735</v>
      </c>
      <c r="J89" s="505" t="s">
        <v>166</v>
      </c>
      <c r="K89" s="773" t="s">
        <v>81</v>
      </c>
      <c r="L89" s="771">
        <v>3.0946062538521595</v>
      </c>
      <c r="M89" s="771">
        <v>58.661541734278551</v>
      </c>
      <c r="N89" s="771">
        <v>0</v>
      </c>
      <c r="O89" s="771">
        <v>0</v>
      </c>
      <c r="P89" s="771">
        <v>93.99839603973291</v>
      </c>
      <c r="R89" s="505" t="s">
        <v>166</v>
      </c>
      <c r="S89" s="558" t="s">
        <v>81</v>
      </c>
      <c r="T89" s="771">
        <v>3.1321148140898711</v>
      </c>
      <c r="U89" s="771">
        <v>59.106112151964481</v>
      </c>
      <c r="V89" s="771">
        <v>0</v>
      </c>
      <c r="W89" s="771">
        <v>0</v>
      </c>
      <c r="X89" s="771">
        <v>94.695013586622977</v>
      </c>
      <c r="Z89" s="505" t="s">
        <v>166</v>
      </c>
      <c r="AA89" s="558" t="s">
        <v>81</v>
      </c>
      <c r="AB89" s="771">
        <v>3.1663226210266635</v>
      </c>
      <c r="AC89" s="771">
        <v>59.511560372894046</v>
      </c>
      <c r="AD89" s="771">
        <v>0</v>
      </c>
      <c r="AE89" s="771">
        <v>0</v>
      </c>
      <c r="AF89" s="771">
        <v>96.806080329068394</v>
      </c>
      <c r="AH89" s="505" t="s">
        <v>166</v>
      </c>
      <c r="AI89" s="558" t="s">
        <v>81</v>
      </c>
      <c r="AJ89" s="771">
        <v>3.1969296061806358</v>
      </c>
      <c r="AK89" s="771">
        <v>59.874329833725767</v>
      </c>
      <c r="AL89" s="771">
        <v>0</v>
      </c>
      <c r="AM89" s="771">
        <v>0</v>
      </c>
      <c r="AN89" s="771">
        <v>97.531039909533959</v>
      </c>
    </row>
    <row r="90" spans="2:40" x14ac:dyDescent="0.2">
      <c r="B90" s="505"/>
      <c r="C90" s="386"/>
      <c r="D90" s="771"/>
      <c r="E90" s="771"/>
      <c r="F90" s="771"/>
      <c r="G90" s="771"/>
      <c r="H90" s="771"/>
      <c r="J90" s="505"/>
      <c r="K90" s="773"/>
      <c r="L90" s="771"/>
      <c r="M90" s="771"/>
      <c r="N90" s="771"/>
      <c r="O90" s="771"/>
      <c r="P90" s="771"/>
      <c r="R90" s="505"/>
      <c r="T90" s="771"/>
      <c r="U90" s="771"/>
      <c r="V90" s="771"/>
      <c r="W90" s="771"/>
      <c r="X90" s="771"/>
      <c r="Z90" s="505"/>
      <c r="AB90" s="771"/>
      <c r="AC90" s="771"/>
      <c r="AD90" s="771"/>
      <c r="AE90" s="771"/>
      <c r="AF90" s="771"/>
      <c r="AH90" s="505"/>
      <c r="AJ90" s="771"/>
      <c r="AK90" s="771"/>
      <c r="AL90" s="771"/>
      <c r="AM90" s="771"/>
      <c r="AN90" s="771"/>
    </row>
    <row r="91" spans="2:40" x14ac:dyDescent="0.2">
      <c r="B91" s="505" t="s">
        <v>201</v>
      </c>
      <c r="C91" s="386"/>
      <c r="D91" s="771"/>
      <c r="E91" s="771"/>
      <c r="F91" s="771"/>
      <c r="G91" s="771"/>
      <c r="H91" s="771"/>
      <c r="J91" s="505" t="s">
        <v>201</v>
      </c>
      <c r="K91" s="773"/>
      <c r="L91" s="771"/>
      <c r="M91" s="771"/>
      <c r="N91" s="771"/>
      <c r="O91" s="771"/>
      <c r="P91" s="771"/>
      <c r="R91" s="505" t="s">
        <v>201</v>
      </c>
      <c r="T91" s="771"/>
      <c r="U91" s="771"/>
      <c r="V91" s="771"/>
      <c r="W91" s="771"/>
      <c r="X91" s="771"/>
      <c r="Z91" s="505" t="s">
        <v>201</v>
      </c>
      <c r="AB91" s="771"/>
      <c r="AC91" s="771"/>
      <c r="AD91" s="771"/>
      <c r="AE91" s="771"/>
      <c r="AF91" s="771"/>
      <c r="AH91" s="505" t="s">
        <v>201</v>
      </c>
      <c r="AJ91" s="771"/>
      <c r="AK91" s="771"/>
      <c r="AL91" s="771"/>
      <c r="AM91" s="771"/>
      <c r="AN91" s="771"/>
    </row>
    <row r="92" spans="2:40" x14ac:dyDescent="0.2">
      <c r="B92" s="505" t="s">
        <v>170</v>
      </c>
      <c r="C92" s="386"/>
      <c r="D92" s="771">
        <f>INDEX(Tariff_HID_Tbl[],MATCH(HID_Tariffs[[#This Row],[Base Lamp]:[Base Lamp]],Tariff_HID_Tbl[[HID]:[HID]],0),MATCH(HID_Tariffs[[#Headers],[ENERGY]],Tariff_HID_Tbl[#Headers],0))</f>
        <v>3.0621988578067763</v>
      </c>
      <c r="E92" s="771">
        <f>INDEX(Tariff_HID_Tbl[],MATCH(HID_Tariffs[[#This Row],[Base Lamp]:[Base Lamp]],Tariff_HID_Tbl[[HID]:[HID]],0),MATCH(HID_Tariffs[[#Headers],[CLER]],Tariff_HID_Tbl[#Headers],0))</f>
        <v>27.978607947428259</v>
      </c>
      <c r="F92" s="771">
        <f>INDEX(Tariff_HID_Tbl[],MATCH(HID_Tariffs[[#This Row],[Base Lamp]:[Base Lamp]],Tariff_HID_Tbl[[HID]:[HID]],0),MATCH(HID_Tariffs[[#Headers],[PLC]],Tariff_HID_Tbl[#Headers],0))</f>
        <v>0</v>
      </c>
      <c r="G92" s="771">
        <f>INDEX(Tariff_HID_Tbl[],MATCH(HID_Tariffs[[#This Row],[Base Lamp]:[Base Lamp]],Tariff_HID_Tbl[[HID]:[HID]],0),MATCH(HID_Tariffs[[#Headers],[TFI]],Tariff_HID_Tbl[#Headers],0))</f>
        <v>0</v>
      </c>
      <c r="H92" s="771">
        <f>INDEX(Tariff_HID_Tbl[],MATCH(HID_Tariffs[[#This Row],[Base Lamp]:[Base Lamp]],Tariff_HID_Tbl[[HID]:[HID]],0),MATCH(HID_Tariffs[[#Headers],[SLUOS]],Tariff_HID_Tbl[#Headers],0))</f>
        <v>62.131301534804649</v>
      </c>
      <c r="J92" s="505" t="s">
        <v>170</v>
      </c>
      <c r="K92" s="773"/>
      <c r="L92" s="771">
        <v>3.0946062538521595</v>
      </c>
      <c r="M92" s="771">
        <v>28.169724026502635</v>
      </c>
      <c r="N92" s="771">
        <v>0</v>
      </c>
      <c r="O92" s="771">
        <v>0</v>
      </c>
      <c r="P92" s="771">
        <v>62.969751581931774</v>
      </c>
      <c r="R92" s="505" t="s">
        <v>170</v>
      </c>
      <c r="T92" s="771">
        <v>3.1321148140898711</v>
      </c>
      <c r="U92" s="771">
        <v>28.390923192097969</v>
      </c>
      <c r="V92" s="771">
        <v>0</v>
      </c>
      <c r="W92" s="771">
        <v>0</v>
      </c>
      <c r="X92" s="771">
        <v>63.445536236881978</v>
      </c>
      <c r="Z92" s="505" t="s">
        <v>170</v>
      </c>
      <c r="AB92" s="771">
        <v>3.1663226210266635</v>
      </c>
      <c r="AC92" s="771">
        <v>28.592656831120923</v>
      </c>
      <c r="AD92" s="771">
        <v>0</v>
      </c>
      <c r="AE92" s="771">
        <v>0</v>
      </c>
      <c r="AF92" s="771">
        <v>64.471871814118813</v>
      </c>
      <c r="AH92" s="505" t="s">
        <v>170</v>
      </c>
      <c r="AJ92" s="771">
        <v>3.1969296061806358</v>
      </c>
      <c r="AK92" s="771">
        <v>28.773155350246721</v>
      </c>
      <c r="AL92" s="771">
        <v>0</v>
      </c>
      <c r="AM92" s="771">
        <v>0</v>
      </c>
      <c r="AN92" s="771">
        <v>65.016631754761505</v>
      </c>
    </row>
    <row r="93" spans="2:40" x14ac:dyDescent="0.2">
      <c r="B93" s="505" t="str">
        <f t="shared" ref="B93:B106" si="12">$B$92</f>
        <v>S-HP360f</v>
      </c>
      <c r="C93" s="386" t="s">
        <v>136</v>
      </c>
      <c r="D93" s="771">
        <f>INDEX(Tariff_HID_Tbl[],MATCH(HID_Tariffs[[#This Row],[Base Lamp]:[Base Lamp]],Tariff_HID_Tbl[[HID]:[HID]],0),MATCH(HID_Tariffs[[#Headers],[ENERGY]],Tariff_HID_Tbl[#Headers],0))</f>
        <v>3.0621988578067763</v>
      </c>
      <c r="E93" s="771">
        <f>INDEX(Tariff_HID_Tbl[],MATCH(HID_Tariffs[[#This Row],[Base Lamp]:[Base Lamp]],Tariff_HID_Tbl[[HID]:[HID]],0),MATCH(HID_Tariffs[[#Headers],[CLER]],Tariff_HID_Tbl[#Headers],0))</f>
        <v>27.978607947428259</v>
      </c>
      <c r="F93" s="771">
        <f>INDEX(Tariff_HID_Tbl[],MATCH(HID_Tariffs[[#This Row],[Base Lamp]:[Base Lamp]],Tariff_HID_Tbl[[HID]:[HID]],0),MATCH(HID_Tariffs[[#Headers],[PLC]],Tariff_HID_Tbl[#Headers],0))</f>
        <v>0</v>
      </c>
      <c r="G93" s="771">
        <f>INDEX(Tariff_HID_Tbl[],MATCH(HID_Tariffs[[#This Row],[Base Lamp]:[Base Lamp]],Tariff_HID_Tbl[[HID]:[HID]],0),MATCH(HID_Tariffs[[#Headers],[TFI]],Tariff_HID_Tbl[#Headers],0))</f>
        <v>0</v>
      </c>
      <c r="H93" s="771">
        <f>INDEX(Tariff_HID_Tbl[],MATCH(HID_Tariffs[[#This Row],[Base Lamp]:[Base Lamp]],Tariff_HID_Tbl[[HID]:[HID]],0),MATCH(HID_Tariffs[[#Headers],[SLUOS]],Tariff_HID_Tbl[#Headers],0))</f>
        <v>62.131301534804649</v>
      </c>
      <c r="J93" s="505" t="s">
        <v>170</v>
      </c>
      <c r="K93" s="773" t="s">
        <v>136</v>
      </c>
      <c r="L93" s="771">
        <v>3.0946062538521595</v>
      </c>
      <c r="M93" s="771">
        <v>28.169724026502635</v>
      </c>
      <c r="N93" s="771">
        <v>0</v>
      </c>
      <c r="O93" s="771">
        <v>0</v>
      </c>
      <c r="P93" s="771">
        <v>62.969751581931774</v>
      </c>
      <c r="R93" s="505" t="s">
        <v>170</v>
      </c>
      <c r="S93" s="558" t="s">
        <v>136</v>
      </c>
      <c r="T93" s="771">
        <v>3.1321148140898711</v>
      </c>
      <c r="U93" s="771">
        <v>28.390923192097969</v>
      </c>
      <c r="V93" s="771">
        <v>0</v>
      </c>
      <c r="W93" s="771">
        <v>0</v>
      </c>
      <c r="X93" s="771">
        <v>63.445536236881978</v>
      </c>
      <c r="Z93" s="505" t="s">
        <v>170</v>
      </c>
      <c r="AA93" s="558" t="s">
        <v>136</v>
      </c>
      <c r="AB93" s="771">
        <v>3.1663226210266635</v>
      </c>
      <c r="AC93" s="771">
        <v>28.592656831120923</v>
      </c>
      <c r="AD93" s="771">
        <v>0</v>
      </c>
      <c r="AE93" s="771">
        <v>0</v>
      </c>
      <c r="AF93" s="771">
        <v>64.471871814118813</v>
      </c>
      <c r="AH93" s="505" t="s">
        <v>170</v>
      </c>
      <c r="AI93" s="558" t="s">
        <v>136</v>
      </c>
      <c r="AJ93" s="771">
        <v>3.1969296061806358</v>
      </c>
      <c r="AK93" s="771">
        <v>28.773155350246721</v>
      </c>
      <c r="AL93" s="771">
        <v>0</v>
      </c>
      <c r="AM93" s="771">
        <v>0</v>
      </c>
      <c r="AN93" s="771">
        <v>65.016631754761505</v>
      </c>
    </row>
    <row r="94" spans="2:40" x14ac:dyDescent="0.2">
      <c r="B94" s="505" t="str">
        <f t="shared" si="12"/>
        <v>S-HP360f</v>
      </c>
      <c r="C94" s="386" t="s">
        <v>156</v>
      </c>
      <c r="D94" s="771">
        <f>INDEX(Tariff_HID_Tbl[],MATCH(HID_Tariffs[[#This Row],[Base Lamp]:[Base Lamp]],Tariff_HID_Tbl[[HID]:[HID]],0),MATCH(HID_Tariffs[[#Headers],[ENERGY]],Tariff_HID_Tbl[#Headers],0))</f>
        <v>3.0621988578067763</v>
      </c>
      <c r="E94" s="771">
        <f>INDEX(Tariff_HID_Tbl[],MATCH(HID_Tariffs[[#This Row],[Base Lamp]:[Base Lamp]],Tariff_HID_Tbl[[HID]:[HID]],0),MATCH(HID_Tariffs[[#Headers],[CLER]],Tariff_HID_Tbl[#Headers],0))</f>
        <v>27.978607947428259</v>
      </c>
      <c r="F94" s="771">
        <f>INDEX(Tariff_HID_Tbl[],MATCH(HID_Tariffs[[#This Row],[Base Lamp]:[Base Lamp]],Tariff_HID_Tbl[[HID]:[HID]],0),MATCH(HID_Tariffs[[#Headers],[PLC]],Tariff_HID_Tbl[#Headers],0))</f>
        <v>0</v>
      </c>
      <c r="G94" s="771">
        <f>INDEX(Tariff_HID_Tbl[],MATCH(HID_Tariffs[[#This Row],[Base Lamp]:[Base Lamp]],Tariff_HID_Tbl[[HID]:[HID]],0),MATCH(HID_Tariffs[[#Headers],[TFI]],Tariff_HID_Tbl[#Headers],0))</f>
        <v>0</v>
      </c>
      <c r="H94" s="771">
        <f>INDEX(Tariff_HID_Tbl[],MATCH(HID_Tariffs[[#This Row],[Base Lamp]:[Base Lamp]],Tariff_HID_Tbl[[HID]:[HID]],0),MATCH(HID_Tariffs[[#Headers],[SLUOS]],Tariff_HID_Tbl[#Headers],0))</f>
        <v>62.131301534804649</v>
      </c>
      <c r="J94" s="505" t="s">
        <v>170</v>
      </c>
      <c r="K94" s="773" t="s">
        <v>156</v>
      </c>
      <c r="L94" s="771">
        <v>3.0946062538521595</v>
      </c>
      <c r="M94" s="771">
        <v>28.169724026502635</v>
      </c>
      <c r="N94" s="771">
        <v>0</v>
      </c>
      <c r="O94" s="771">
        <v>0</v>
      </c>
      <c r="P94" s="771">
        <v>62.969751581931774</v>
      </c>
      <c r="R94" s="505" t="s">
        <v>170</v>
      </c>
      <c r="S94" s="558" t="s">
        <v>156</v>
      </c>
      <c r="T94" s="771">
        <v>3.1321148140898711</v>
      </c>
      <c r="U94" s="771">
        <v>28.390923192097969</v>
      </c>
      <c r="V94" s="771">
        <v>0</v>
      </c>
      <c r="W94" s="771">
        <v>0</v>
      </c>
      <c r="X94" s="771">
        <v>63.445536236881978</v>
      </c>
      <c r="Z94" s="505" t="s">
        <v>170</v>
      </c>
      <c r="AA94" s="558" t="s">
        <v>156</v>
      </c>
      <c r="AB94" s="771">
        <v>3.1663226210266635</v>
      </c>
      <c r="AC94" s="771">
        <v>28.592656831120923</v>
      </c>
      <c r="AD94" s="771">
        <v>0</v>
      </c>
      <c r="AE94" s="771">
        <v>0</v>
      </c>
      <c r="AF94" s="771">
        <v>64.471871814118813</v>
      </c>
      <c r="AH94" s="505" t="s">
        <v>170</v>
      </c>
      <c r="AI94" s="558" t="s">
        <v>156</v>
      </c>
      <c r="AJ94" s="771">
        <v>3.1969296061806358</v>
      </c>
      <c r="AK94" s="771">
        <v>28.773155350246721</v>
      </c>
      <c r="AL94" s="771">
        <v>0</v>
      </c>
      <c r="AM94" s="771">
        <v>0</v>
      </c>
      <c r="AN94" s="771">
        <v>65.016631754761505</v>
      </c>
    </row>
    <row r="95" spans="2:40" x14ac:dyDescent="0.2">
      <c r="B95" s="505" t="str">
        <f t="shared" si="12"/>
        <v>S-HP360f</v>
      </c>
      <c r="C95" s="386" t="s">
        <v>155</v>
      </c>
      <c r="D95" s="771">
        <f>INDEX(Tariff_HID_Tbl[],MATCH(HID_Tariffs[[#This Row],[Base Lamp]:[Base Lamp]],Tariff_HID_Tbl[[HID]:[HID]],0),MATCH(HID_Tariffs[[#Headers],[ENERGY]],Tariff_HID_Tbl[#Headers],0))</f>
        <v>3.0621988578067763</v>
      </c>
      <c r="E95" s="771">
        <f>INDEX(Tariff_HID_Tbl[],MATCH(HID_Tariffs[[#This Row],[Base Lamp]:[Base Lamp]],Tariff_HID_Tbl[[HID]:[HID]],0),MATCH(HID_Tariffs[[#Headers],[CLER]],Tariff_HID_Tbl[#Headers],0))</f>
        <v>27.978607947428259</v>
      </c>
      <c r="F95" s="771">
        <f>INDEX(Tariff_HID_Tbl[],MATCH(HID_Tariffs[[#This Row],[Base Lamp]:[Base Lamp]],Tariff_HID_Tbl[[HID]:[HID]],0),MATCH(HID_Tariffs[[#Headers],[PLC]],Tariff_HID_Tbl[#Headers],0))</f>
        <v>0</v>
      </c>
      <c r="G95" s="771">
        <f>INDEX(Tariff_HID_Tbl[],MATCH(HID_Tariffs[[#This Row],[Base Lamp]:[Base Lamp]],Tariff_HID_Tbl[[HID]:[HID]],0),MATCH(HID_Tariffs[[#Headers],[TFI]],Tariff_HID_Tbl[#Headers],0))</f>
        <v>0</v>
      </c>
      <c r="H95" s="771">
        <f>INDEX(Tariff_HID_Tbl[],MATCH(HID_Tariffs[[#This Row],[Base Lamp]:[Base Lamp]],Tariff_HID_Tbl[[HID]:[HID]],0),MATCH(HID_Tariffs[[#Headers],[SLUOS]],Tariff_HID_Tbl[#Headers],0))</f>
        <v>62.131301534804649</v>
      </c>
      <c r="J95" s="505" t="s">
        <v>170</v>
      </c>
      <c r="K95" s="773" t="s">
        <v>155</v>
      </c>
      <c r="L95" s="771">
        <v>3.0946062538521595</v>
      </c>
      <c r="M95" s="771">
        <v>28.169724026502635</v>
      </c>
      <c r="N95" s="771">
        <v>0</v>
      </c>
      <c r="O95" s="771">
        <v>0</v>
      </c>
      <c r="P95" s="771">
        <v>62.969751581931774</v>
      </c>
      <c r="R95" s="505" t="s">
        <v>170</v>
      </c>
      <c r="S95" s="558" t="s">
        <v>155</v>
      </c>
      <c r="T95" s="771">
        <v>3.1321148140898711</v>
      </c>
      <c r="U95" s="771">
        <v>28.390923192097969</v>
      </c>
      <c r="V95" s="771">
        <v>0</v>
      </c>
      <c r="W95" s="771">
        <v>0</v>
      </c>
      <c r="X95" s="771">
        <v>63.445536236881978</v>
      </c>
      <c r="Z95" s="505" t="s">
        <v>170</v>
      </c>
      <c r="AA95" s="558" t="s">
        <v>155</v>
      </c>
      <c r="AB95" s="771">
        <v>3.1663226210266635</v>
      </c>
      <c r="AC95" s="771">
        <v>28.592656831120923</v>
      </c>
      <c r="AD95" s="771">
        <v>0</v>
      </c>
      <c r="AE95" s="771">
        <v>0</v>
      </c>
      <c r="AF95" s="771">
        <v>64.471871814118813</v>
      </c>
      <c r="AH95" s="505" t="s">
        <v>170</v>
      </c>
      <c r="AI95" s="558" t="s">
        <v>155</v>
      </c>
      <c r="AJ95" s="771">
        <v>3.1969296061806358</v>
      </c>
      <c r="AK95" s="771">
        <v>28.773155350246721</v>
      </c>
      <c r="AL95" s="771">
        <v>0</v>
      </c>
      <c r="AM95" s="771">
        <v>0</v>
      </c>
      <c r="AN95" s="771">
        <v>65.016631754761505</v>
      </c>
    </row>
    <row r="96" spans="2:40" x14ac:dyDescent="0.2">
      <c r="B96" s="505" t="str">
        <f t="shared" si="12"/>
        <v>S-HP360f</v>
      </c>
      <c r="C96" s="386" t="s">
        <v>130</v>
      </c>
      <c r="D96" s="771">
        <f>INDEX(Tariff_HID_Tbl[],MATCH(HID_Tariffs[[#This Row],[Base Lamp]:[Base Lamp]],Tariff_HID_Tbl[[HID]:[HID]],0),MATCH(HID_Tariffs[[#Headers],[ENERGY]],Tariff_HID_Tbl[#Headers],0))</f>
        <v>3.0621988578067763</v>
      </c>
      <c r="E96" s="771">
        <f>INDEX(Tariff_HID_Tbl[],MATCH(HID_Tariffs[[#This Row],[Base Lamp]:[Base Lamp]],Tariff_HID_Tbl[[HID]:[HID]],0),MATCH(HID_Tariffs[[#Headers],[CLER]],Tariff_HID_Tbl[#Headers],0))</f>
        <v>27.978607947428259</v>
      </c>
      <c r="F96" s="771">
        <f>INDEX(Tariff_HID_Tbl[],MATCH(HID_Tariffs[[#This Row],[Base Lamp]:[Base Lamp]],Tariff_HID_Tbl[[HID]:[HID]],0),MATCH(HID_Tariffs[[#Headers],[PLC]],Tariff_HID_Tbl[#Headers],0))</f>
        <v>0</v>
      </c>
      <c r="G96" s="771">
        <f>INDEX(Tariff_HID_Tbl[],MATCH(HID_Tariffs[[#This Row],[Base Lamp]:[Base Lamp]],Tariff_HID_Tbl[[HID]:[HID]],0),MATCH(HID_Tariffs[[#Headers],[TFI]],Tariff_HID_Tbl[#Headers],0))</f>
        <v>0</v>
      </c>
      <c r="H96" s="771">
        <f>INDEX(Tariff_HID_Tbl[],MATCH(HID_Tariffs[[#This Row],[Base Lamp]:[Base Lamp]],Tariff_HID_Tbl[[HID]:[HID]],0),MATCH(HID_Tariffs[[#Headers],[SLUOS]],Tariff_HID_Tbl[#Headers],0))</f>
        <v>62.131301534804649</v>
      </c>
      <c r="J96" s="505" t="s">
        <v>170</v>
      </c>
      <c r="K96" s="773" t="s">
        <v>130</v>
      </c>
      <c r="L96" s="771">
        <v>3.0946062538521595</v>
      </c>
      <c r="M96" s="771">
        <v>28.169724026502635</v>
      </c>
      <c r="N96" s="771">
        <v>0</v>
      </c>
      <c r="O96" s="771">
        <v>0</v>
      </c>
      <c r="P96" s="771">
        <v>62.969751581931774</v>
      </c>
      <c r="R96" s="505" t="s">
        <v>170</v>
      </c>
      <c r="S96" s="558" t="s">
        <v>130</v>
      </c>
      <c r="T96" s="771">
        <v>3.1321148140898711</v>
      </c>
      <c r="U96" s="771">
        <v>28.390923192097969</v>
      </c>
      <c r="V96" s="771">
        <v>0</v>
      </c>
      <c r="W96" s="771">
        <v>0</v>
      </c>
      <c r="X96" s="771">
        <v>63.445536236881978</v>
      </c>
      <c r="Z96" s="505" t="s">
        <v>170</v>
      </c>
      <c r="AA96" s="558" t="s">
        <v>130</v>
      </c>
      <c r="AB96" s="771">
        <v>3.1663226210266635</v>
      </c>
      <c r="AC96" s="771">
        <v>28.592656831120923</v>
      </c>
      <c r="AD96" s="771">
        <v>0</v>
      </c>
      <c r="AE96" s="771">
        <v>0</v>
      </c>
      <c r="AF96" s="771">
        <v>64.471871814118813</v>
      </c>
      <c r="AH96" s="505" t="s">
        <v>170</v>
      </c>
      <c r="AI96" s="558" t="s">
        <v>130</v>
      </c>
      <c r="AJ96" s="771">
        <v>3.1969296061806358</v>
      </c>
      <c r="AK96" s="771">
        <v>28.773155350246721</v>
      </c>
      <c r="AL96" s="771">
        <v>0</v>
      </c>
      <c r="AM96" s="771">
        <v>0</v>
      </c>
      <c r="AN96" s="771">
        <v>65.016631754761505</v>
      </c>
    </row>
    <row r="97" spans="2:40" x14ac:dyDescent="0.2">
      <c r="B97" s="505" t="str">
        <f t="shared" si="12"/>
        <v>S-HP360f</v>
      </c>
      <c r="C97" s="386" t="s">
        <v>154</v>
      </c>
      <c r="D97" s="771">
        <f>INDEX(Tariff_HID_Tbl[],MATCH(HID_Tariffs[[#This Row],[Base Lamp]:[Base Lamp]],Tariff_HID_Tbl[[HID]:[HID]],0),MATCH(HID_Tariffs[[#Headers],[ENERGY]],Tariff_HID_Tbl[#Headers],0))</f>
        <v>3.0621988578067763</v>
      </c>
      <c r="E97" s="771">
        <f>INDEX(Tariff_HID_Tbl[],MATCH(HID_Tariffs[[#This Row],[Base Lamp]:[Base Lamp]],Tariff_HID_Tbl[[HID]:[HID]],0),MATCH(HID_Tariffs[[#Headers],[CLER]],Tariff_HID_Tbl[#Headers],0))</f>
        <v>27.978607947428259</v>
      </c>
      <c r="F97" s="771">
        <f>INDEX(Tariff_HID_Tbl[],MATCH(HID_Tariffs[[#This Row],[Base Lamp]:[Base Lamp]],Tariff_HID_Tbl[[HID]:[HID]],0),MATCH(HID_Tariffs[[#Headers],[PLC]],Tariff_HID_Tbl[#Headers],0))</f>
        <v>0</v>
      </c>
      <c r="G97" s="771">
        <f>INDEX(Tariff_HID_Tbl[],MATCH(HID_Tariffs[[#This Row],[Base Lamp]:[Base Lamp]],Tariff_HID_Tbl[[HID]:[HID]],0),MATCH(HID_Tariffs[[#Headers],[TFI]],Tariff_HID_Tbl[#Headers],0))</f>
        <v>0</v>
      </c>
      <c r="H97" s="771">
        <f>INDEX(Tariff_HID_Tbl[],MATCH(HID_Tariffs[[#This Row],[Base Lamp]:[Base Lamp]],Tariff_HID_Tbl[[HID]:[HID]],0),MATCH(HID_Tariffs[[#Headers],[SLUOS]],Tariff_HID_Tbl[#Headers],0))</f>
        <v>62.131301534804649</v>
      </c>
      <c r="J97" s="505" t="s">
        <v>170</v>
      </c>
      <c r="K97" s="773" t="s">
        <v>154</v>
      </c>
      <c r="L97" s="771">
        <v>3.0946062538521595</v>
      </c>
      <c r="M97" s="771">
        <v>28.169724026502635</v>
      </c>
      <c r="N97" s="771">
        <v>0</v>
      </c>
      <c r="O97" s="771">
        <v>0</v>
      </c>
      <c r="P97" s="771">
        <v>62.969751581931774</v>
      </c>
      <c r="R97" s="505" t="s">
        <v>170</v>
      </c>
      <c r="S97" s="558" t="s">
        <v>154</v>
      </c>
      <c r="T97" s="771">
        <v>3.1321148140898711</v>
      </c>
      <c r="U97" s="771">
        <v>28.390923192097969</v>
      </c>
      <c r="V97" s="771">
        <v>0</v>
      </c>
      <c r="W97" s="771">
        <v>0</v>
      </c>
      <c r="X97" s="771">
        <v>63.445536236881978</v>
      </c>
      <c r="Z97" s="505" t="s">
        <v>170</v>
      </c>
      <c r="AA97" s="558" t="s">
        <v>154</v>
      </c>
      <c r="AB97" s="771">
        <v>3.1663226210266635</v>
      </c>
      <c r="AC97" s="771">
        <v>28.592656831120923</v>
      </c>
      <c r="AD97" s="771">
        <v>0</v>
      </c>
      <c r="AE97" s="771">
        <v>0</v>
      </c>
      <c r="AF97" s="771">
        <v>64.471871814118813</v>
      </c>
      <c r="AH97" s="505" t="s">
        <v>170</v>
      </c>
      <c r="AI97" s="558" t="s">
        <v>154</v>
      </c>
      <c r="AJ97" s="771">
        <v>3.1969296061806358</v>
      </c>
      <c r="AK97" s="771">
        <v>28.773155350246721</v>
      </c>
      <c r="AL97" s="771">
        <v>0</v>
      </c>
      <c r="AM97" s="771">
        <v>0</v>
      </c>
      <c r="AN97" s="771">
        <v>65.016631754761505</v>
      </c>
    </row>
    <row r="98" spans="2:40" s="386" customFormat="1" x14ac:dyDescent="0.2">
      <c r="B98" s="505" t="str">
        <f t="shared" si="12"/>
        <v>S-HP360f</v>
      </c>
      <c r="C98" s="386" t="s">
        <v>85</v>
      </c>
      <c r="D98" s="771">
        <f>INDEX(Tariff_HID_Tbl[],MATCH(HID_Tariffs[[#This Row],[Base Lamp]:[Base Lamp]],Tariff_HID_Tbl[[HID]:[HID]],0),MATCH(HID_Tariffs[[#Headers],[ENERGY]],Tariff_HID_Tbl[#Headers],0))</f>
        <v>3.0621988578067763</v>
      </c>
      <c r="E98" s="771">
        <f>INDEX(Tariff_HID_Tbl[],MATCH(HID_Tariffs[[#This Row],[Base Lamp]:[Base Lamp]],Tariff_HID_Tbl[[HID]:[HID]],0),MATCH(HID_Tariffs[[#Headers],[CLER]],Tariff_HID_Tbl[#Headers],0))</f>
        <v>27.978607947428259</v>
      </c>
      <c r="F98" s="771">
        <f>INDEX(Tariff_HID_Tbl[],MATCH(HID_Tariffs[[#This Row],[Base Lamp]:[Base Lamp]],Tariff_HID_Tbl[[HID]:[HID]],0),MATCH(HID_Tariffs[[#Headers],[PLC]],Tariff_HID_Tbl[#Headers],0))</f>
        <v>0</v>
      </c>
      <c r="G98" s="771">
        <f>INDEX(Tariff_HID_Tbl[],MATCH(HID_Tariffs[[#This Row],[Base Lamp]:[Base Lamp]],Tariff_HID_Tbl[[HID]:[HID]],0),MATCH(HID_Tariffs[[#Headers],[TFI]],Tariff_HID_Tbl[#Headers],0))</f>
        <v>0</v>
      </c>
      <c r="H98" s="771">
        <f>INDEX(Tariff_HID_Tbl[],MATCH(HID_Tariffs[[#This Row],[Base Lamp]:[Base Lamp]],Tariff_HID_Tbl[[HID]:[HID]],0),MATCH(HID_Tariffs[[#Headers],[SLUOS]],Tariff_HID_Tbl[#Headers],0))</f>
        <v>62.131301534804649</v>
      </c>
      <c r="J98" s="505" t="s">
        <v>170</v>
      </c>
      <c r="K98" s="773" t="s">
        <v>85</v>
      </c>
      <c r="L98" s="771">
        <v>3.0946062538521595</v>
      </c>
      <c r="M98" s="771">
        <v>28.169724026502635</v>
      </c>
      <c r="N98" s="771">
        <v>0</v>
      </c>
      <c r="O98" s="771">
        <v>0</v>
      </c>
      <c r="P98" s="771">
        <v>62.969751581931774</v>
      </c>
      <c r="R98" s="505" t="s">
        <v>170</v>
      </c>
      <c r="S98" s="558" t="s">
        <v>85</v>
      </c>
      <c r="T98" s="771">
        <v>3.1321148140898711</v>
      </c>
      <c r="U98" s="771">
        <v>28.390923192097969</v>
      </c>
      <c r="V98" s="771">
        <v>0</v>
      </c>
      <c r="W98" s="771">
        <v>0</v>
      </c>
      <c r="X98" s="771">
        <v>63.445536236881978</v>
      </c>
      <c r="Z98" s="505" t="s">
        <v>170</v>
      </c>
      <c r="AA98" s="558" t="s">
        <v>85</v>
      </c>
      <c r="AB98" s="771">
        <v>3.1663226210266635</v>
      </c>
      <c r="AC98" s="771">
        <v>28.592656831120923</v>
      </c>
      <c r="AD98" s="771">
        <v>0</v>
      </c>
      <c r="AE98" s="771">
        <v>0</v>
      </c>
      <c r="AF98" s="771">
        <v>64.471871814118813</v>
      </c>
      <c r="AH98" s="505" t="s">
        <v>170</v>
      </c>
      <c r="AI98" s="558" t="s">
        <v>85</v>
      </c>
      <c r="AJ98" s="771">
        <v>3.1969296061806358</v>
      </c>
      <c r="AK98" s="771">
        <v>28.773155350246721</v>
      </c>
      <c r="AL98" s="771">
        <v>0</v>
      </c>
      <c r="AM98" s="771">
        <v>0</v>
      </c>
      <c r="AN98" s="771">
        <v>65.016631754761505</v>
      </c>
    </row>
    <row r="99" spans="2:40" s="386" customFormat="1" x14ac:dyDescent="0.2">
      <c r="B99" s="505" t="str">
        <f t="shared" si="12"/>
        <v>S-HP360f</v>
      </c>
      <c r="C99" s="386" t="s">
        <v>100</v>
      </c>
      <c r="D99" s="771">
        <f>INDEX(Tariff_HID_Tbl[],MATCH(HID_Tariffs[[#This Row],[Base Lamp]:[Base Lamp]],Tariff_HID_Tbl[[HID]:[HID]],0),MATCH(HID_Tariffs[[#Headers],[ENERGY]],Tariff_HID_Tbl[#Headers],0))</f>
        <v>3.0621988578067763</v>
      </c>
      <c r="E99" s="771">
        <f>INDEX(Tariff_HID_Tbl[],MATCH(HID_Tariffs[[#This Row],[Base Lamp]:[Base Lamp]],Tariff_HID_Tbl[[HID]:[HID]],0),MATCH(HID_Tariffs[[#Headers],[CLER]],Tariff_HID_Tbl[#Headers],0))</f>
        <v>27.978607947428259</v>
      </c>
      <c r="F99" s="771">
        <f>INDEX(Tariff_HID_Tbl[],MATCH(HID_Tariffs[[#This Row],[Base Lamp]:[Base Lamp]],Tariff_HID_Tbl[[HID]:[HID]],0),MATCH(HID_Tariffs[[#Headers],[PLC]],Tariff_HID_Tbl[#Headers],0))</f>
        <v>0</v>
      </c>
      <c r="G99" s="771">
        <f>INDEX(Tariff_HID_Tbl[],MATCH(HID_Tariffs[[#This Row],[Base Lamp]:[Base Lamp]],Tariff_HID_Tbl[[HID]:[HID]],0),MATCH(HID_Tariffs[[#Headers],[TFI]],Tariff_HID_Tbl[#Headers],0))</f>
        <v>0</v>
      </c>
      <c r="H99" s="771">
        <f>INDEX(Tariff_HID_Tbl[],MATCH(HID_Tariffs[[#This Row],[Base Lamp]:[Base Lamp]],Tariff_HID_Tbl[[HID]:[HID]],0),MATCH(HID_Tariffs[[#Headers],[SLUOS]],Tariff_HID_Tbl[#Headers],0))</f>
        <v>62.131301534804649</v>
      </c>
      <c r="J99" s="505" t="s">
        <v>170</v>
      </c>
      <c r="K99" s="773" t="s">
        <v>100</v>
      </c>
      <c r="L99" s="771">
        <v>3.0946062538521595</v>
      </c>
      <c r="M99" s="771">
        <v>28.169724026502635</v>
      </c>
      <c r="N99" s="771">
        <v>0</v>
      </c>
      <c r="O99" s="771">
        <v>0</v>
      </c>
      <c r="P99" s="771">
        <v>62.969751581931774</v>
      </c>
      <c r="R99" s="505" t="s">
        <v>170</v>
      </c>
      <c r="S99" s="558" t="s">
        <v>100</v>
      </c>
      <c r="T99" s="771">
        <v>3.1321148140898711</v>
      </c>
      <c r="U99" s="771">
        <v>28.390923192097969</v>
      </c>
      <c r="V99" s="771">
        <v>0</v>
      </c>
      <c r="W99" s="771">
        <v>0</v>
      </c>
      <c r="X99" s="771">
        <v>63.445536236881978</v>
      </c>
      <c r="Z99" s="505" t="s">
        <v>170</v>
      </c>
      <c r="AA99" s="558" t="s">
        <v>100</v>
      </c>
      <c r="AB99" s="771">
        <v>3.1663226210266635</v>
      </c>
      <c r="AC99" s="771">
        <v>28.592656831120923</v>
      </c>
      <c r="AD99" s="771">
        <v>0</v>
      </c>
      <c r="AE99" s="771">
        <v>0</v>
      </c>
      <c r="AF99" s="771">
        <v>64.471871814118813</v>
      </c>
      <c r="AH99" s="505" t="s">
        <v>170</v>
      </c>
      <c r="AI99" s="558" t="s">
        <v>100</v>
      </c>
      <c r="AJ99" s="771">
        <v>3.1969296061806358</v>
      </c>
      <c r="AK99" s="771">
        <v>28.773155350246721</v>
      </c>
      <c r="AL99" s="771">
        <v>0</v>
      </c>
      <c r="AM99" s="771">
        <v>0</v>
      </c>
      <c r="AN99" s="771">
        <v>65.016631754761505</v>
      </c>
    </row>
    <row r="100" spans="2:40" s="386" customFormat="1" x14ac:dyDescent="0.2">
      <c r="B100" s="505" t="str">
        <f t="shared" si="12"/>
        <v>S-HP360f</v>
      </c>
      <c r="C100" s="386" t="s">
        <v>84</v>
      </c>
      <c r="D100" s="771">
        <f>INDEX(Tariff_HID_Tbl[],MATCH(HID_Tariffs[[#This Row],[Base Lamp]:[Base Lamp]],Tariff_HID_Tbl[[HID]:[HID]],0),MATCH(HID_Tariffs[[#Headers],[ENERGY]],Tariff_HID_Tbl[#Headers],0))</f>
        <v>3.0621988578067763</v>
      </c>
      <c r="E100" s="771">
        <f>INDEX(Tariff_HID_Tbl[],MATCH(HID_Tariffs[[#This Row],[Base Lamp]:[Base Lamp]],Tariff_HID_Tbl[[HID]:[HID]],0),MATCH(HID_Tariffs[[#Headers],[CLER]],Tariff_HID_Tbl[#Headers],0))</f>
        <v>27.978607947428259</v>
      </c>
      <c r="F100" s="771">
        <f>INDEX(Tariff_HID_Tbl[],MATCH(HID_Tariffs[[#This Row],[Base Lamp]:[Base Lamp]],Tariff_HID_Tbl[[HID]:[HID]],0),MATCH(HID_Tariffs[[#Headers],[PLC]],Tariff_HID_Tbl[#Headers],0))</f>
        <v>0</v>
      </c>
      <c r="G100" s="771">
        <f>INDEX(Tariff_HID_Tbl[],MATCH(HID_Tariffs[[#This Row],[Base Lamp]:[Base Lamp]],Tariff_HID_Tbl[[HID]:[HID]],0),MATCH(HID_Tariffs[[#Headers],[TFI]],Tariff_HID_Tbl[#Headers],0))</f>
        <v>0</v>
      </c>
      <c r="H100" s="771">
        <f>INDEX(Tariff_HID_Tbl[],MATCH(HID_Tariffs[[#This Row],[Base Lamp]:[Base Lamp]],Tariff_HID_Tbl[[HID]:[HID]],0),MATCH(HID_Tariffs[[#Headers],[SLUOS]],Tariff_HID_Tbl[#Headers],0))</f>
        <v>62.131301534804649</v>
      </c>
      <c r="J100" s="505" t="s">
        <v>170</v>
      </c>
      <c r="K100" s="773" t="s">
        <v>84</v>
      </c>
      <c r="L100" s="771">
        <v>3.0946062538521595</v>
      </c>
      <c r="M100" s="771">
        <v>28.169724026502635</v>
      </c>
      <c r="N100" s="771">
        <v>0</v>
      </c>
      <c r="O100" s="771">
        <v>0</v>
      </c>
      <c r="P100" s="771">
        <v>62.969751581931774</v>
      </c>
      <c r="R100" s="505" t="s">
        <v>170</v>
      </c>
      <c r="S100" s="558" t="s">
        <v>84</v>
      </c>
      <c r="T100" s="771">
        <v>3.1321148140898711</v>
      </c>
      <c r="U100" s="771">
        <v>28.390923192097969</v>
      </c>
      <c r="V100" s="771">
        <v>0</v>
      </c>
      <c r="W100" s="771">
        <v>0</v>
      </c>
      <c r="X100" s="771">
        <v>63.445536236881978</v>
      </c>
      <c r="Z100" s="505" t="s">
        <v>170</v>
      </c>
      <c r="AA100" s="558" t="s">
        <v>84</v>
      </c>
      <c r="AB100" s="771">
        <v>3.1663226210266635</v>
      </c>
      <c r="AC100" s="771">
        <v>28.592656831120923</v>
      </c>
      <c r="AD100" s="771">
        <v>0</v>
      </c>
      <c r="AE100" s="771">
        <v>0</v>
      </c>
      <c r="AF100" s="771">
        <v>64.471871814118813</v>
      </c>
      <c r="AH100" s="505" t="s">
        <v>170</v>
      </c>
      <c r="AI100" s="558" t="s">
        <v>84</v>
      </c>
      <c r="AJ100" s="771">
        <v>3.1969296061806358</v>
      </c>
      <c r="AK100" s="771">
        <v>28.773155350246721</v>
      </c>
      <c r="AL100" s="771">
        <v>0</v>
      </c>
      <c r="AM100" s="771">
        <v>0</v>
      </c>
      <c r="AN100" s="771">
        <v>65.016631754761505</v>
      </c>
    </row>
    <row r="101" spans="2:40" x14ac:dyDescent="0.2">
      <c r="B101" s="505" t="str">
        <f t="shared" si="12"/>
        <v>S-HP360f</v>
      </c>
      <c r="C101" s="386" t="s">
        <v>208</v>
      </c>
      <c r="D101" s="771">
        <f>INDEX(Tariff_HID_Tbl[],MATCH(HID_Tariffs[[#This Row],[Base Lamp]:[Base Lamp]],Tariff_HID_Tbl[[HID]:[HID]],0),MATCH(HID_Tariffs[[#Headers],[ENERGY]],Tariff_HID_Tbl[#Headers],0))</f>
        <v>3.0621988578067763</v>
      </c>
      <c r="E101" s="771">
        <f>INDEX(Tariff_HID_Tbl[],MATCH(HID_Tariffs[[#This Row],[Base Lamp]:[Base Lamp]],Tariff_HID_Tbl[[HID]:[HID]],0),MATCH(HID_Tariffs[[#Headers],[CLER]],Tariff_HID_Tbl[#Headers],0))</f>
        <v>27.978607947428259</v>
      </c>
      <c r="F101" s="771">
        <f>INDEX(Tariff_HID_Tbl[],MATCH(HID_Tariffs[[#This Row],[Base Lamp]:[Base Lamp]],Tariff_HID_Tbl[[HID]:[HID]],0),MATCH(HID_Tariffs[[#Headers],[PLC]],Tariff_HID_Tbl[#Headers],0))</f>
        <v>0</v>
      </c>
      <c r="G101" s="771">
        <f>INDEX(Tariff_HID_Tbl[],MATCH(HID_Tariffs[[#This Row],[Base Lamp]:[Base Lamp]],Tariff_HID_Tbl[[HID]:[HID]],0),MATCH(HID_Tariffs[[#Headers],[TFI]],Tariff_HID_Tbl[#Headers],0))</f>
        <v>0</v>
      </c>
      <c r="H101" s="771">
        <f>INDEX(Tariff_HID_Tbl[],MATCH(HID_Tariffs[[#This Row],[Base Lamp]:[Base Lamp]],Tariff_HID_Tbl[[HID]:[HID]],0),MATCH(HID_Tariffs[[#Headers],[SLUOS]],Tariff_HID_Tbl[#Headers],0))</f>
        <v>62.131301534804649</v>
      </c>
      <c r="J101" s="505" t="s">
        <v>170</v>
      </c>
      <c r="K101" s="773" t="s">
        <v>208</v>
      </c>
      <c r="L101" s="771">
        <v>3.0946062538521595</v>
      </c>
      <c r="M101" s="771">
        <v>28.169724026502635</v>
      </c>
      <c r="N101" s="771">
        <v>0</v>
      </c>
      <c r="O101" s="771">
        <v>0</v>
      </c>
      <c r="P101" s="771">
        <v>62.969751581931774</v>
      </c>
      <c r="R101" s="505" t="s">
        <v>170</v>
      </c>
      <c r="S101" s="558" t="s">
        <v>208</v>
      </c>
      <c r="T101" s="771">
        <v>3.1321148140898711</v>
      </c>
      <c r="U101" s="771">
        <v>28.390923192097969</v>
      </c>
      <c r="V101" s="771">
        <v>0</v>
      </c>
      <c r="W101" s="771">
        <v>0</v>
      </c>
      <c r="X101" s="771">
        <v>63.445536236881978</v>
      </c>
      <c r="Z101" s="505" t="s">
        <v>170</v>
      </c>
      <c r="AA101" s="558" t="s">
        <v>208</v>
      </c>
      <c r="AB101" s="771">
        <v>3.1663226210266635</v>
      </c>
      <c r="AC101" s="771">
        <v>28.592656831120923</v>
      </c>
      <c r="AD101" s="771">
        <v>0</v>
      </c>
      <c r="AE101" s="771">
        <v>0</v>
      </c>
      <c r="AF101" s="771">
        <v>64.471871814118813</v>
      </c>
      <c r="AH101" s="505" t="s">
        <v>170</v>
      </c>
      <c r="AI101" s="558" t="s">
        <v>208</v>
      </c>
      <c r="AJ101" s="771">
        <v>3.1969296061806358</v>
      </c>
      <c r="AK101" s="771">
        <v>28.773155350246721</v>
      </c>
      <c r="AL101" s="771">
        <v>0</v>
      </c>
      <c r="AM101" s="771">
        <v>0</v>
      </c>
      <c r="AN101" s="771">
        <v>65.016631754761505</v>
      </c>
    </row>
    <row r="102" spans="2:40" x14ac:dyDescent="0.2">
      <c r="B102" s="505" t="str">
        <f t="shared" si="12"/>
        <v>S-HP360f</v>
      </c>
      <c r="C102" s="386" t="s">
        <v>209</v>
      </c>
      <c r="D102" s="771">
        <f>INDEX(Tariff_HID_Tbl[],MATCH(HID_Tariffs[[#This Row],[Base Lamp]:[Base Lamp]],Tariff_HID_Tbl[[HID]:[HID]],0),MATCH(HID_Tariffs[[#Headers],[ENERGY]],Tariff_HID_Tbl[#Headers],0))</f>
        <v>3.0621988578067763</v>
      </c>
      <c r="E102" s="771">
        <f>INDEX(Tariff_HID_Tbl[],MATCH(HID_Tariffs[[#This Row],[Base Lamp]:[Base Lamp]],Tariff_HID_Tbl[[HID]:[HID]],0),MATCH(HID_Tariffs[[#Headers],[CLER]],Tariff_HID_Tbl[#Headers],0))</f>
        <v>27.978607947428259</v>
      </c>
      <c r="F102" s="771">
        <f>INDEX(Tariff_HID_Tbl[],MATCH(HID_Tariffs[[#This Row],[Base Lamp]:[Base Lamp]],Tariff_HID_Tbl[[HID]:[HID]],0),MATCH(HID_Tariffs[[#Headers],[PLC]],Tariff_HID_Tbl[#Headers],0))</f>
        <v>0</v>
      </c>
      <c r="G102" s="771">
        <f>INDEX(Tariff_HID_Tbl[],MATCH(HID_Tariffs[[#This Row],[Base Lamp]:[Base Lamp]],Tariff_HID_Tbl[[HID]:[HID]],0),MATCH(HID_Tariffs[[#Headers],[TFI]],Tariff_HID_Tbl[#Headers],0))</f>
        <v>0</v>
      </c>
      <c r="H102" s="771">
        <f>INDEX(Tariff_HID_Tbl[],MATCH(HID_Tariffs[[#This Row],[Base Lamp]:[Base Lamp]],Tariff_HID_Tbl[[HID]:[HID]],0),MATCH(HID_Tariffs[[#Headers],[SLUOS]],Tariff_HID_Tbl[#Headers],0))</f>
        <v>62.131301534804649</v>
      </c>
      <c r="J102" s="505" t="s">
        <v>170</v>
      </c>
      <c r="K102" s="773" t="s">
        <v>209</v>
      </c>
      <c r="L102" s="771">
        <v>3.0946062538521595</v>
      </c>
      <c r="M102" s="771">
        <v>28.169724026502635</v>
      </c>
      <c r="N102" s="771">
        <v>0</v>
      </c>
      <c r="O102" s="771">
        <v>0</v>
      </c>
      <c r="P102" s="771">
        <v>62.969751581931774</v>
      </c>
      <c r="R102" s="505" t="s">
        <v>170</v>
      </c>
      <c r="S102" s="558" t="s">
        <v>209</v>
      </c>
      <c r="T102" s="771">
        <v>3.1321148140898711</v>
      </c>
      <c r="U102" s="771">
        <v>28.390923192097969</v>
      </c>
      <c r="V102" s="771">
        <v>0</v>
      </c>
      <c r="W102" s="771">
        <v>0</v>
      </c>
      <c r="X102" s="771">
        <v>63.445536236881978</v>
      </c>
      <c r="Z102" s="505" t="s">
        <v>170</v>
      </c>
      <c r="AA102" s="558" t="s">
        <v>209</v>
      </c>
      <c r="AB102" s="771">
        <v>3.1663226210266635</v>
      </c>
      <c r="AC102" s="771">
        <v>28.592656831120923</v>
      </c>
      <c r="AD102" s="771">
        <v>0</v>
      </c>
      <c r="AE102" s="771">
        <v>0</v>
      </c>
      <c r="AF102" s="771">
        <v>64.471871814118813</v>
      </c>
      <c r="AH102" s="505" t="s">
        <v>170</v>
      </c>
      <c r="AI102" s="558" t="s">
        <v>209</v>
      </c>
      <c r="AJ102" s="771">
        <v>3.1969296061806358</v>
      </c>
      <c r="AK102" s="771">
        <v>28.773155350246721</v>
      </c>
      <c r="AL102" s="771">
        <v>0</v>
      </c>
      <c r="AM102" s="771">
        <v>0</v>
      </c>
      <c r="AN102" s="771">
        <v>65.016631754761505</v>
      </c>
    </row>
    <row r="103" spans="2:40" x14ac:dyDescent="0.2">
      <c r="B103" s="505" t="str">
        <f t="shared" si="12"/>
        <v>S-HP360f</v>
      </c>
      <c r="C103" s="386" t="s">
        <v>157</v>
      </c>
      <c r="D103" s="771">
        <f>INDEX(Tariff_HID_Tbl[],MATCH(HID_Tariffs[[#This Row],[Base Lamp]:[Base Lamp]],Tariff_HID_Tbl[[HID]:[HID]],0),MATCH(HID_Tariffs[[#Headers],[ENERGY]],Tariff_HID_Tbl[#Headers],0))</f>
        <v>3.0621988578067763</v>
      </c>
      <c r="E103" s="771">
        <f>INDEX(Tariff_HID_Tbl[],MATCH(HID_Tariffs[[#This Row],[Base Lamp]:[Base Lamp]],Tariff_HID_Tbl[[HID]:[HID]],0),MATCH(HID_Tariffs[[#Headers],[CLER]],Tariff_HID_Tbl[#Headers],0))</f>
        <v>27.978607947428259</v>
      </c>
      <c r="F103" s="771">
        <f>INDEX(Tariff_HID_Tbl[],MATCH(HID_Tariffs[[#This Row],[Base Lamp]:[Base Lamp]],Tariff_HID_Tbl[[HID]:[HID]],0),MATCH(HID_Tariffs[[#Headers],[PLC]],Tariff_HID_Tbl[#Headers],0))</f>
        <v>0</v>
      </c>
      <c r="G103" s="771">
        <f>INDEX(Tariff_HID_Tbl[],MATCH(HID_Tariffs[[#This Row],[Base Lamp]:[Base Lamp]],Tariff_HID_Tbl[[HID]:[HID]],0),MATCH(HID_Tariffs[[#Headers],[TFI]],Tariff_HID_Tbl[#Headers],0))</f>
        <v>0</v>
      </c>
      <c r="H103" s="771">
        <f>INDEX(Tariff_HID_Tbl[],MATCH(HID_Tariffs[[#This Row],[Base Lamp]:[Base Lamp]],Tariff_HID_Tbl[[HID]:[HID]],0),MATCH(HID_Tariffs[[#Headers],[SLUOS]],Tariff_HID_Tbl[#Headers],0))</f>
        <v>62.131301534804649</v>
      </c>
      <c r="J103" s="505" t="s">
        <v>170</v>
      </c>
      <c r="K103" s="773" t="s">
        <v>157</v>
      </c>
      <c r="L103" s="771">
        <v>3.0946062538521595</v>
      </c>
      <c r="M103" s="771">
        <v>28.169724026502635</v>
      </c>
      <c r="N103" s="771">
        <v>0</v>
      </c>
      <c r="O103" s="771">
        <v>0</v>
      </c>
      <c r="P103" s="771">
        <v>62.969751581931774</v>
      </c>
      <c r="R103" s="505" t="s">
        <v>170</v>
      </c>
      <c r="S103" s="558" t="s">
        <v>157</v>
      </c>
      <c r="T103" s="771">
        <v>3.1321148140898711</v>
      </c>
      <c r="U103" s="771">
        <v>28.390923192097969</v>
      </c>
      <c r="V103" s="771">
        <v>0</v>
      </c>
      <c r="W103" s="771">
        <v>0</v>
      </c>
      <c r="X103" s="771">
        <v>63.445536236881978</v>
      </c>
      <c r="Z103" s="505" t="s">
        <v>170</v>
      </c>
      <c r="AA103" s="558" t="s">
        <v>157</v>
      </c>
      <c r="AB103" s="771">
        <v>3.1663226210266635</v>
      </c>
      <c r="AC103" s="771">
        <v>28.592656831120923</v>
      </c>
      <c r="AD103" s="771">
        <v>0</v>
      </c>
      <c r="AE103" s="771">
        <v>0</v>
      </c>
      <c r="AF103" s="771">
        <v>64.471871814118813</v>
      </c>
      <c r="AH103" s="505" t="s">
        <v>170</v>
      </c>
      <c r="AI103" s="558" t="s">
        <v>157</v>
      </c>
      <c r="AJ103" s="771">
        <v>3.1969296061806358</v>
      </c>
      <c r="AK103" s="771">
        <v>28.773155350246721</v>
      </c>
      <c r="AL103" s="771">
        <v>0</v>
      </c>
      <c r="AM103" s="771">
        <v>0</v>
      </c>
      <c r="AN103" s="771">
        <v>65.016631754761505</v>
      </c>
    </row>
    <row r="104" spans="2:40" x14ac:dyDescent="0.2">
      <c r="B104" s="505" t="str">
        <f t="shared" si="12"/>
        <v>S-HP360f</v>
      </c>
      <c r="C104" s="386" t="s">
        <v>153</v>
      </c>
      <c r="D104" s="771">
        <f>INDEX(Tariff_HID_Tbl[],MATCH(HID_Tariffs[[#This Row],[Base Lamp]:[Base Lamp]],Tariff_HID_Tbl[[HID]:[HID]],0),MATCH(HID_Tariffs[[#Headers],[ENERGY]],Tariff_HID_Tbl[#Headers],0))</f>
        <v>3.0621988578067763</v>
      </c>
      <c r="E104" s="771">
        <f>INDEX(Tariff_HID_Tbl[],MATCH(HID_Tariffs[[#This Row],[Base Lamp]:[Base Lamp]],Tariff_HID_Tbl[[HID]:[HID]],0),MATCH(HID_Tariffs[[#Headers],[CLER]],Tariff_HID_Tbl[#Headers],0))</f>
        <v>27.978607947428259</v>
      </c>
      <c r="F104" s="771">
        <f>INDEX(Tariff_HID_Tbl[],MATCH(HID_Tariffs[[#This Row],[Base Lamp]:[Base Lamp]],Tariff_HID_Tbl[[HID]:[HID]],0),MATCH(HID_Tariffs[[#Headers],[PLC]],Tariff_HID_Tbl[#Headers],0))</f>
        <v>0</v>
      </c>
      <c r="G104" s="771">
        <f>INDEX(Tariff_HID_Tbl[],MATCH(HID_Tariffs[[#This Row],[Base Lamp]:[Base Lamp]],Tariff_HID_Tbl[[HID]:[HID]],0),MATCH(HID_Tariffs[[#Headers],[TFI]],Tariff_HID_Tbl[#Headers],0))</f>
        <v>0</v>
      </c>
      <c r="H104" s="771">
        <f>INDEX(Tariff_HID_Tbl[],MATCH(HID_Tariffs[[#This Row],[Base Lamp]:[Base Lamp]],Tariff_HID_Tbl[[HID]:[HID]],0),MATCH(HID_Tariffs[[#Headers],[SLUOS]],Tariff_HID_Tbl[#Headers],0))</f>
        <v>62.131301534804649</v>
      </c>
      <c r="J104" s="505" t="s">
        <v>170</v>
      </c>
      <c r="K104" s="773" t="s">
        <v>153</v>
      </c>
      <c r="L104" s="771">
        <v>3.0946062538521595</v>
      </c>
      <c r="M104" s="771">
        <v>28.169724026502635</v>
      </c>
      <c r="N104" s="771">
        <v>0</v>
      </c>
      <c r="O104" s="771">
        <v>0</v>
      </c>
      <c r="P104" s="771">
        <v>62.969751581931774</v>
      </c>
      <c r="R104" s="505" t="s">
        <v>170</v>
      </c>
      <c r="S104" s="558" t="s">
        <v>153</v>
      </c>
      <c r="T104" s="771">
        <v>3.1321148140898711</v>
      </c>
      <c r="U104" s="771">
        <v>28.390923192097969</v>
      </c>
      <c r="V104" s="771">
        <v>0</v>
      </c>
      <c r="W104" s="771">
        <v>0</v>
      </c>
      <c r="X104" s="771">
        <v>63.445536236881978</v>
      </c>
      <c r="Z104" s="505" t="s">
        <v>170</v>
      </c>
      <c r="AA104" s="558" t="s">
        <v>153</v>
      </c>
      <c r="AB104" s="771">
        <v>3.1663226210266635</v>
      </c>
      <c r="AC104" s="771">
        <v>28.592656831120923</v>
      </c>
      <c r="AD104" s="771">
        <v>0</v>
      </c>
      <c r="AE104" s="771">
        <v>0</v>
      </c>
      <c r="AF104" s="771">
        <v>64.471871814118813</v>
      </c>
      <c r="AH104" s="505" t="s">
        <v>170</v>
      </c>
      <c r="AI104" s="558" t="s">
        <v>153</v>
      </c>
      <c r="AJ104" s="771">
        <v>3.1969296061806358</v>
      </c>
      <c r="AK104" s="771">
        <v>28.773155350246721</v>
      </c>
      <c r="AL104" s="771">
        <v>0</v>
      </c>
      <c r="AM104" s="771">
        <v>0</v>
      </c>
      <c r="AN104" s="771">
        <v>65.016631754761505</v>
      </c>
    </row>
    <row r="105" spans="2:40" x14ac:dyDescent="0.2">
      <c r="B105" s="505" t="str">
        <f t="shared" si="12"/>
        <v>S-HP360f</v>
      </c>
      <c r="C105" s="83" t="s">
        <v>90</v>
      </c>
      <c r="D105" s="771">
        <f>INDEX(Tariff_HID_Tbl[],MATCH(HID_Tariffs[[#This Row],[Base Lamp]:[Base Lamp]],Tariff_HID_Tbl[[HID]:[HID]],0),MATCH(HID_Tariffs[[#Headers],[ENERGY]],Tariff_HID_Tbl[#Headers],0))</f>
        <v>3.0621988578067763</v>
      </c>
      <c r="E105" s="771">
        <f>INDEX(Tariff_HID_Tbl[],MATCH(HID_Tariffs[[#This Row],[Base Lamp]:[Base Lamp]],Tariff_HID_Tbl[[HID]:[HID]],0),MATCH(HID_Tariffs[[#Headers],[CLER]],Tariff_HID_Tbl[#Headers],0))</f>
        <v>27.978607947428259</v>
      </c>
      <c r="F105" s="771">
        <f>INDEX(Tariff_HID_Tbl[],MATCH(HID_Tariffs[[#This Row],[Base Lamp]:[Base Lamp]],Tariff_HID_Tbl[[HID]:[HID]],0),MATCH(HID_Tariffs[[#Headers],[PLC]],Tariff_HID_Tbl[#Headers],0))</f>
        <v>0</v>
      </c>
      <c r="G105" s="771">
        <f>INDEX(Tariff_HID_Tbl[],MATCH(HID_Tariffs[[#This Row],[Base Lamp]:[Base Lamp]],Tariff_HID_Tbl[[HID]:[HID]],0),MATCH(HID_Tariffs[[#Headers],[TFI]],Tariff_HID_Tbl[#Headers],0))</f>
        <v>0</v>
      </c>
      <c r="H105" s="771">
        <f>INDEX(Tariff_HID_Tbl[],MATCH(HID_Tariffs[[#This Row],[Base Lamp]:[Base Lamp]],Tariff_HID_Tbl[[HID]:[HID]],0),MATCH(HID_Tariffs[[#Headers],[SLUOS]],Tariff_HID_Tbl[#Headers],0))</f>
        <v>62.131301534804649</v>
      </c>
      <c r="J105" s="505" t="s">
        <v>170</v>
      </c>
      <c r="K105" s="774" t="s">
        <v>90</v>
      </c>
      <c r="L105" s="771">
        <v>3.0946062538521595</v>
      </c>
      <c r="M105" s="771">
        <v>28.169724026502635</v>
      </c>
      <c r="N105" s="771">
        <v>0</v>
      </c>
      <c r="O105" s="771">
        <v>0</v>
      </c>
      <c r="P105" s="771">
        <v>62.969751581931774</v>
      </c>
      <c r="R105" s="505" t="s">
        <v>170</v>
      </c>
      <c r="S105" s="83" t="s">
        <v>90</v>
      </c>
      <c r="T105" s="771">
        <v>3.1321148140898711</v>
      </c>
      <c r="U105" s="771">
        <v>28.390923192097969</v>
      </c>
      <c r="V105" s="771">
        <v>0</v>
      </c>
      <c r="W105" s="771">
        <v>0</v>
      </c>
      <c r="X105" s="771">
        <v>63.445536236881978</v>
      </c>
      <c r="Z105" s="505" t="s">
        <v>170</v>
      </c>
      <c r="AA105" s="83" t="s">
        <v>90</v>
      </c>
      <c r="AB105" s="771">
        <v>3.1663226210266635</v>
      </c>
      <c r="AC105" s="771">
        <v>28.592656831120923</v>
      </c>
      <c r="AD105" s="771">
        <v>0</v>
      </c>
      <c r="AE105" s="771">
        <v>0</v>
      </c>
      <c r="AF105" s="771">
        <v>64.471871814118813</v>
      </c>
      <c r="AH105" s="505" t="s">
        <v>170</v>
      </c>
      <c r="AI105" s="83" t="s">
        <v>90</v>
      </c>
      <c r="AJ105" s="771">
        <v>3.1969296061806358</v>
      </c>
      <c r="AK105" s="771">
        <v>28.773155350246721</v>
      </c>
      <c r="AL105" s="771">
        <v>0</v>
      </c>
      <c r="AM105" s="771">
        <v>0</v>
      </c>
      <c r="AN105" s="771">
        <v>65.016631754761505</v>
      </c>
    </row>
    <row r="106" spans="2:40" x14ac:dyDescent="0.2">
      <c r="B106" s="505" t="str">
        <f t="shared" si="12"/>
        <v>S-HP360f</v>
      </c>
      <c r="C106" s="83" t="s">
        <v>109</v>
      </c>
      <c r="D106" s="771">
        <f>INDEX(Tariff_HID_Tbl[],MATCH(HID_Tariffs[[#This Row],[Base Lamp]:[Base Lamp]],Tariff_HID_Tbl[[HID]:[HID]],0),MATCH(HID_Tariffs[[#Headers],[ENERGY]],Tariff_HID_Tbl[#Headers],0))</f>
        <v>3.0621988578067763</v>
      </c>
      <c r="E106" s="771">
        <f>INDEX(Tariff_HID_Tbl[],MATCH(HID_Tariffs[[#This Row],[Base Lamp]:[Base Lamp]],Tariff_HID_Tbl[[HID]:[HID]],0),MATCH(HID_Tariffs[[#Headers],[CLER]],Tariff_HID_Tbl[#Headers],0))</f>
        <v>27.978607947428259</v>
      </c>
      <c r="F106" s="771">
        <f>INDEX(Tariff_HID_Tbl[],MATCH(HID_Tariffs[[#This Row],[Base Lamp]:[Base Lamp]],Tariff_HID_Tbl[[HID]:[HID]],0),MATCH(HID_Tariffs[[#Headers],[PLC]],Tariff_HID_Tbl[#Headers],0))</f>
        <v>0</v>
      </c>
      <c r="G106" s="771">
        <f>INDEX(Tariff_HID_Tbl[],MATCH(HID_Tariffs[[#This Row],[Base Lamp]:[Base Lamp]],Tariff_HID_Tbl[[HID]:[HID]],0),MATCH(HID_Tariffs[[#Headers],[TFI]],Tariff_HID_Tbl[#Headers],0))</f>
        <v>0</v>
      </c>
      <c r="H106" s="771">
        <f>INDEX(Tariff_HID_Tbl[],MATCH(HID_Tariffs[[#This Row],[Base Lamp]:[Base Lamp]],Tariff_HID_Tbl[[HID]:[HID]],0),MATCH(HID_Tariffs[[#Headers],[SLUOS]],Tariff_HID_Tbl[#Headers],0))</f>
        <v>62.131301534804649</v>
      </c>
      <c r="J106" s="505" t="s">
        <v>170</v>
      </c>
      <c r="K106" s="774" t="s">
        <v>109</v>
      </c>
      <c r="L106" s="771">
        <v>3.0946062538521595</v>
      </c>
      <c r="M106" s="771">
        <v>28.169724026502635</v>
      </c>
      <c r="N106" s="771">
        <v>0</v>
      </c>
      <c r="O106" s="771">
        <v>0</v>
      </c>
      <c r="P106" s="771">
        <v>62.969751581931774</v>
      </c>
      <c r="R106" s="505" t="s">
        <v>170</v>
      </c>
      <c r="S106" s="83" t="s">
        <v>109</v>
      </c>
      <c r="T106" s="771">
        <v>3.1321148140898711</v>
      </c>
      <c r="U106" s="771">
        <v>28.390923192097969</v>
      </c>
      <c r="V106" s="771">
        <v>0</v>
      </c>
      <c r="W106" s="771">
        <v>0</v>
      </c>
      <c r="X106" s="771">
        <v>63.445536236881978</v>
      </c>
      <c r="Z106" s="505" t="s">
        <v>170</v>
      </c>
      <c r="AA106" s="83" t="s">
        <v>109</v>
      </c>
      <c r="AB106" s="771">
        <v>3.1663226210266635</v>
      </c>
      <c r="AC106" s="771">
        <v>28.592656831120923</v>
      </c>
      <c r="AD106" s="771">
        <v>0</v>
      </c>
      <c r="AE106" s="771">
        <v>0</v>
      </c>
      <c r="AF106" s="771">
        <v>64.471871814118813</v>
      </c>
      <c r="AH106" s="505" t="s">
        <v>170</v>
      </c>
      <c r="AI106" s="83" t="s">
        <v>109</v>
      </c>
      <c r="AJ106" s="771">
        <v>3.1969296061806358</v>
      </c>
      <c r="AK106" s="771">
        <v>28.773155350246721</v>
      </c>
      <c r="AL106" s="771">
        <v>0</v>
      </c>
      <c r="AM106" s="771">
        <v>0</v>
      </c>
      <c r="AN106" s="771">
        <v>65.016631754761505</v>
      </c>
    </row>
  </sheetData>
  <conditionalFormatting sqref="B8:H106">
    <cfRule type="expression" dxfId="312" priority="13">
      <formula>AND(LEN($E8)=0,LEN($B8)=0)</formula>
    </cfRule>
    <cfRule type="expression" dxfId="311" priority="14">
      <formula>AND(LEN($E8)=0,LEN($B8)&gt;0)</formula>
    </cfRule>
    <cfRule type="expression" dxfId="310" priority="15">
      <formula>LEN($C8)=0</formula>
    </cfRule>
  </conditionalFormatting>
  <conditionalFormatting sqref="J8:P106">
    <cfRule type="expression" dxfId="309" priority="10">
      <formula>AND(LEN($E8)=0,LEN($B8)=0)</formula>
    </cfRule>
    <cfRule type="expression" dxfId="308" priority="11">
      <formula>AND(LEN($E8)=0,LEN($B8)&gt;0)</formula>
    </cfRule>
    <cfRule type="expression" dxfId="307" priority="12">
      <formula>LEN($C8)=0</formula>
    </cfRule>
  </conditionalFormatting>
  <conditionalFormatting sqref="R8:X106">
    <cfRule type="expression" dxfId="306" priority="7">
      <formula>AND(LEN($E8)=0,LEN($B8)=0)</formula>
    </cfRule>
    <cfRule type="expression" dxfId="305" priority="8">
      <formula>AND(LEN($E8)=0,LEN($B8)&gt;0)</formula>
    </cfRule>
    <cfRule type="expression" dxfId="304" priority="9">
      <formula>LEN($C8)=0</formula>
    </cfRule>
  </conditionalFormatting>
  <conditionalFormatting sqref="Z8:AF106">
    <cfRule type="expression" dxfId="303" priority="4">
      <formula>AND(LEN($E8)=0,LEN($B8)=0)</formula>
    </cfRule>
    <cfRule type="expression" dxfId="302" priority="5">
      <formula>AND(LEN($E8)=0,LEN($B8)&gt;0)</formula>
    </cfRule>
    <cfRule type="expression" dxfId="301" priority="6">
      <formula>LEN($C8)=0</formula>
    </cfRule>
  </conditionalFormatting>
  <conditionalFormatting sqref="AH8:AN106">
    <cfRule type="expression" dxfId="300" priority="1">
      <formula>AND(LEN($E8)=0,LEN($B8)=0)</formula>
    </cfRule>
    <cfRule type="expression" dxfId="299" priority="2">
      <formula>AND(LEN($E8)=0,LEN($B8)&gt;0)</formula>
    </cfRule>
    <cfRule type="expression" dxfId="298" priority="3">
      <formula>LEN($C8)=0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7">
    <tabColor theme="9"/>
  </sheetPr>
  <dimension ref="A1:AA86"/>
  <sheetViews>
    <sheetView showGridLines="0" zoomScaleNormal="100" workbookViewId="0">
      <selection activeCell="E64" sqref="E63:E64"/>
    </sheetView>
  </sheetViews>
  <sheetFormatPr defaultColWidth="9.1640625" defaultRowHeight="12" x14ac:dyDescent="0.2"/>
  <cols>
    <col min="1" max="1" width="4.6640625" style="58" customWidth="1"/>
    <col min="2" max="2" width="23" style="58" customWidth="1"/>
    <col min="3" max="3" width="15.6640625" style="58" customWidth="1"/>
    <col min="4" max="4" width="19.1640625" style="58" customWidth="1"/>
    <col min="5" max="5" width="20.83203125" style="58" customWidth="1"/>
    <col min="6" max="6" width="18.1640625" style="58" customWidth="1"/>
    <col min="7" max="7" width="15.83203125" style="58" customWidth="1"/>
    <col min="8" max="8" width="24.1640625" style="58" customWidth="1"/>
    <col min="9" max="10" width="17.6640625" style="58" customWidth="1"/>
    <col min="11" max="13" width="21" style="58" customWidth="1"/>
    <col min="14" max="14" width="21.33203125" style="58" customWidth="1"/>
    <col min="15" max="15" width="15.5" style="58" customWidth="1"/>
    <col min="16" max="16" width="19.5" style="58" customWidth="1"/>
    <col min="17" max="20" width="18.83203125" style="58" customWidth="1"/>
    <col min="21" max="26" width="18.1640625" style="58" customWidth="1"/>
    <col min="27" max="16384" width="9.1640625" style="58"/>
  </cols>
  <sheetData>
    <row r="1" spans="1:27" ht="18.75" x14ac:dyDescent="0.3">
      <c r="A1" s="31" t="s">
        <v>19</v>
      </c>
      <c r="B1" s="31"/>
      <c r="C1" s="31"/>
      <c r="D1" s="33"/>
      <c r="E1" s="31"/>
      <c r="F1" s="32"/>
      <c r="G1" s="32"/>
      <c r="H1" s="32"/>
      <c r="I1" s="31"/>
    </row>
    <row r="2" spans="1:27" ht="16.5" thickBot="1" x14ac:dyDescent="0.3">
      <c r="A2" s="4" t="s">
        <v>1329</v>
      </c>
      <c r="B2" s="4"/>
      <c r="C2" s="60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75" thickTop="1" x14ac:dyDescent="0.2"/>
    <row r="4" spans="1:27" s="386" customFormat="1" x14ac:dyDescent="0.2"/>
    <row r="5" spans="1:27" ht="12.75" x14ac:dyDescent="0.2">
      <c r="B5" s="5" t="s">
        <v>753</v>
      </c>
    </row>
    <row r="6" spans="1:27" ht="12.75" x14ac:dyDescent="0.2">
      <c r="H6" s="73" t="s">
        <v>322</v>
      </c>
      <c r="I6" s="66"/>
      <c r="J6" s="74"/>
      <c r="K6" s="73" t="s">
        <v>323</v>
      </c>
      <c r="L6" s="66"/>
      <c r="M6" s="66"/>
      <c r="N6" s="73" t="s">
        <v>691</v>
      </c>
      <c r="O6" s="66"/>
      <c r="P6" s="74"/>
      <c r="Q6" s="66" t="s">
        <v>229</v>
      </c>
      <c r="R6" s="66"/>
      <c r="S6" s="66"/>
      <c r="T6" s="66"/>
    </row>
    <row r="7" spans="1:27" ht="30" x14ac:dyDescent="0.2">
      <c r="B7" s="111" t="s">
        <v>6</v>
      </c>
      <c r="C7" s="111" t="s">
        <v>174</v>
      </c>
      <c r="D7" s="110" t="s">
        <v>230</v>
      </c>
      <c r="E7" s="112" t="s">
        <v>443</v>
      </c>
      <c r="F7" s="112" t="s">
        <v>320</v>
      </c>
      <c r="G7" s="113" t="s">
        <v>186</v>
      </c>
      <c r="H7" s="114" t="s">
        <v>194</v>
      </c>
      <c r="I7" s="115" t="s">
        <v>195</v>
      </c>
      <c r="J7" s="116" t="s">
        <v>215</v>
      </c>
      <c r="K7" s="117" t="s">
        <v>1257</v>
      </c>
      <c r="L7" s="118" t="s">
        <v>1258</v>
      </c>
      <c r="M7" s="116" t="s">
        <v>518</v>
      </c>
      <c r="N7" s="114" t="s">
        <v>692</v>
      </c>
      <c r="O7" s="115" t="s">
        <v>693</v>
      </c>
      <c r="P7" s="116" t="s">
        <v>694</v>
      </c>
      <c r="Q7" s="114" t="s">
        <v>520</v>
      </c>
      <c r="R7" s="115" t="s">
        <v>315</v>
      </c>
      <c r="S7" s="115" t="s">
        <v>244</v>
      </c>
      <c r="T7" s="116" t="s">
        <v>695</v>
      </c>
    </row>
    <row r="8" spans="1:27" ht="15" x14ac:dyDescent="0.3">
      <c r="B8" s="58" t="s">
        <v>175</v>
      </c>
      <c r="C8" s="61" t="s">
        <v>172</v>
      </c>
      <c r="D8" s="61" t="s">
        <v>199</v>
      </c>
      <c r="E8" s="37">
        <v>13561</v>
      </c>
      <c r="F8" s="107">
        <v>2192</v>
      </c>
      <c r="G8" s="106">
        <v>0.16163999705036503</v>
      </c>
      <c r="H8" s="75">
        <v>0.10515448713221739</v>
      </c>
      <c r="I8" s="76">
        <v>7.0053830838433745E-3</v>
      </c>
      <c r="J8" s="77">
        <v>4.9480126834304257E-2</v>
      </c>
      <c r="K8" s="817"/>
      <c r="L8" s="817"/>
      <c r="M8" s="99"/>
      <c r="N8" s="818"/>
      <c r="O8" s="819"/>
      <c r="P8" s="126">
        <v>0</v>
      </c>
      <c r="Q8" s="486">
        <v>106.47499999999999</v>
      </c>
      <c r="R8" s="99"/>
      <c r="S8" s="125">
        <v>106.47499999999999</v>
      </c>
      <c r="T8" s="126">
        <v>17.210618685937614</v>
      </c>
    </row>
    <row r="9" spans="1:27" ht="15" x14ac:dyDescent="0.3">
      <c r="B9" s="58" t="s">
        <v>176</v>
      </c>
      <c r="C9" s="61" t="s">
        <v>173</v>
      </c>
      <c r="D9" s="61" t="s">
        <v>199</v>
      </c>
      <c r="E9" s="37">
        <v>59310</v>
      </c>
      <c r="F9" s="107">
        <v>5173</v>
      </c>
      <c r="G9" s="106">
        <v>8.7219693137750798E-2</v>
      </c>
      <c r="H9" s="75">
        <v>3.3350193896476144E-2</v>
      </c>
      <c r="I9" s="76">
        <v>8.244815376833586E-3</v>
      </c>
      <c r="J9" s="77">
        <v>4.5624683864441073E-2</v>
      </c>
      <c r="K9" s="817"/>
      <c r="L9" s="817"/>
      <c r="M9" s="99"/>
      <c r="N9" s="818"/>
      <c r="O9" s="819"/>
      <c r="P9" s="126">
        <v>0</v>
      </c>
      <c r="Q9" s="486">
        <v>106.47499999999999</v>
      </c>
      <c r="R9" s="99"/>
      <c r="S9" s="125">
        <v>106.47499999999999</v>
      </c>
      <c r="T9" s="126">
        <v>9.2867168268420155</v>
      </c>
    </row>
    <row r="10" spans="1:27" ht="15" x14ac:dyDescent="0.3">
      <c r="B10" s="58" t="s">
        <v>177</v>
      </c>
      <c r="C10" s="61" t="s">
        <v>171</v>
      </c>
      <c r="D10" s="61" t="s">
        <v>199</v>
      </c>
      <c r="E10" s="37">
        <v>20032</v>
      </c>
      <c r="F10" s="107">
        <v>2699</v>
      </c>
      <c r="G10" s="106">
        <v>0.1347344249201278</v>
      </c>
      <c r="H10" s="75">
        <v>6.6793130990415339E-2</v>
      </c>
      <c r="I10" s="76">
        <v>8.3366613418530359E-3</v>
      </c>
      <c r="J10" s="77">
        <v>5.9604632587859425E-2</v>
      </c>
      <c r="K10" s="817"/>
      <c r="L10" s="817"/>
      <c r="M10" s="99"/>
      <c r="N10" s="818"/>
      <c r="O10" s="819"/>
      <c r="P10" s="126">
        <v>0</v>
      </c>
      <c r="Q10" s="486">
        <v>106.47499999999999</v>
      </c>
      <c r="R10" s="99"/>
      <c r="S10" s="125">
        <v>106.47499999999999</v>
      </c>
      <c r="T10" s="126">
        <v>14.345847893370607</v>
      </c>
    </row>
    <row r="11" spans="1:27" ht="15" x14ac:dyDescent="0.3">
      <c r="B11" s="58" t="s">
        <v>178</v>
      </c>
      <c r="C11" s="67" t="s">
        <v>179</v>
      </c>
      <c r="D11" s="61" t="s">
        <v>199</v>
      </c>
      <c r="E11" s="37">
        <v>8524</v>
      </c>
      <c r="F11" s="107">
        <v>1779</v>
      </c>
      <c r="G11" s="106">
        <v>0.20870483341154389</v>
      </c>
      <c r="H11" s="75">
        <v>0.16271703425621775</v>
      </c>
      <c r="I11" s="76">
        <v>1.1966213045518537E-2</v>
      </c>
      <c r="J11" s="77">
        <v>3.40215861098076E-2</v>
      </c>
      <c r="K11" s="817"/>
      <c r="L11" s="817"/>
      <c r="M11" s="99"/>
      <c r="N11" s="818"/>
      <c r="O11" s="819"/>
      <c r="P11" s="126">
        <v>0</v>
      </c>
      <c r="Q11" s="486">
        <v>106.47499999999999</v>
      </c>
      <c r="R11" s="99"/>
      <c r="S11" s="125">
        <v>106.47499999999999</v>
      </c>
      <c r="T11" s="126">
        <v>22.221847137494134</v>
      </c>
    </row>
    <row r="12" spans="1:27" ht="15" x14ac:dyDescent="0.3">
      <c r="B12" s="58" t="s">
        <v>180</v>
      </c>
      <c r="C12" s="67" t="s">
        <v>165</v>
      </c>
      <c r="D12" s="61" t="s">
        <v>199</v>
      </c>
      <c r="E12" s="37">
        <v>10860</v>
      </c>
      <c r="F12" s="107">
        <v>698</v>
      </c>
      <c r="G12" s="106">
        <v>6.4272559852670344E-2</v>
      </c>
      <c r="H12" s="75">
        <v>0</v>
      </c>
      <c r="I12" s="76">
        <v>1.2983425414364641E-2</v>
      </c>
      <c r="J12" s="77">
        <v>5.1289134438305711E-2</v>
      </c>
      <c r="K12" s="817"/>
      <c r="L12" s="817"/>
      <c r="M12" s="99"/>
      <c r="N12" s="818"/>
      <c r="O12" s="819"/>
      <c r="P12" s="126">
        <v>0</v>
      </c>
      <c r="Q12" s="486">
        <v>106.47499999999999</v>
      </c>
      <c r="R12" s="99"/>
      <c r="S12" s="125">
        <v>106.47499999999999</v>
      </c>
      <c r="T12" s="126">
        <v>6.8434208103130745</v>
      </c>
    </row>
    <row r="13" spans="1:27" ht="15" x14ac:dyDescent="0.3">
      <c r="B13" s="58" t="s">
        <v>181</v>
      </c>
      <c r="C13" s="67" t="s">
        <v>167</v>
      </c>
      <c r="D13" s="61" t="s">
        <v>200</v>
      </c>
      <c r="E13" s="37">
        <v>13464</v>
      </c>
      <c r="F13" s="107">
        <v>2342</v>
      </c>
      <c r="G13" s="106">
        <v>0.17394533571004159</v>
      </c>
      <c r="H13" s="75">
        <v>7.9545454545454544E-2</v>
      </c>
      <c r="I13" s="76">
        <v>2.9783125371360665E-2</v>
      </c>
      <c r="J13" s="77">
        <v>6.4616755793226385E-2</v>
      </c>
      <c r="K13" s="817"/>
      <c r="L13" s="817"/>
      <c r="M13" s="99"/>
      <c r="N13" s="818"/>
      <c r="O13" s="819"/>
      <c r="P13" s="126">
        <v>0</v>
      </c>
      <c r="Q13" s="486">
        <v>106.47499999999999</v>
      </c>
      <c r="R13" s="99"/>
      <c r="S13" s="125">
        <v>106.47499999999999</v>
      </c>
      <c r="T13" s="126">
        <v>18.520829619726676</v>
      </c>
    </row>
    <row r="14" spans="1:27" ht="15" x14ac:dyDescent="0.3">
      <c r="B14" s="58" t="s">
        <v>182</v>
      </c>
      <c r="C14" s="67" t="s">
        <v>168</v>
      </c>
      <c r="D14" s="61" t="s">
        <v>200</v>
      </c>
      <c r="E14" s="37">
        <v>8466</v>
      </c>
      <c r="F14" s="107">
        <v>1618</v>
      </c>
      <c r="G14" s="106">
        <v>0.19111741081974959</v>
      </c>
      <c r="H14" s="75">
        <v>8.5046066619418853E-2</v>
      </c>
      <c r="I14" s="76">
        <v>3.3782187573824708E-2</v>
      </c>
      <c r="J14" s="77">
        <v>7.2289156626506021E-2</v>
      </c>
      <c r="K14" s="817"/>
      <c r="L14" s="817"/>
      <c r="M14" s="99"/>
      <c r="N14" s="818"/>
      <c r="O14" s="819"/>
      <c r="P14" s="126">
        <v>0</v>
      </c>
      <c r="Q14" s="486">
        <v>106.47499999999999</v>
      </c>
      <c r="R14" s="99"/>
      <c r="S14" s="125">
        <v>106.47499999999999</v>
      </c>
      <c r="T14" s="126">
        <v>20.349226317032837</v>
      </c>
    </row>
    <row r="15" spans="1:27" ht="15" x14ac:dyDescent="0.3">
      <c r="B15" s="58" t="s">
        <v>183</v>
      </c>
      <c r="C15" s="67" t="s">
        <v>169</v>
      </c>
      <c r="D15" s="61" t="s">
        <v>200</v>
      </c>
      <c r="E15" s="37">
        <v>2583</v>
      </c>
      <c r="F15" s="107">
        <v>673</v>
      </c>
      <c r="G15" s="106">
        <v>0.26054974835462641</v>
      </c>
      <c r="H15" s="75">
        <v>0.11459543166860241</v>
      </c>
      <c r="I15" s="76">
        <v>4.1424699961285325E-2</v>
      </c>
      <c r="J15" s="77">
        <v>0.10452961672473868</v>
      </c>
      <c r="K15" s="817"/>
      <c r="L15" s="817"/>
      <c r="M15" s="99"/>
      <c r="N15" s="818"/>
      <c r="O15" s="819"/>
      <c r="P15" s="126">
        <v>0</v>
      </c>
      <c r="Q15" s="486">
        <v>106.47499999999999</v>
      </c>
      <c r="R15" s="99"/>
      <c r="S15" s="125">
        <v>106.47499999999999</v>
      </c>
      <c r="T15" s="126">
        <v>27.742034456058846</v>
      </c>
    </row>
    <row r="16" spans="1:27" ht="15" x14ac:dyDescent="0.3">
      <c r="B16" s="58" t="s">
        <v>184</v>
      </c>
      <c r="C16" s="67" t="s">
        <v>166</v>
      </c>
      <c r="D16" s="61" t="s">
        <v>200</v>
      </c>
      <c r="E16" s="37">
        <v>11330</v>
      </c>
      <c r="F16" s="107">
        <v>2014</v>
      </c>
      <c r="G16" s="106">
        <v>0.17775816416593115</v>
      </c>
      <c r="H16" s="75">
        <v>0</v>
      </c>
      <c r="I16" s="76">
        <v>4.2806707855251543E-2</v>
      </c>
      <c r="J16" s="77">
        <v>0.13495145631067962</v>
      </c>
      <c r="K16" s="817"/>
      <c r="L16" s="817"/>
      <c r="M16" s="99"/>
      <c r="N16" s="818"/>
      <c r="O16" s="819"/>
      <c r="P16" s="126">
        <v>0</v>
      </c>
      <c r="Q16" s="486">
        <v>106.47499999999999</v>
      </c>
      <c r="R16" s="99"/>
      <c r="S16" s="125">
        <v>106.47499999999999</v>
      </c>
      <c r="T16" s="126">
        <v>18.926800529567519</v>
      </c>
    </row>
    <row r="17" spans="2:20" ht="15" x14ac:dyDescent="0.3">
      <c r="B17" s="64" t="s">
        <v>192</v>
      </c>
      <c r="C17" s="67" t="s">
        <v>193</v>
      </c>
      <c r="D17" s="67" t="s">
        <v>200</v>
      </c>
      <c r="E17" s="37">
        <v>4445</v>
      </c>
      <c r="F17" s="108">
        <v>798</v>
      </c>
      <c r="G17" s="106">
        <v>0.17952755905511811</v>
      </c>
      <c r="H17" s="75">
        <v>7.8515185601799778E-2</v>
      </c>
      <c r="I17" s="76">
        <v>2.8571428571428571E-2</v>
      </c>
      <c r="J17" s="77">
        <v>7.2440944881889763E-2</v>
      </c>
      <c r="K17" s="817"/>
      <c r="L17" s="817"/>
      <c r="M17" s="99"/>
      <c r="N17" s="818"/>
      <c r="O17" s="819"/>
      <c r="P17" s="126">
        <v>0</v>
      </c>
      <c r="Q17" s="486">
        <v>106.47499999999999</v>
      </c>
      <c r="R17" s="99"/>
      <c r="S17" s="125">
        <v>106.47499999999999</v>
      </c>
      <c r="T17" s="126">
        <v>19.115196850393698</v>
      </c>
    </row>
    <row r="18" spans="2:20" ht="15" x14ac:dyDescent="0.3">
      <c r="B18" s="58" t="s">
        <v>185</v>
      </c>
      <c r="C18" s="67" t="s">
        <v>170</v>
      </c>
      <c r="D18" s="61" t="s">
        <v>201</v>
      </c>
      <c r="E18" s="37">
        <v>1068</v>
      </c>
      <c r="F18" s="107">
        <v>91</v>
      </c>
      <c r="G18" s="106">
        <v>8.5205992509363296E-2</v>
      </c>
      <c r="H18" s="75">
        <v>2.7153558052434457E-2</v>
      </c>
      <c r="I18" s="76">
        <v>2.0599250936329586E-2</v>
      </c>
      <c r="J18" s="77">
        <v>3.7453183520599252E-2</v>
      </c>
      <c r="K18" s="817"/>
      <c r="L18" s="817"/>
      <c r="M18" s="99"/>
      <c r="N18" s="818"/>
      <c r="O18" s="819"/>
      <c r="P18" s="126">
        <v>0</v>
      </c>
      <c r="Q18" s="486">
        <v>106.47499999999999</v>
      </c>
      <c r="R18" s="99"/>
      <c r="S18" s="125">
        <v>106.47499999999999</v>
      </c>
      <c r="T18" s="126">
        <v>9.0723080524344564</v>
      </c>
    </row>
    <row r="19" spans="2:20" ht="15" x14ac:dyDescent="0.3">
      <c r="B19" s="58" t="s">
        <v>465</v>
      </c>
      <c r="C19" s="67" t="s">
        <v>161</v>
      </c>
      <c r="D19" s="61" t="s">
        <v>202</v>
      </c>
      <c r="E19" s="37">
        <v>32428</v>
      </c>
      <c r="F19" s="107">
        <v>5</v>
      </c>
      <c r="G19" s="106">
        <v>1.5418773899099542E-4</v>
      </c>
      <c r="H19" s="75">
        <v>0</v>
      </c>
      <c r="I19" s="76">
        <v>0</v>
      </c>
      <c r="J19" s="77">
        <v>1.5418773899099542E-4</v>
      </c>
      <c r="K19" s="817"/>
      <c r="L19" s="817"/>
      <c r="M19" s="99"/>
      <c r="N19" s="818"/>
      <c r="O19" s="819"/>
      <c r="P19" s="126">
        <v>0</v>
      </c>
      <c r="Q19" s="486">
        <v>106.47499999999999</v>
      </c>
      <c r="R19" s="99"/>
      <c r="S19" s="125">
        <v>106.47499999999999</v>
      </c>
      <c r="T19" s="126">
        <v>1.6417139509066238E-2</v>
      </c>
    </row>
    <row r="20" spans="2:20" ht="15" x14ac:dyDescent="0.3">
      <c r="B20" s="64" t="s">
        <v>466</v>
      </c>
      <c r="C20" s="67" t="s">
        <v>188</v>
      </c>
      <c r="D20" s="67" t="s">
        <v>188</v>
      </c>
      <c r="E20" s="37">
        <v>455</v>
      </c>
      <c r="F20" s="108">
        <v>5</v>
      </c>
      <c r="G20" s="106">
        <v>1.098901098901099E-2</v>
      </c>
      <c r="H20" s="75">
        <v>0</v>
      </c>
      <c r="I20" s="76">
        <v>0</v>
      </c>
      <c r="J20" s="77">
        <v>1.098901098901099E-2</v>
      </c>
      <c r="K20" s="817"/>
      <c r="L20" s="817"/>
      <c r="M20" s="99"/>
      <c r="N20" s="818"/>
      <c r="O20" s="819"/>
      <c r="P20" s="126">
        <v>0</v>
      </c>
      <c r="Q20" s="486">
        <v>106.47499999999999</v>
      </c>
      <c r="R20" s="99"/>
      <c r="S20" s="125">
        <v>106.47499999999999</v>
      </c>
      <c r="T20" s="126">
        <v>1.1700549450549451</v>
      </c>
    </row>
    <row r="21" spans="2:20" ht="15" x14ac:dyDescent="0.3">
      <c r="B21" s="58" t="s">
        <v>491</v>
      </c>
      <c r="C21" s="67" t="s">
        <v>489</v>
      </c>
      <c r="D21" s="67" t="s">
        <v>199</v>
      </c>
      <c r="E21" s="37">
        <v>265</v>
      </c>
      <c r="F21" s="108">
        <v>111</v>
      </c>
      <c r="G21" s="174">
        <v>0.4188679245283019</v>
      </c>
      <c r="H21" s="75">
        <v>0.36981132075471695</v>
      </c>
      <c r="I21" s="76">
        <v>3.0188679245283019E-2</v>
      </c>
      <c r="J21" s="77">
        <v>1.8867924528301886E-2</v>
      </c>
      <c r="K21" s="817"/>
      <c r="L21" s="817"/>
      <c r="M21" s="99"/>
      <c r="N21" s="818"/>
      <c r="O21" s="819"/>
      <c r="P21" s="126">
        <v>0</v>
      </c>
      <c r="Q21" s="486">
        <v>106.47499999999999</v>
      </c>
      <c r="R21" s="99"/>
      <c r="S21" s="125">
        <v>106.47499999999999</v>
      </c>
      <c r="T21" s="126">
        <v>44.598962264150941</v>
      </c>
    </row>
    <row r="22" spans="2:20" ht="15" x14ac:dyDescent="0.3">
      <c r="B22" s="58" t="s">
        <v>492</v>
      </c>
      <c r="C22" s="67" t="s">
        <v>486</v>
      </c>
      <c r="D22" s="67" t="s">
        <v>199</v>
      </c>
      <c r="E22" s="37">
        <v>4299</v>
      </c>
      <c r="F22" s="108">
        <v>312</v>
      </c>
      <c r="G22" s="174">
        <v>7.2575017445917656E-2</v>
      </c>
      <c r="H22" s="75">
        <v>3.6520120958362406E-2</v>
      </c>
      <c r="I22" s="76">
        <v>6.7457548267038847E-3</v>
      </c>
      <c r="J22" s="77">
        <v>2.930914166085136E-2</v>
      </c>
      <c r="K22" s="817"/>
      <c r="L22" s="817"/>
      <c r="M22" s="99"/>
      <c r="N22" s="818"/>
      <c r="O22" s="819"/>
      <c r="P22" s="126">
        <v>0</v>
      </c>
      <c r="Q22" s="486">
        <v>106.47499999999999</v>
      </c>
      <c r="R22" s="99"/>
      <c r="S22" s="125">
        <v>106.47499999999999</v>
      </c>
      <c r="T22" s="126">
        <v>7.7274249825540817</v>
      </c>
    </row>
    <row r="23" spans="2:20" ht="15" x14ac:dyDescent="0.3">
      <c r="B23" s="83" t="s">
        <v>490</v>
      </c>
      <c r="C23" s="67" t="s">
        <v>488</v>
      </c>
      <c r="D23" s="67" t="s">
        <v>199</v>
      </c>
      <c r="E23" s="37">
        <v>347</v>
      </c>
      <c r="F23" s="108">
        <v>59</v>
      </c>
      <c r="G23" s="174">
        <v>0.17002881844380405</v>
      </c>
      <c r="H23" s="75">
        <v>0.10951008645533142</v>
      </c>
      <c r="I23" s="76">
        <v>8.6455331412103754E-3</v>
      </c>
      <c r="J23" s="77">
        <v>5.1873198847262249E-2</v>
      </c>
      <c r="K23" s="817"/>
      <c r="L23" s="817"/>
      <c r="M23" s="99"/>
      <c r="N23" s="818"/>
      <c r="O23" s="819"/>
      <c r="P23" s="126">
        <v>0</v>
      </c>
      <c r="Q23" s="486">
        <v>106.47499999999999</v>
      </c>
      <c r="R23" s="99"/>
      <c r="S23" s="125">
        <v>106.47499999999999</v>
      </c>
      <c r="T23" s="126">
        <v>18.103818443804034</v>
      </c>
    </row>
    <row r="24" spans="2:20" ht="15" x14ac:dyDescent="0.3">
      <c r="B24" s="58" t="s">
        <v>493</v>
      </c>
      <c r="C24" s="67" t="s">
        <v>487</v>
      </c>
      <c r="D24" s="67" t="s">
        <v>199</v>
      </c>
      <c r="E24" s="37">
        <v>1335</v>
      </c>
      <c r="F24" s="108">
        <v>173</v>
      </c>
      <c r="G24" s="174">
        <v>0.1295880149812734</v>
      </c>
      <c r="H24" s="75">
        <v>6.5917602996254682E-2</v>
      </c>
      <c r="I24" s="76">
        <v>1.1985018726591761E-2</v>
      </c>
      <c r="J24" s="77">
        <v>5.1685393258426963E-2</v>
      </c>
      <c r="K24" s="817"/>
      <c r="L24" s="817"/>
      <c r="M24" s="99"/>
      <c r="N24" s="818"/>
      <c r="O24" s="819"/>
      <c r="P24" s="126">
        <v>0</v>
      </c>
      <c r="Q24" s="486">
        <v>106.47499999999999</v>
      </c>
      <c r="R24" s="99"/>
      <c r="S24" s="125">
        <v>106.47499999999999</v>
      </c>
      <c r="T24" s="126">
        <v>13.797883895131084</v>
      </c>
    </row>
    <row r="25" spans="2:20" ht="15" x14ac:dyDescent="0.3">
      <c r="B25" s="516" t="s">
        <v>216</v>
      </c>
      <c r="C25" s="517"/>
      <c r="D25" s="517"/>
      <c r="E25" s="518">
        <f>SUBTOTAL(109,SLO_Cost_tbl[Lights])</f>
        <v>192772</v>
      </c>
      <c r="F25" s="518">
        <f>SUBTOTAL(109,SLO_Cost_tbl[Lamp,PE &amp; Misc SLOs])</f>
        <v>20742</v>
      </c>
      <c r="G25" s="519">
        <f>SLO_Cost_tbl[[#Totals],[Lamp,PE &amp; Misc SLOs]]/SLO_Cost_tbl[[#Totals],[Lights]]</f>
        <v>0.10759861390658394</v>
      </c>
      <c r="H25" s="520"/>
      <c r="I25" s="521"/>
      <c r="J25" s="522"/>
      <c r="K25" s="523"/>
      <c r="L25" s="524"/>
      <c r="M25" s="524"/>
      <c r="N25" s="523"/>
      <c r="O25" s="525"/>
      <c r="P25" s="526"/>
      <c r="Q25" s="527"/>
      <c r="R25" s="527"/>
      <c r="S25" s="525"/>
      <c r="T25" s="526"/>
    </row>
    <row r="26" spans="2:20" ht="4.1500000000000004" customHeight="1" x14ac:dyDescent="0.2"/>
    <row r="27" spans="2:20" x14ac:dyDescent="0.2">
      <c r="K27" s="48" t="s">
        <v>765</v>
      </c>
      <c r="L27" s="48" t="s">
        <v>765</v>
      </c>
      <c r="M27" s="48" t="s">
        <v>765</v>
      </c>
      <c r="R27" s="48" t="s">
        <v>765</v>
      </c>
    </row>
    <row r="28" spans="2:20" s="386" customFormat="1" x14ac:dyDescent="0.2"/>
    <row r="29" spans="2:20" ht="13.5" thickBot="1" x14ac:dyDescent="0.25">
      <c r="B29" s="5" t="s">
        <v>754</v>
      </c>
    </row>
    <row r="30" spans="2:20" ht="25.5" x14ac:dyDescent="0.2">
      <c r="F30" s="387" t="s">
        <v>625</v>
      </c>
      <c r="G30" s="224"/>
      <c r="H30" s="223" t="s">
        <v>704</v>
      </c>
      <c r="I30" s="224" t="s">
        <v>700</v>
      </c>
      <c r="J30" s="224"/>
      <c r="K30" s="224"/>
      <c r="L30" s="484" t="s">
        <v>701</v>
      </c>
      <c r="M30" s="386"/>
      <c r="N30" s="386"/>
      <c r="O30" s="386"/>
      <c r="P30" s="386"/>
      <c r="Q30" s="386"/>
      <c r="R30" s="386"/>
      <c r="S30" s="386"/>
    </row>
    <row r="31" spans="2:20" x14ac:dyDescent="0.2">
      <c r="B31" s="111" t="s">
        <v>6</v>
      </c>
      <c r="C31" s="111" t="s">
        <v>174</v>
      </c>
      <c r="D31" s="111" t="s">
        <v>230</v>
      </c>
      <c r="E31" s="111" t="s">
        <v>197</v>
      </c>
      <c r="F31" s="114" t="s">
        <v>469</v>
      </c>
      <c r="G31" s="116" t="s">
        <v>242</v>
      </c>
      <c r="H31" s="114" t="s">
        <v>248</v>
      </c>
      <c r="I31" s="391" t="s">
        <v>520</v>
      </c>
      <c r="J31" s="392" t="s">
        <v>315</v>
      </c>
      <c r="K31" s="392" t="s">
        <v>699</v>
      </c>
      <c r="L31" s="393" t="s">
        <v>187</v>
      </c>
      <c r="M31" s="386"/>
      <c r="N31" s="386"/>
      <c r="O31" s="386"/>
      <c r="P31" s="386"/>
    </row>
    <row r="32" spans="2:20" x14ac:dyDescent="0.2">
      <c r="B32" s="58" t="s">
        <v>175</v>
      </c>
      <c r="C32" s="58" t="s">
        <v>172</v>
      </c>
      <c r="D32" s="61" t="s">
        <v>199</v>
      </c>
      <c r="E32" s="107">
        <v>13561</v>
      </c>
      <c r="F32" s="439"/>
      <c r="G32" s="440">
        <v>2.7136641840572229E-2</v>
      </c>
      <c r="H32" s="820"/>
      <c r="I32" s="153">
        <v>106.47499999999999</v>
      </c>
      <c r="J32" s="222"/>
      <c r="K32" s="483">
        <v>106.47499999999999</v>
      </c>
      <c r="L32" s="485">
        <v>100.75</v>
      </c>
      <c r="N32" s="7" t="s">
        <v>289</v>
      </c>
      <c r="O32" s="528" t="s">
        <v>796</v>
      </c>
      <c r="P32" s="417"/>
    </row>
    <row r="33" spans="2:16" x14ac:dyDescent="0.2">
      <c r="B33" s="58" t="s">
        <v>176</v>
      </c>
      <c r="C33" s="58" t="s">
        <v>173</v>
      </c>
      <c r="D33" s="61" t="s">
        <v>199</v>
      </c>
      <c r="E33" s="107">
        <v>59310</v>
      </c>
      <c r="F33" s="439"/>
      <c r="G33" s="440">
        <v>1.3606474456246839E-2</v>
      </c>
      <c r="H33" s="820"/>
      <c r="I33" s="153">
        <v>106.47499999999999</v>
      </c>
      <c r="J33" s="222"/>
      <c r="K33" s="483">
        <v>106.47499999999999</v>
      </c>
      <c r="L33" s="485">
        <v>100.75</v>
      </c>
      <c r="N33" s="7" t="s">
        <v>289</v>
      </c>
      <c r="O33" s="528" t="s">
        <v>796</v>
      </c>
      <c r="P33" s="417"/>
    </row>
    <row r="34" spans="2:16" x14ac:dyDescent="0.2">
      <c r="B34" s="58" t="s">
        <v>177</v>
      </c>
      <c r="C34" s="386" t="s">
        <v>171</v>
      </c>
      <c r="D34" s="61" t="s">
        <v>199</v>
      </c>
      <c r="E34" s="107">
        <v>20032</v>
      </c>
      <c r="F34" s="439" t="s">
        <v>469</v>
      </c>
      <c r="G34" s="440">
        <v>1.4776357827476038E-2</v>
      </c>
      <c r="H34" s="820"/>
      <c r="I34" s="153">
        <v>106.47499999999999</v>
      </c>
      <c r="J34" s="222"/>
      <c r="K34" s="483">
        <v>106.47499999999999</v>
      </c>
      <c r="L34" s="485">
        <v>100.75</v>
      </c>
      <c r="N34" s="7" t="s">
        <v>289</v>
      </c>
      <c r="O34" s="528"/>
      <c r="P34" s="417"/>
    </row>
    <row r="35" spans="2:16" x14ac:dyDescent="0.2">
      <c r="B35" s="58" t="s">
        <v>178</v>
      </c>
      <c r="C35" s="386" t="s">
        <v>179</v>
      </c>
      <c r="D35" s="61" t="s">
        <v>199</v>
      </c>
      <c r="E35" s="107">
        <v>8524</v>
      </c>
      <c r="F35" s="439"/>
      <c r="G35" s="440">
        <v>1.2200844673862036E-2</v>
      </c>
      <c r="H35" s="820"/>
      <c r="I35" s="153">
        <v>106.47499999999999</v>
      </c>
      <c r="J35" s="222"/>
      <c r="K35" s="483">
        <v>106.47499999999999</v>
      </c>
      <c r="L35" s="485">
        <v>100.75</v>
      </c>
      <c r="N35" s="7" t="s">
        <v>289</v>
      </c>
      <c r="O35" s="528" t="s">
        <v>796</v>
      </c>
      <c r="P35" s="417"/>
    </row>
    <row r="36" spans="2:16" x14ac:dyDescent="0.2">
      <c r="B36" s="58" t="s">
        <v>180</v>
      </c>
      <c r="C36" s="386" t="s">
        <v>165</v>
      </c>
      <c r="D36" s="61" t="s">
        <v>199</v>
      </c>
      <c r="E36" s="107">
        <v>10860</v>
      </c>
      <c r="F36" s="439"/>
      <c r="G36" s="440">
        <v>0.19088397790055248</v>
      </c>
      <c r="H36" s="820"/>
      <c r="I36" s="153">
        <v>106.47499999999999</v>
      </c>
      <c r="J36" s="222"/>
      <c r="K36" s="483">
        <v>106.47499999999999</v>
      </c>
      <c r="L36" s="485">
        <v>100.75</v>
      </c>
      <c r="N36" s="7" t="s">
        <v>289</v>
      </c>
      <c r="O36" s="528" t="s">
        <v>796</v>
      </c>
      <c r="P36" s="417"/>
    </row>
    <row r="37" spans="2:16" x14ac:dyDescent="0.2">
      <c r="B37" s="58" t="s">
        <v>181</v>
      </c>
      <c r="C37" s="386" t="s">
        <v>167</v>
      </c>
      <c r="D37" s="61" t="s">
        <v>200</v>
      </c>
      <c r="E37" s="107">
        <v>13464</v>
      </c>
      <c r="F37" s="439"/>
      <c r="G37" s="440">
        <v>2.2281639928698751E-4</v>
      </c>
      <c r="H37" s="820"/>
      <c r="I37" s="153">
        <v>106.47499999999999</v>
      </c>
      <c r="J37" s="222"/>
      <c r="K37" s="483">
        <v>106.47499999999999</v>
      </c>
      <c r="L37" s="485">
        <v>100.75</v>
      </c>
      <c r="N37" s="7" t="s">
        <v>289</v>
      </c>
      <c r="O37" s="528" t="s">
        <v>797</v>
      </c>
      <c r="P37" s="417"/>
    </row>
    <row r="38" spans="2:16" x14ac:dyDescent="0.2">
      <c r="B38" s="58" t="s">
        <v>182</v>
      </c>
      <c r="C38" s="386" t="s">
        <v>168</v>
      </c>
      <c r="D38" s="61" t="s">
        <v>200</v>
      </c>
      <c r="E38" s="107">
        <v>8466</v>
      </c>
      <c r="F38" s="439"/>
      <c r="G38" s="440">
        <v>2.3623907394283014E-4</v>
      </c>
      <c r="H38" s="820"/>
      <c r="I38" s="153">
        <v>106.47499999999999</v>
      </c>
      <c r="J38" s="222"/>
      <c r="K38" s="483">
        <v>106.47499999999999</v>
      </c>
      <c r="L38" s="485">
        <v>100.75</v>
      </c>
      <c r="N38" s="7" t="s">
        <v>289</v>
      </c>
      <c r="O38" s="528" t="s">
        <v>797</v>
      </c>
      <c r="P38" s="417"/>
    </row>
    <row r="39" spans="2:16" x14ac:dyDescent="0.2">
      <c r="B39" s="58" t="s">
        <v>183</v>
      </c>
      <c r="C39" s="386" t="s">
        <v>169</v>
      </c>
      <c r="D39" s="61" t="s">
        <v>200</v>
      </c>
      <c r="E39" s="107">
        <v>2583</v>
      </c>
      <c r="F39" s="439"/>
      <c r="G39" s="440">
        <v>3.8714672861014324E-4</v>
      </c>
      <c r="H39" s="820"/>
      <c r="I39" s="153">
        <v>106.47499999999999</v>
      </c>
      <c r="J39" s="222"/>
      <c r="K39" s="483">
        <v>106.47499999999999</v>
      </c>
      <c r="L39" s="485">
        <v>100.75</v>
      </c>
      <c r="N39" s="7" t="s">
        <v>289</v>
      </c>
      <c r="O39" s="528" t="s">
        <v>797</v>
      </c>
      <c r="P39" s="417"/>
    </row>
    <row r="40" spans="2:16" x14ac:dyDescent="0.2">
      <c r="B40" s="58" t="s">
        <v>184</v>
      </c>
      <c r="C40" s="386" t="s">
        <v>166</v>
      </c>
      <c r="D40" s="61" t="s">
        <v>200</v>
      </c>
      <c r="E40" s="107">
        <v>11330</v>
      </c>
      <c r="F40" s="439"/>
      <c r="G40" s="440">
        <v>0.14015887025595763</v>
      </c>
      <c r="H40" s="820"/>
      <c r="I40" s="153">
        <v>106.47499999999999</v>
      </c>
      <c r="J40" s="222"/>
      <c r="K40" s="483">
        <v>106.47499999999999</v>
      </c>
      <c r="L40" s="485">
        <v>100.75</v>
      </c>
      <c r="N40" s="7" t="s">
        <v>289</v>
      </c>
      <c r="O40" s="528" t="s">
        <v>797</v>
      </c>
      <c r="P40" s="417"/>
    </row>
    <row r="41" spans="2:16" x14ac:dyDescent="0.2">
      <c r="B41" s="58" t="s">
        <v>192</v>
      </c>
      <c r="C41" s="386" t="s">
        <v>193</v>
      </c>
      <c r="D41" s="61" t="s">
        <v>200</v>
      </c>
      <c r="E41" s="107">
        <v>4445</v>
      </c>
      <c r="F41" s="439"/>
      <c r="G41" s="440">
        <v>2.2497187851518559E-4</v>
      </c>
      <c r="H41" s="820"/>
      <c r="I41" s="153">
        <v>106.47499999999999</v>
      </c>
      <c r="J41" s="222"/>
      <c r="K41" s="483">
        <v>106.47499999999999</v>
      </c>
      <c r="L41" s="485">
        <v>100.75</v>
      </c>
      <c r="N41" s="7" t="s">
        <v>289</v>
      </c>
      <c r="O41" s="528" t="s">
        <v>797</v>
      </c>
      <c r="P41" s="417"/>
    </row>
    <row r="42" spans="2:16" x14ac:dyDescent="0.2">
      <c r="B42" s="58" t="s">
        <v>185</v>
      </c>
      <c r="C42" s="386" t="s">
        <v>170</v>
      </c>
      <c r="D42" s="61" t="s">
        <v>201</v>
      </c>
      <c r="E42" s="107">
        <v>1068</v>
      </c>
      <c r="F42" s="439"/>
      <c r="G42" s="440">
        <v>1.4981273408239701E-2</v>
      </c>
      <c r="H42" s="820"/>
      <c r="I42" s="153">
        <v>106.47499999999999</v>
      </c>
      <c r="J42" s="222"/>
      <c r="K42" s="483">
        <v>106.47499999999999</v>
      </c>
      <c r="L42" s="485">
        <v>100.75</v>
      </c>
      <c r="N42" s="7" t="s">
        <v>289</v>
      </c>
      <c r="O42" s="528" t="s">
        <v>796</v>
      </c>
      <c r="P42" s="417"/>
    </row>
    <row r="43" spans="2:16" x14ac:dyDescent="0.2">
      <c r="B43" s="58" t="s">
        <v>465</v>
      </c>
      <c r="C43" s="386" t="s">
        <v>161</v>
      </c>
      <c r="D43" s="61" t="s">
        <v>202</v>
      </c>
      <c r="E43" s="107">
        <v>24733</v>
      </c>
      <c r="F43" s="439"/>
      <c r="G43" s="440">
        <v>0</v>
      </c>
      <c r="H43" s="820"/>
      <c r="I43" s="153">
        <v>106.47499999999999</v>
      </c>
      <c r="J43" s="222"/>
      <c r="K43" s="483">
        <v>106.47499999999999</v>
      </c>
      <c r="L43" s="485">
        <v>100.75</v>
      </c>
      <c r="N43" s="7" t="s">
        <v>289</v>
      </c>
      <c r="O43" s="528" t="s">
        <v>796</v>
      </c>
      <c r="P43" s="417"/>
    </row>
    <row r="44" spans="2:16" x14ac:dyDescent="0.2">
      <c r="B44" s="58" t="s">
        <v>466</v>
      </c>
      <c r="C44" s="386" t="s">
        <v>188</v>
      </c>
      <c r="D44" s="61" t="s">
        <v>188</v>
      </c>
      <c r="E44" s="107">
        <v>145</v>
      </c>
      <c r="F44" s="439"/>
      <c r="G44" s="440">
        <v>0</v>
      </c>
      <c r="H44" s="820"/>
      <c r="I44" s="153">
        <v>106.47499999999999</v>
      </c>
      <c r="J44" s="222"/>
      <c r="K44" s="483">
        <v>106.47499999999999</v>
      </c>
      <c r="L44" s="485">
        <v>100.75</v>
      </c>
      <c r="N44" s="7" t="s">
        <v>289</v>
      </c>
      <c r="O44" s="528"/>
      <c r="P44" s="417"/>
    </row>
    <row r="45" spans="2:16" x14ac:dyDescent="0.2">
      <c r="B45" s="58" t="s">
        <v>491</v>
      </c>
      <c r="C45" s="386" t="s">
        <v>489</v>
      </c>
      <c r="D45" s="61" t="s">
        <v>199</v>
      </c>
      <c r="E45" s="724">
        <v>265</v>
      </c>
      <c r="F45" s="441" t="s">
        <v>469</v>
      </c>
      <c r="G45" s="442">
        <v>3.3962264150943396E-2</v>
      </c>
      <c r="H45" s="820"/>
      <c r="I45" s="153">
        <v>106.47499999999999</v>
      </c>
      <c r="J45" s="222"/>
      <c r="K45" s="483">
        <v>106.47499999999999</v>
      </c>
      <c r="L45" s="485">
        <v>100.75</v>
      </c>
      <c r="N45" s="7" t="s">
        <v>289</v>
      </c>
      <c r="O45" s="528" t="s">
        <v>798</v>
      </c>
      <c r="P45" s="417"/>
    </row>
    <row r="46" spans="2:16" x14ac:dyDescent="0.2">
      <c r="B46" s="58" t="s">
        <v>492</v>
      </c>
      <c r="C46" s="386" t="s">
        <v>486</v>
      </c>
      <c r="D46" s="61" t="s">
        <v>199</v>
      </c>
      <c r="E46" s="724">
        <v>4299</v>
      </c>
      <c r="F46" s="441" t="s">
        <v>469</v>
      </c>
      <c r="G46" s="442">
        <v>5.8153058850895561E-3</v>
      </c>
      <c r="H46" s="820"/>
      <c r="I46" s="153">
        <v>106.47499999999999</v>
      </c>
      <c r="J46" s="222"/>
      <c r="K46" s="483">
        <v>106.47499999999999</v>
      </c>
      <c r="L46" s="485">
        <v>100.75</v>
      </c>
      <c r="N46" s="7" t="s">
        <v>289</v>
      </c>
      <c r="O46" s="528" t="s">
        <v>798</v>
      </c>
      <c r="P46" s="417"/>
    </row>
    <row r="47" spans="2:16" x14ac:dyDescent="0.2">
      <c r="B47" s="58" t="s">
        <v>490</v>
      </c>
      <c r="C47" s="58" t="s">
        <v>488</v>
      </c>
      <c r="D47" s="61" t="s">
        <v>199</v>
      </c>
      <c r="E47" s="724">
        <v>347</v>
      </c>
      <c r="F47" s="441"/>
      <c r="G47" s="442">
        <v>0</v>
      </c>
      <c r="H47" s="820"/>
      <c r="I47" s="153">
        <v>106.47499999999999</v>
      </c>
      <c r="J47" s="222"/>
      <c r="K47" s="483">
        <v>106.47499999999999</v>
      </c>
      <c r="L47" s="485">
        <v>100.75</v>
      </c>
      <c r="N47" s="7" t="s">
        <v>289</v>
      </c>
      <c r="O47" s="528" t="s">
        <v>796</v>
      </c>
      <c r="P47" s="417"/>
    </row>
    <row r="48" spans="2:16" x14ac:dyDescent="0.2">
      <c r="B48" s="46" t="s">
        <v>493</v>
      </c>
      <c r="C48" s="83" t="s">
        <v>487</v>
      </c>
      <c r="D48" s="61" t="s">
        <v>199</v>
      </c>
      <c r="E48" s="725">
        <v>1335</v>
      </c>
      <c r="F48" s="441"/>
      <c r="G48" s="442">
        <v>4.4943820224719105E-3</v>
      </c>
      <c r="H48" s="821"/>
      <c r="I48" s="153">
        <v>106.47499999999999</v>
      </c>
      <c r="J48" s="222"/>
      <c r="K48" s="483">
        <v>106.47499999999999</v>
      </c>
      <c r="L48" s="485">
        <v>100.75</v>
      </c>
      <c r="N48" s="7" t="s">
        <v>289</v>
      </c>
      <c r="O48" s="528"/>
      <c r="P48" s="417"/>
    </row>
    <row r="49" spans="2:14" ht="4.1500000000000004" customHeight="1" x14ac:dyDescent="0.2"/>
    <row r="50" spans="2:14" x14ac:dyDescent="0.2">
      <c r="H50" s="48" t="s">
        <v>765</v>
      </c>
      <c r="J50" s="48" t="s">
        <v>765</v>
      </c>
    </row>
    <row r="52" spans="2:14" ht="13.5" thickBot="1" x14ac:dyDescent="0.25">
      <c r="B52" s="5" t="s">
        <v>711</v>
      </c>
    </row>
    <row r="53" spans="2:14" ht="12.75" x14ac:dyDescent="0.2">
      <c r="B53" s="386"/>
      <c r="C53" s="386"/>
      <c r="D53" s="386"/>
      <c r="E53" s="386"/>
      <c r="F53" s="387" t="s">
        <v>314</v>
      </c>
      <c r="G53" s="224"/>
      <c r="H53" s="224"/>
      <c r="I53" s="224"/>
      <c r="J53" s="224"/>
      <c r="K53" s="224"/>
      <c r="L53" s="622" t="s">
        <v>869</v>
      </c>
      <c r="M53" s="622" t="s">
        <v>253</v>
      </c>
      <c r="N53" s="625" t="s">
        <v>1324</v>
      </c>
    </row>
    <row r="54" spans="2:14" ht="24" x14ac:dyDescent="0.2">
      <c r="B54" s="111" t="s">
        <v>6</v>
      </c>
      <c r="C54" s="111" t="s">
        <v>174</v>
      </c>
      <c r="D54" s="111" t="s">
        <v>230</v>
      </c>
      <c r="E54" s="112" t="s">
        <v>1121</v>
      </c>
      <c r="F54" s="685" t="s">
        <v>625</v>
      </c>
      <c r="G54" s="452" t="s">
        <v>520</v>
      </c>
      <c r="H54" s="452" t="s">
        <v>1117</v>
      </c>
      <c r="I54" s="452" t="s">
        <v>194</v>
      </c>
      <c r="J54" s="452" t="s">
        <v>1118</v>
      </c>
      <c r="K54" s="452" t="s">
        <v>195</v>
      </c>
      <c r="L54" s="452" t="s">
        <v>1153</v>
      </c>
      <c r="M54" s="452" t="s">
        <v>870</v>
      </c>
      <c r="N54" s="453" t="s">
        <v>1150</v>
      </c>
    </row>
    <row r="55" spans="2:14" x14ac:dyDescent="0.2">
      <c r="B55" s="386" t="s">
        <v>175</v>
      </c>
      <c r="C55" s="386" t="s">
        <v>172</v>
      </c>
      <c r="D55" s="61" t="s">
        <v>199</v>
      </c>
      <c r="E55" s="37">
        <v>266</v>
      </c>
      <c r="F55" s="681">
        <v>9.0225563909774431E-2</v>
      </c>
      <c r="G55" s="454">
        <v>106.47499999999999</v>
      </c>
      <c r="H55" s="683">
        <v>4.1353383458646614E-2</v>
      </c>
      <c r="I55" s="822"/>
      <c r="J55" s="683">
        <v>3.7593984962406013E-3</v>
      </c>
      <c r="K55" s="823"/>
      <c r="L55" s="623">
        <v>12.341990980451126</v>
      </c>
      <c r="M55" s="624">
        <v>12.493038437065378</v>
      </c>
      <c r="N55" s="455">
        <v>13.194397276357501</v>
      </c>
    </row>
    <row r="56" spans="2:14" x14ac:dyDescent="0.2">
      <c r="B56" s="386" t="s">
        <v>176</v>
      </c>
      <c r="C56" s="386" t="s">
        <v>173</v>
      </c>
      <c r="D56" s="61" t="s">
        <v>199</v>
      </c>
      <c r="E56" s="37">
        <v>3143</v>
      </c>
      <c r="F56" s="681">
        <v>0.12949411390391347</v>
      </c>
      <c r="G56" s="408">
        <v>106.47499999999999</v>
      </c>
      <c r="H56" s="683">
        <v>7.7632834871142226E-2</v>
      </c>
      <c r="I56" s="823"/>
      <c r="J56" s="683">
        <v>1.0499522748965956E-2</v>
      </c>
      <c r="K56" s="823"/>
      <c r="L56" s="624">
        <v>18.01463904142539</v>
      </c>
      <c r="M56" s="624">
        <v>18.235111201333876</v>
      </c>
      <c r="N56" s="416">
        <v>19.258829850000303</v>
      </c>
    </row>
    <row r="57" spans="2:14" x14ac:dyDescent="0.2">
      <c r="B57" s="386" t="s">
        <v>177</v>
      </c>
      <c r="C57" s="386" t="s">
        <v>171</v>
      </c>
      <c r="D57" s="61" t="s">
        <v>199</v>
      </c>
      <c r="E57" s="37">
        <v>330</v>
      </c>
      <c r="F57" s="681">
        <v>0.20606060606060606</v>
      </c>
      <c r="G57" s="408">
        <v>106.47499999999999</v>
      </c>
      <c r="H57" s="683">
        <v>0.12424242424242424</v>
      </c>
      <c r="I57" s="823"/>
      <c r="J57" s="683">
        <v>1.2121212121212121E-2</v>
      </c>
      <c r="K57" s="823"/>
      <c r="L57" s="624">
        <v>30.035611462787877</v>
      </c>
      <c r="M57" s="624">
        <v>30.403202293675207</v>
      </c>
      <c r="N57" s="416">
        <v>32.110037246507112</v>
      </c>
    </row>
    <row r="58" spans="2:14" x14ac:dyDescent="0.2">
      <c r="B58" s="386" t="s">
        <v>178</v>
      </c>
      <c r="C58" s="386" t="s">
        <v>179</v>
      </c>
      <c r="D58" s="61" t="s">
        <v>199</v>
      </c>
      <c r="E58" s="37">
        <v>414</v>
      </c>
      <c r="F58" s="681">
        <v>0.27777777777777779</v>
      </c>
      <c r="G58" s="408">
        <v>106.47499999999999</v>
      </c>
      <c r="H58" s="683">
        <v>0.23671497584541062</v>
      </c>
      <c r="I58" s="823"/>
      <c r="J58" s="683">
        <v>7.246376811594203E-3</v>
      </c>
      <c r="K58" s="823"/>
      <c r="L58" s="624">
        <v>39.839176857971019</v>
      </c>
      <c r="M58" s="624">
        <v>40.326748623947296</v>
      </c>
      <c r="N58" s="416">
        <v>42.59069119882988</v>
      </c>
    </row>
    <row r="59" spans="2:14" x14ac:dyDescent="0.2">
      <c r="B59" s="386" t="s">
        <v>180</v>
      </c>
      <c r="C59" s="386" t="s">
        <v>165</v>
      </c>
      <c r="D59" s="61" t="s">
        <v>199</v>
      </c>
      <c r="E59" s="37">
        <v>255</v>
      </c>
      <c r="F59" s="681">
        <v>0.16470588235294117</v>
      </c>
      <c r="G59" s="408">
        <v>106.47499999999999</v>
      </c>
      <c r="H59" s="683">
        <v>0.12549019607843137</v>
      </c>
      <c r="I59" s="823"/>
      <c r="J59" s="683">
        <v>1.1764705882352941E-2</v>
      </c>
      <c r="K59" s="823"/>
      <c r="L59" s="624">
        <v>22.174694776470584</v>
      </c>
      <c r="M59" s="624">
        <v>22.446079778492422</v>
      </c>
      <c r="N59" s="416">
        <v>23.70620208896214</v>
      </c>
    </row>
    <row r="60" spans="2:14" x14ac:dyDescent="0.2">
      <c r="B60" s="386" t="s">
        <v>181</v>
      </c>
      <c r="C60" s="386" t="s">
        <v>167</v>
      </c>
      <c r="D60" s="61" t="s">
        <v>200</v>
      </c>
      <c r="E60" s="37">
        <v>3182</v>
      </c>
      <c r="F60" s="681">
        <v>0.26304211187932119</v>
      </c>
      <c r="G60" s="408">
        <v>106.47499999999999</v>
      </c>
      <c r="H60" s="683">
        <v>0.18133249528598366</v>
      </c>
      <c r="I60" s="823"/>
      <c r="J60" s="683">
        <v>1.8856065367693273E-2</v>
      </c>
      <c r="K60" s="823"/>
      <c r="L60" s="624">
        <v>40.869680286612194</v>
      </c>
      <c r="M60" s="624">
        <v>41.369863868799897</v>
      </c>
      <c r="N60" s="416">
        <v>43.692366905259796</v>
      </c>
    </row>
    <row r="61" spans="2:14" x14ac:dyDescent="0.2">
      <c r="B61" s="386" t="s">
        <v>182</v>
      </c>
      <c r="C61" s="386" t="s">
        <v>168</v>
      </c>
      <c r="D61" s="61" t="s">
        <v>200</v>
      </c>
      <c r="E61" s="37">
        <v>4320</v>
      </c>
      <c r="F61" s="681">
        <v>0.2273148148148148</v>
      </c>
      <c r="G61" s="408">
        <v>106.47499999999999</v>
      </c>
      <c r="H61" s="683">
        <v>0.17754629629629629</v>
      </c>
      <c r="I61" s="823"/>
      <c r="J61" s="683">
        <v>1.7361111111111112E-2</v>
      </c>
      <c r="K61" s="823"/>
      <c r="L61" s="624">
        <v>34.379101550444439</v>
      </c>
      <c r="M61" s="624">
        <v>34.799850184769554</v>
      </c>
      <c r="N61" s="416">
        <v>36.753512831057144</v>
      </c>
    </row>
    <row r="62" spans="2:14" x14ac:dyDescent="0.2">
      <c r="B62" s="386" t="s">
        <v>183</v>
      </c>
      <c r="C62" s="386" t="s">
        <v>169</v>
      </c>
      <c r="D62" s="61" t="s">
        <v>200</v>
      </c>
      <c r="E62" s="37">
        <v>9936</v>
      </c>
      <c r="F62" s="681">
        <v>0.26419082125603865</v>
      </c>
      <c r="G62" s="408">
        <v>106.47499999999999</v>
      </c>
      <c r="H62" s="683">
        <v>0.19907407407407407</v>
      </c>
      <c r="I62" s="823"/>
      <c r="J62" s="683">
        <v>2.395330112721417E-2</v>
      </c>
      <c r="K62" s="823"/>
      <c r="L62" s="624">
        <v>39.880315307568438</v>
      </c>
      <c r="M62" s="624">
        <v>40.368390546460112</v>
      </c>
      <c r="N62" s="416">
        <v>42.634670897744058</v>
      </c>
    </row>
    <row r="63" spans="2:14" x14ac:dyDescent="0.2">
      <c r="B63" s="386" t="s">
        <v>184</v>
      </c>
      <c r="C63" s="386" t="s">
        <v>166</v>
      </c>
      <c r="D63" s="61" t="s">
        <v>200</v>
      </c>
      <c r="E63" s="37">
        <v>236</v>
      </c>
      <c r="F63" s="681">
        <v>0.36016949152542371</v>
      </c>
      <c r="G63" s="408">
        <v>106.47499999999999</v>
      </c>
      <c r="H63" s="683">
        <v>0.25</v>
      </c>
      <c r="I63" s="823"/>
      <c r="J63" s="683">
        <v>3.8135593220338986E-2</v>
      </c>
      <c r="K63" s="823"/>
      <c r="L63" s="624">
        <v>48.646630949152538</v>
      </c>
      <c r="M63" s="624">
        <v>49.24199274202374</v>
      </c>
      <c r="N63" s="416">
        <v>52.006436880089602</v>
      </c>
    </row>
    <row r="64" spans="2:14" x14ac:dyDescent="0.2">
      <c r="B64" s="386" t="s">
        <v>192</v>
      </c>
      <c r="C64" s="386" t="s">
        <v>193</v>
      </c>
      <c r="D64" s="61" t="s">
        <v>200</v>
      </c>
      <c r="E64" s="37">
        <v>646</v>
      </c>
      <c r="F64" s="681">
        <v>0.13931888544891641</v>
      </c>
      <c r="G64" s="408">
        <v>106.47499999999999</v>
      </c>
      <c r="H64" s="683">
        <v>9.2879256965944276E-2</v>
      </c>
      <c r="I64" s="823"/>
      <c r="J64" s="683">
        <v>1.393188854489164E-2</v>
      </c>
      <c r="K64" s="823"/>
      <c r="L64" s="624">
        <v>19.482683145510833</v>
      </c>
      <c r="M64" s="624">
        <v>19.721121963187169</v>
      </c>
      <c r="N64" s="416">
        <v>20.828265215752747</v>
      </c>
    </row>
    <row r="65" spans="2:14" x14ac:dyDescent="0.2">
      <c r="B65" s="386" t="s">
        <v>185</v>
      </c>
      <c r="C65" s="386" t="s">
        <v>170</v>
      </c>
      <c r="D65" s="61" t="s">
        <v>201</v>
      </c>
      <c r="E65" s="37">
        <v>72</v>
      </c>
      <c r="F65" s="681">
        <v>0.1111111111111111</v>
      </c>
      <c r="G65" s="408">
        <v>106.47499999999999</v>
      </c>
      <c r="H65" s="683">
        <v>5.5555555555555552E-2</v>
      </c>
      <c r="I65" s="823"/>
      <c r="J65" s="683">
        <v>1.3888888888888888E-2</v>
      </c>
      <c r="K65" s="823"/>
      <c r="L65" s="624">
        <v>21.952263333333331</v>
      </c>
      <c r="M65" s="624">
        <v>22.220926108138332</v>
      </c>
      <c r="N65" s="416">
        <v>23.468408297656097</v>
      </c>
    </row>
    <row r="66" spans="2:14" x14ac:dyDescent="0.2">
      <c r="B66" s="386" t="s">
        <v>465</v>
      </c>
      <c r="C66" s="386" t="s">
        <v>161</v>
      </c>
      <c r="D66" s="61" t="s">
        <v>202</v>
      </c>
      <c r="E66" s="37">
        <v>0</v>
      </c>
      <c r="F66" s="681">
        <v>0</v>
      </c>
      <c r="G66" s="408"/>
      <c r="H66" s="683">
        <v>0</v>
      </c>
      <c r="I66" s="823"/>
      <c r="J66" s="683">
        <v>0</v>
      </c>
      <c r="K66" s="823"/>
      <c r="L66" s="624">
        <v>0</v>
      </c>
      <c r="M66" s="624">
        <v>0</v>
      </c>
      <c r="N66" s="416">
        <v>0</v>
      </c>
    </row>
    <row r="67" spans="2:14" x14ac:dyDescent="0.2">
      <c r="B67" s="386" t="s">
        <v>466</v>
      </c>
      <c r="C67" s="386" t="s">
        <v>188</v>
      </c>
      <c r="D67" s="61" t="s">
        <v>188</v>
      </c>
      <c r="E67" s="37">
        <v>2</v>
      </c>
      <c r="F67" s="681">
        <v>0</v>
      </c>
      <c r="G67" s="408"/>
      <c r="H67" s="683">
        <v>0</v>
      </c>
      <c r="I67" s="823"/>
      <c r="J67" s="683">
        <v>0</v>
      </c>
      <c r="K67" s="823"/>
      <c r="L67" s="624">
        <v>0</v>
      </c>
      <c r="M67" s="624">
        <v>0</v>
      </c>
      <c r="N67" s="416">
        <v>0</v>
      </c>
    </row>
    <row r="68" spans="2:14" x14ac:dyDescent="0.2">
      <c r="B68" s="386" t="s">
        <v>491</v>
      </c>
      <c r="C68" s="386" t="s">
        <v>489</v>
      </c>
      <c r="D68" s="61" t="s">
        <v>199</v>
      </c>
      <c r="E68" s="37">
        <v>1</v>
      </c>
      <c r="F68" s="682">
        <v>0.28000000000000003</v>
      </c>
      <c r="G68" s="408">
        <v>106.47499999999999</v>
      </c>
      <c r="H68" s="684">
        <v>0.23</v>
      </c>
      <c r="I68" s="823"/>
      <c r="J68" s="684">
        <v>7.0000000000000007E-2</v>
      </c>
      <c r="K68" s="823"/>
      <c r="L68" s="624">
        <v>40.852840632000003</v>
      </c>
      <c r="M68" s="624">
        <v>41.352818122074737</v>
      </c>
      <c r="N68" s="416">
        <v>43.67436421077543</v>
      </c>
    </row>
    <row r="69" spans="2:14" x14ac:dyDescent="0.2">
      <c r="B69" s="386" t="s">
        <v>492</v>
      </c>
      <c r="C69" s="386" t="s">
        <v>486</v>
      </c>
      <c r="D69" s="61" t="s">
        <v>199</v>
      </c>
      <c r="E69" s="37">
        <v>23</v>
      </c>
      <c r="F69" s="682">
        <v>0.17391304347826086</v>
      </c>
      <c r="G69" s="408">
        <v>106.47499999999999</v>
      </c>
      <c r="H69" s="684">
        <v>8.6956521739130432E-2</v>
      </c>
      <c r="I69" s="823"/>
      <c r="J69" s="684">
        <v>0</v>
      </c>
      <c r="K69" s="823"/>
      <c r="L69" s="624">
        <v>23.890517982608692</v>
      </c>
      <c r="M69" s="624">
        <v>24.182902086938849</v>
      </c>
      <c r="N69" s="416">
        <v>25.540529554736395</v>
      </c>
    </row>
    <row r="70" spans="2:14" x14ac:dyDescent="0.2">
      <c r="B70" s="386" t="s">
        <v>490</v>
      </c>
      <c r="C70" s="386" t="s">
        <v>488</v>
      </c>
      <c r="D70" s="61" t="s">
        <v>199</v>
      </c>
      <c r="E70" s="37">
        <v>2675</v>
      </c>
      <c r="F70" s="682">
        <v>0.1102803738317757</v>
      </c>
      <c r="G70" s="408">
        <v>106.47499999999999</v>
      </c>
      <c r="H70" s="684">
        <v>6.5794392523364484E-2</v>
      </c>
      <c r="I70" s="823"/>
      <c r="J70" s="684">
        <v>5.2336448598130844E-3</v>
      </c>
      <c r="K70" s="823"/>
      <c r="L70" s="624">
        <v>16.045728823147662</v>
      </c>
      <c r="M70" s="624">
        <v>16.242104475349755</v>
      </c>
      <c r="N70" s="416">
        <v>17.153935780430455</v>
      </c>
    </row>
    <row r="71" spans="2:14" x14ac:dyDescent="0.2">
      <c r="B71" s="46" t="s">
        <v>493</v>
      </c>
      <c r="C71" s="83" t="s">
        <v>487</v>
      </c>
      <c r="D71" s="61" t="s">
        <v>199</v>
      </c>
      <c r="E71" s="37">
        <v>30</v>
      </c>
      <c r="F71" s="682">
        <v>0.13333333333333333</v>
      </c>
      <c r="G71" s="408">
        <v>106.47499999999999</v>
      </c>
      <c r="H71" s="684">
        <v>0.13333333333333333</v>
      </c>
      <c r="I71" s="823"/>
      <c r="J71" s="684">
        <v>3.3333333333333333E-2</v>
      </c>
      <c r="K71" s="823"/>
      <c r="L71" s="624">
        <v>20.746912789333333</v>
      </c>
      <c r="M71" s="624">
        <v>21.000823881505589</v>
      </c>
      <c r="N71" s="416">
        <v>22.179809565085293</v>
      </c>
    </row>
    <row r="72" spans="2:14" x14ac:dyDescent="0.2">
      <c r="C72" s="386"/>
      <c r="D72" s="386"/>
      <c r="E72" s="386"/>
      <c r="F72" s="386"/>
      <c r="G72" s="386"/>
      <c r="H72" s="386"/>
      <c r="I72" s="386"/>
    </row>
    <row r="73" spans="2:14" x14ac:dyDescent="0.2">
      <c r="C73" s="386"/>
      <c r="D73" s="386"/>
      <c r="E73" s="386"/>
      <c r="F73" s="386"/>
      <c r="G73" s="386"/>
      <c r="H73" s="386"/>
      <c r="I73" s="386"/>
    </row>
    <row r="74" spans="2:14" x14ac:dyDescent="0.2">
      <c r="C74" s="386"/>
      <c r="D74" s="386"/>
      <c r="E74" s="386"/>
      <c r="F74" s="386"/>
      <c r="G74" s="386"/>
      <c r="H74" s="386"/>
      <c r="I74" s="386"/>
    </row>
    <row r="82" spans="2:14" x14ac:dyDescent="0.2">
      <c r="B82" s="79" t="s">
        <v>226</v>
      </c>
    </row>
    <row r="83" spans="2:14" ht="12.75" x14ac:dyDescent="0.2">
      <c r="B83" s="436" t="s">
        <v>197</v>
      </c>
      <c r="C83" s="437" t="s">
        <v>227</v>
      </c>
      <c r="D83" s="437"/>
      <c r="E83" s="212"/>
      <c r="F83" s="212"/>
      <c r="G83" s="212"/>
      <c r="H83" s="212"/>
      <c r="I83" s="212"/>
      <c r="J83" s="212"/>
      <c r="K83" s="212"/>
      <c r="L83" s="212"/>
      <c r="M83" s="213"/>
    </row>
    <row r="84" spans="2:14" ht="12.75" x14ac:dyDescent="0.2">
      <c r="B84" s="436" t="s">
        <v>64</v>
      </c>
      <c r="C84" s="437" t="s">
        <v>519</v>
      </c>
      <c r="D84" s="437"/>
      <c r="E84" s="212"/>
      <c r="F84" s="212"/>
      <c r="G84" s="212"/>
      <c r="H84" s="212"/>
      <c r="I84" s="212"/>
      <c r="J84" s="212"/>
      <c r="K84" s="212"/>
      <c r="L84" s="212"/>
      <c r="M84" s="213"/>
    </row>
    <row r="85" spans="2:14" ht="12.75" x14ac:dyDescent="0.2">
      <c r="B85" s="436" t="s">
        <v>186</v>
      </c>
      <c r="C85" s="437" t="s">
        <v>228</v>
      </c>
      <c r="D85" s="437"/>
      <c r="E85" s="212"/>
      <c r="F85" s="212"/>
      <c r="G85" s="212"/>
      <c r="H85" s="212"/>
      <c r="I85" s="212"/>
      <c r="J85" s="212"/>
      <c r="K85" s="212"/>
      <c r="L85" s="212"/>
      <c r="M85" s="221"/>
      <c r="N85" s="44"/>
    </row>
    <row r="86" spans="2:14" ht="12.75" x14ac:dyDescent="0.2">
      <c r="B86" s="436" t="s">
        <v>688</v>
      </c>
      <c r="C86" s="437"/>
      <c r="D86" s="437"/>
      <c r="E86" s="212"/>
      <c r="F86" s="212"/>
      <c r="G86" s="212"/>
      <c r="H86" s="212"/>
      <c r="I86" s="212"/>
      <c r="J86" s="212"/>
      <c r="K86" s="212"/>
      <c r="L86" s="212"/>
      <c r="M86" s="221"/>
      <c r="N86" s="44"/>
    </row>
  </sheetData>
  <dataValidations count="2">
    <dataValidation type="list" allowBlank="1" showInputMessage="1" showErrorMessage="1" sqref="D8:D24" xr:uid="{00000000-0002-0000-1D00-000000000000}">
      <formula1>"HID-P,HID-V,HID-F,LED-P,LED-V"</formula1>
    </dataValidation>
    <dataValidation type="list" allowBlank="1" showInputMessage="1" showErrorMessage="1" sqref="F32:F48" xr:uid="{00000000-0002-0000-1D00-000001000000}">
      <formula1>"HID Only"</formula1>
    </dataValidation>
  </dataValidations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9">
    <tabColor theme="9"/>
  </sheetPr>
  <dimension ref="A1:V44"/>
  <sheetViews>
    <sheetView showGridLines="0" zoomScaleNormal="100" workbookViewId="0">
      <selection activeCell="J13" sqref="J13"/>
    </sheetView>
  </sheetViews>
  <sheetFormatPr defaultColWidth="9.1640625" defaultRowHeight="12" x14ac:dyDescent="0.2"/>
  <cols>
    <col min="1" max="1" width="7.5" style="58" customWidth="1"/>
    <col min="2" max="5" width="2.5" style="58" customWidth="1"/>
    <col min="6" max="6" width="34.1640625" style="58" customWidth="1"/>
    <col min="7" max="7" width="12.33203125" style="58" bestFit="1" customWidth="1"/>
    <col min="8" max="9" width="13" style="58" customWidth="1"/>
    <col min="10" max="10" width="15.5" style="58" customWidth="1"/>
    <col min="11" max="11" width="13.33203125" style="58" customWidth="1"/>
    <col min="12" max="12" width="11.6640625" style="58" customWidth="1"/>
    <col min="13" max="17" width="13.6640625" style="58" customWidth="1"/>
    <col min="18" max="18" width="4.6640625" style="58" customWidth="1"/>
    <col min="19" max="19" width="4.6640625" style="558" customWidth="1"/>
    <col min="20" max="20" width="30" style="58" customWidth="1"/>
    <col min="21" max="21" width="61.1640625" style="58" customWidth="1"/>
    <col min="22" max="16384" width="9.1640625" style="58"/>
  </cols>
  <sheetData>
    <row r="1" spans="1:22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2" ht="16.5" thickBot="1" x14ac:dyDescent="0.3">
      <c r="A2" s="4" t="s">
        <v>1330</v>
      </c>
      <c r="B2" s="4"/>
      <c r="C2" s="4"/>
      <c r="D2" s="4"/>
      <c r="E2" s="4"/>
      <c r="F2" s="4" t="s">
        <v>416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.75" thickTop="1" x14ac:dyDescent="0.25">
      <c r="A3" s="6"/>
      <c r="D3" s="34"/>
      <c r="F3" s="30"/>
      <c r="G3" s="30"/>
    </row>
    <row r="4" spans="1:22" ht="15" x14ac:dyDescent="0.25">
      <c r="A4" s="1"/>
      <c r="B4" s="1"/>
      <c r="C4" s="1"/>
      <c r="D4" s="35"/>
      <c r="E4" s="1"/>
      <c r="F4" s="2"/>
      <c r="G4" s="2" t="s">
        <v>56</v>
      </c>
      <c r="H4" s="3" t="s">
        <v>251</v>
      </c>
      <c r="I4" s="3" t="s">
        <v>252</v>
      </c>
      <c r="J4" s="3" t="s">
        <v>253</v>
      </c>
      <c r="K4" s="3" t="s">
        <v>254</v>
      </c>
      <c r="L4" s="3" t="s">
        <v>255</v>
      </c>
      <c r="M4" s="3" t="s">
        <v>256</v>
      </c>
      <c r="N4" s="3" t="s">
        <v>257</v>
      </c>
      <c r="O4" s="3" t="s">
        <v>258</v>
      </c>
      <c r="P4" s="3" t="s">
        <v>259</v>
      </c>
      <c r="Q4" s="3" t="s">
        <v>260</v>
      </c>
      <c r="T4" s="5" t="s">
        <v>1</v>
      </c>
      <c r="U4" s="5" t="s">
        <v>0</v>
      </c>
    </row>
    <row r="5" spans="1:22" ht="15" hidden="1" x14ac:dyDescent="0.25">
      <c r="A5" s="1"/>
      <c r="B5" s="1"/>
      <c r="C5" s="1"/>
      <c r="D5" s="35"/>
      <c r="E5" s="1"/>
      <c r="F5" s="2"/>
      <c r="G5" s="2"/>
      <c r="H5" s="3">
        <v>0</v>
      </c>
      <c r="I5" s="3">
        <v>1</v>
      </c>
      <c r="J5" s="3">
        <v>2</v>
      </c>
      <c r="K5" s="3">
        <v>3</v>
      </c>
      <c r="L5" s="3">
        <v>4</v>
      </c>
      <c r="M5" s="3">
        <v>5</v>
      </c>
      <c r="N5" s="3">
        <v>6</v>
      </c>
      <c r="O5" s="3">
        <v>7</v>
      </c>
      <c r="P5" s="3">
        <v>8</v>
      </c>
      <c r="Q5" s="3">
        <v>9</v>
      </c>
    </row>
    <row r="6" spans="1:22" x14ac:dyDescent="0.2"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22" x14ac:dyDescent="0.2">
      <c r="F7" s="47"/>
      <c r="G7" s="50"/>
      <c r="H7" s="38"/>
      <c r="R7" s="38"/>
      <c r="S7" s="38"/>
      <c r="T7" s="38"/>
      <c r="U7" s="38"/>
    </row>
    <row r="8" spans="1:22" x14ac:dyDescent="0.2">
      <c r="F8" s="79" t="s">
        <v>371</v>
      </c>
      <c r="G8" s="50"/>
    </row>
    <row r="9" spans="1:22" x14ac:dyDescent="0.2">
      <c r="F9" s="47" t="s">
        <v>381</v>
      </c>
      <c r="G9" s="156" t="s">
        <v>372</v>
      </c>
      <c r="H9" s="566">
        <v>0.5</v>
      </c>
      <c r="I9" s="566">
        <v>2</v>
      </c>
      <c r="J9" s="566">
        <v>3</v>
      </c>
      <c r="K9" s="566">
        <v>4</v>
      </c>
      <c r="L9" s="566">
        <v>5</v>
      </c>
      <c r="M9" s="566">
        <v>5</v>
      </c>
      <c r="N9" s="566">
        <v>5</v>
      </c>
      <c r="O9" s="566">
        <v>5</v>
      </c>
      <c r="P9" s="566">
        <v>5</v>
      </c>
      <c r="Q9" s="566">
        <v>5</v>
      </c>
      <c r="T9" s="7" t="s">
        <v>289</v>
      </c>
      <c r="U9" s="8" t="s">
        <v>383</v>
      </c>
    </row>
    <row r="10" spans="1:22" x14ac:dyDescent="0.2">
      <c r="F10" s="47" t="s">
        <v>382</v>
      </c>
      <c r="G10" s="156" t="s">
        <v>372</v>
      </c>
      <c r="H10" s="566">
        <v>0.1</v>
      </c>
      <c r="I10" s="566">
        <v>0.5</v>
      </c>
      <c r="J10" s="566">
        <v>0.5</v>
      </c>
      <c r="K10" s="566">
        <v>0.5</v>
      </c>
      <c r="L10" s="566">
        <v>0.5</v>
      </c>
      <c r="M10" s="566">
        <v>0.5</v>
      </c>
      <c r="N10" s="566">
        <v>0.5</v>
      </c>
      <c r="O10" s="566">
        <v>0.5</v>
      </c>
      <c r="P10" s="566">
        <v>0.5</v>
      </c>
      <c r="Q10" s="566">
        <v>0.5</v>
      </c>
      <c r="T10" s="7" t="s">
        <v>289</v>
      </c>
      <c r="U10" s="8" t="s">
        <v>384</v>
      </c>
    </row>
    <row r="11" spans="1:22" x14ac:dyDescent="0.2">
      <c r="F11" s="47"/>
      <c r="G11" s="15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2" x14ac:dyDescent="0.2">
      <c r="F12" s="47" t="s">
        <v>373</v>
      </c>
      <c r="G12" s="156" t="s">
        <v>376</v>
      </c>
      <c r="H12" s="824"/>
      <c r="I12" s="460"/>
      <c r="J12" s="47"/>
      <c r="M12" s="47"/>
      <c r="N12" s="47"/>
      <c r="O12" s="47"/>
      <c r="P12" s="47"/>
      <c r="Q12" s="47"/>
      <c r="R12" s="47"/>
      <c r="S12" s="47"/>
      <c r="T12" s="7" t="s">
        <v>289</v>
      </c>
      <c r="U12" s="8" t="s">
        <v>385</v>
      </c>
    </row>
    <row r="13" spans="1:22" x14ac:dyDescent="0.2">
      <c r="F13" s="47" t="s">
        <v>374</v>
      </c>
      <c r="G13" s="156" t="s">
        <v>376</v>
      </c>
      <c r="H13" s="824"/>
      <c r="I13" s="460"/>
      <c r="M13" s="47"/>
      <c r="N13" s="47"/>
      <c r="O13" s="47"/>
      <c r="P13" s="47"/>
      <c r="Q13" s="47"/>
      <c r="R13" s="47"/>
      <c r="S13" s="47"/>
      <c r="T13" s="7" t="s">
        <v>289</v>
      </c>
      <c r="U13" s="8" t="s">
        <v>386</v>
      </c>
    </row>
    <row r="14" spans="1:22" x14ac:dyDescent="0.2">
      <c r="F14" s="47" t="s">
        <v>375</v>
      </c>
      <c r="G14" s="156" t="s">
        <v>376</v>
      </c>
      <c r="H14" s="824"/>
      <c r="I14" s="460"/>
      <c r="J14" s="47"/>
      <c r="M14" s="47"/>
      <c r="N14" s="47"/>
      <c r="O14" s="47"/>
      <c r="P14" s="47"/>
      <c r="Q14" s="47"/>
      <c r="R14" s="47"/>
      <c r="S14" s="47"/>
      <c r="T14" s="7" t="s">
        <v>289</v>
      </c>
      <c r="U14" s="8" t="s">
        <v>387</v>
      </c>
    </row>
    <row r="15" spans="1:22" x14ac:dyDescent="0.2">
      <c r="F15" s="47"/>
      <c r="G15" s="156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</row>
    <row r="16" spans="1:22" x14ac:dyDescent="0.2">
      <c r="F16" s="79" t="s">
        <v>966</v>
      </c>
      <c r="G16" s="48"/>
    </row>
    <row r="17" spans="6:21" x14ac:dyDescent="0.2">
      <c r="F17" s="47" t="s">
        <v>388</v>
      </c>
      <c r="G17" s="156" t="s">
        <v>21</v>
      </c>
      <c r="H17" s="57">
        <v>58.400000000000006</v>
      </c>
      <c r="I17" s="57">
        <v>58.400000000000006</v>
      </c>
      <c r="J17" s="57">
        <v>58.400000000000006</v>
      </c>
      <c r="K17" s="57">
        <v>58.400000000000006</v>
      </c>
      <c r="L17" s="57">
        <v>58.400000000000006</v>
      </c>
      <c r="M17" s="57">
        <v>58.400000000000006</v>
      </c>
      <c r="N17" s="57">
        <v>58.400000000000006</v>
      </c>
      <c r="O17" s="57">
        <v>58.400000000000006</v>
      </c>
      <c r="P17" s="57">
        <v>58.400000000000006</v>
      </c>
      <c r="Q17" s="57">
        <v>58.400000000000006</v>
      </c>
      <c r="S17" s="42">
        <v>0.8</v>
      </c>
      <c r="T17" s="7" t="s">
        <v>289</v>
      </c>
      <c r="U17" s="417" t="s">
        <v>970</v>
      </c>
    </row>
    <row r="18" spans="6:21" x14ac:dyDescent="0.2">
      <c r="F18" s="47" t="s">
        <v>389</v>
      </c>
      <c r="G18" s="156" t="s">
        <v>21</v>
      </c>
      <c r="H18" s="57">
        <v>14.600000000000001</v>
      </c>
      <c r="I18" s="57">
        <v>14.600000000000001</v>
      </c>
      <c r="J18" s="57">
        <v>14.600000000000001</v>
      </c>
      <c r="K18" s="57">
        <v>14.600000000000001</v>
      </c>
      <c r="L18" s="57">
        <v>14.600000000000001</v>
      </c>
      <c r="M18" s="57">
        <v>14.600000000000001</v>
      </c>
      <c r="N18" s="57">
        <v>14.600000000000001</v>
      </c>
      <c r="O18" s="57">
        <v>14.600000000000001</v>
      </c>
      <c r="P18" s="57">
        <v>14.600000000000001</v>
      </c>
      <c r="Q18" s="57">
        <v>14.600000000000001</v>
      </c>
      <c r="S18" s="42">
        <v>0.2</v>
      </c>
      <c r="T18" s="7" t="s">
        <v>289</v>
      </c>
      <c r="U18" s="417" t="s">
        <v>971</v>
      </c>
    </row>
    <row r="19" spans="6:21" x14ac:dyDescent="0.2">
      <c r="F19" s="47"/>
      <c r="G19" s="156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6:21" x14ac:dyDescent="0.2">
      <c r="F20" s="47" t="s">
        <v>378</v>
      </c>
      <c r="G20" s="156" t="s">
        <v>402</v>
      </c>
      <c r="H20" s="824"/>
      <c r="I20" s="560"/>
      <c r="K20" s="573"/>
      <c r="L20" s="47"/>
      <c r="M20" s="47"/>
      <c r="N20" s="47"/>
      <c r="O20" s="47"/>
      <c r="P20" s="47"/>
      <c r="Q20" s="47"/>
      <c r="R20" s="47"/>
      <c r="S20" s="47"/>
      <c r="T20" s="7" t="s">
        <v>289</v>
      </c>
      <c r="U20" s="8" t="s">
        <v>965</v>
      </c>
    </row>
    <row r="21" spans="6:21" x14ac:dyDescent="0.2">
      <c r="F21" s="47" t="s">
        <v>379</v>
      </c>
      <c r="G21" s="156" t="s">
        <v>402</v>
      </c>
      <c r="H21" s="824"/>
      <c r="I21" s="460"/>
      <c r="J21" s="560"/>
      <c r="K21" s="560"/>
      <c r="L21" s="47"/>
      <c r="M21" s="47"/>
      <c r="N21" s="47"/>
      <c r="O21" s="47"/>
      <c r="P21" s="47"/>
      <c r="Q21" s="47"/>
      <c r="R21" s="47"/>
      <c r="S21" s="47"/>
      <c r="T21" s="7" t="s">
        <v>289</v>
      </c>
      <c r="U21" s="8" t="s">
        <v>414</v>
      </c>
    </row>
    <row r="22" spans="6:21" x14ac:dyDescent="0.2">
      <c r="F22" s="47" t="s">
        <v>380</v>
      </c>
      <c r="G22" s="156" t="s">
        <v>402</v>
      </c>
      <c r="H22" s="824"/>
      <c r="I22" s="460"/>
      <c r="L22" s="47"/>
      <c r="M22" s="47"/>
      <c r="N22" s="47"/>
      <c r="O22" s="47"/>
      <c r="P22" s="47"/>
      <c r="Q22" s="47"/>
      <c r="R22" s="47"/>
      <c r="S22" s="47"/>
      <c r="T22" s="7" t="s">
        <v>289</v>
      </c>
      <c r="U22" s="8" t="s">
        <v>415</v>
      </c>
    </row>
    <row r="23" spans="6:21" x14ac:dyDescent="0.2">
      <c r="G23" s="48"/>
    </row>
    <row r="24" spans="6:21" x14ac:dyDescent="0.2">
      <c r="F24" s="79" t="s">
        <v>390</v>
      </c>
      <c r="G24" s="48"/>
    </row>
    <row r="25" spans="6:21" x14ac:dyDescent="0.2">
      <c r="F25" s="47" t="s">
        <v>391</v>
      </c>
      <c r="G25" s="156" t="s">
        <v>20</v>
      </c>
      <c r="H25" s="40">
        <v>20</v>
      </c>
      <c r="I25" s="40">
        <v>20</v>
      </c>
      <c r="J25" s="40">
        <v>20</v>
      </c>
      <c r="K25" s="40">
        <v>20</v>
      </c>
      <c r="L25" s="40">
        <v>20</v>
      </c>
      <c r="M25" s="40">
        <v>20</v>
      </c>
      <c r="N25" s="40">
        <v>20</v>
      </c>
      <c r="O25" s="40">
        <v>20</v>
      </c>
      <c r="P25" s="40">
        <v>20</v>
      </c>
      <c r="Q25" s="40">
        <v>20</v>
      </c>
      <c r="T25" s="7" t="s">
        <v>289</v>
      </c>
      <c r="U25" s="8" t="s">
        <v>396</v>
      </c>
    </row>
    <row r="26" spans="6:21" x14ac:dyDescent="0.2">
      <c r="F26" s="47" t="s">
        <v>392</v>
      </c>
      <c r="G26" s="156" t="s">
        <v>20</v>
      </c>
      <c r="H26" s="40">
        <v>100</v>
      </c>
      <c r="I26" s="40">
        <v>100</v>
      </c>
      <c r="J26" s="40">
        <v>100</v>
      </c>
      <c r="K26" s="40">
        <v>100</v>
      </c>
      <c r="L26" s="40">
        <v>100</v>
      </c>
      <c r="M26" s="40">
        <v>100</v>
      </c>
      <c r="N26" s="40">
        <v>100</v>
      </c>
      <c r="O26" s="40">
        <v>100</v>
      </c>
      <c r="P26" s="40">
        <v>100</v>
      </c>
      <c r="Q26" s="40">
        <v>100</v>
      </c>
      <c r="T26" s="7" t="s">
        <v>289</v>
      </c>
      <c r="U26" s="8" t="s">
        <v>397</v>
      </c>
    </row>
    <row r="27" spans="6:21" x14ac:dyDescent="0.2">
      <c r="F27" s="47"/>
      <c r="G27" s="156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6:21" x14ac:dyDescent="0.2">
      <c r="F28" s="47" t="s">
        <v>393</v>
      </c>
      <c r="G28" s="156" t="s">
        <v>401</v>
      </c>
      <c r="H28" s="824"/>
      <c r="I28" s="460"/>
      <c r="L28" s="47"/>
      <c r="M28" s="47"/>
      <c r="N28" s="47"/>
      <c r="O28" s="47"/>
      <c r="P28" s="47"/>
      <c r="Q28" s="47"/>
      <c r="R28" s="47"/>
      <c r="S28" s="47"/>
      <c r="T28" s="7" t="s">
        <v>289</v>
      </c>
      <c r="U28" s="8" t="s">
        <v>398</v>
      </c>
    </row>
    <row r="29" spans="6:21" x14ac:dyDescent="0.2">
      <c r="F29" s="47" t="s">
        <v>395</v>
      </c>
      <c r="G29" s="156" t="s">
        <v>401</v>
      </c>
      <c r="H29" s="824"/>
      <c r="I29" s="460"/>
      <c r="L29" s="47"/>
      <c r="M29" s="47"/>
      <c r="N29" s="47"/>
      <c r="O29" s="47"/>
      <c r="P29" s="47"/>
      <c r="Q29" s="47"/>
      <c r="R29" s="47"/>
      <c r="S29" s="47"/>
      <c r="T29" s="7" t="s">
        <v>289</v>
      </c>
      <c r="U29" s="8" t="s">
        <v>399</v>
      </c>
    </row>
    <row r="30" spans="6:21" x14ac:dyDescent="0.2">
      <c r="F30" s="47" t="s">
        <v>394</v>
      </c>
      <c r="G30" s="156" t="s">
        <v>401</v>
      </c>
      <c r="H30" s="824"/>
      <c r="I30" s="460"/>
      <c r="L30" s="47"/>
      <c r="M30" s="47"/>
      <c r="N30" s="47"/>
      <c r="O30" s="47"/>
      <c r="P30" s="47"/>
      <c r="Q30" s="47"/>
      <c r="R30" s="47"/>
      <c r="S30" s="47"/>
      <c r="T30" s="7" t="s">
        <v>289</v>
      </c>
      <c r="U30" s="8" t="s">
        <v>400</v>
      </c>
    </row>
    <row r="34" spans="6:17" x14ac:dyDescent="0.2">
      <c r="F34" s="79" t="s">
        <v>226</v>
      </c>
    </row>
    <row r="35" spans="6:17" x14ac:dyDescent="0.2">
      <c r="F35" s="211" t="s">
        <v>511</v>
      </c>
      <c r="G35" s="212" t="s">
        <v>972</v>
      </c>
      <c r="H35" s="212"/>
      <c r="I35" s="212"/>
      <c r="J35" s="212"/>
      <c r="K35" s="212"/>
      <c r="L35" s="212"/>
      <c r="M35" s="212"/>
      <c r="N35" s="212"/>
      <c r="O35" s="212"/>
      <c r="P35" s="212"/>
      <c r="Q35" s="213"/>
    </row>
    <row r="36" spans="6:17" x14ac:dyDescent="0.2">
      <c r="F36" s="211" t="s">
        <v>357</v>
      </c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3"/>
    </row>
    <row r="37" spans="6:17" x14ac:dyDescent="0.2">
      <c r="F37" s="211" t="s">
        <v>512</v>
      </c>
      <c r="G37" s="212" t="s">
        <v>513</v>
      </c>
      <c r="H37" s="212"/>
      <c r="I37" s="212"/>
      <c r="J37" s="212"/>
      <c r="K37" s="212"/>
      <c r="L37" s="212"/>
      <c r="M37" s="212"/>
      <c r="N37" s="212"/>
      <c r="O37" s="212"/>
      <c r="P37" s="212"/>
      <c r="Q37" s="213"/>
    </row>
    <row r="41" spans="6:17" x14ac:dyDescent="0.2">
      <c r="J41" s="558"/>
      <c r="K41" s="558"/>
      <c r="L41" s="558"/>
    </row>
    <row r="42" spans="6:17" x14ac:dyDescent="0.2">
      <c r="J42" s="558"/>
      <c r="K42" s="558"/>
      <c r="L42" s="558"/>
    </row>
    <row r="43" spans="6:17" x14ac:dyDescent="0.2">
      <c r="J43" s="558"/>
      <c r="K43" s="558"/>
      <c r="L43" s="558"/>
    </row>
    <row r="44" spans="6:17" x14ac:dyDescent="0.2">
      <c r="J44" s="558"/>
      <c r="K44" s="558"/>
      <c r="L44" s="558"/>
    </row>
  </sheetData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6">
    <tabColor theme="9" tint="0.39997558519241921"/>
  </sheetPr>
  <dimension ref="A1:W120"/>
  <sheetViews>
    <sheetView showGridLines="0" zoomScaleNormal="100" workbookViewId="0">
      <selection activeCell="E65" sqref="E65"/>
    </sheetView>
  </sheetViews>
  <sheetFormatPr defaultRowHeight="12" x14ac:dyDescent="0.2"/>
  <cols>
    <col min="1" max="1" width="9.1640625" style="386"/>
    <col min="2" max="2" width="21.1640625" customWidth="1"/>
    <col min="3" max="3" width="9.83203125" bestFit="1" customWidth="1"/>
    <col min="4" max="4" width="16" bestFit="1" customWidth="1"/>
    <col min="5" max="5" width="21.5" style="58" bestFit="1" customWidth="1"/>
    <col min="6" max="6" width="27.1640625" style="58" bestFit="1" customWidth="1"/>
    <col min="7" max="7" width="10.83203125" style="386" customWidth="1"/>
    <col min="8" max="8" width="12.6640625" customWidth="1"/>
    <col min="9" max="9" width="10.83203125" customWidth="1"/>
    <col min="12" max="12" width="10.83203125" customWidth="1"/>
    <col min="13" max="22" width="10.5" customWidth="1"/>
  </cols>
  <sheetData>
    <row r="1" spans="1:23" ht="18.75" x14ac:dyDescent="0.3">
      <c r="A1" s="31" t="str">
        <f>A_Name_Model</f>
        <v>Public Lighting Model</v>
      </c>
      <c r="B1" s="31"/>
      <c r="C1" s="31"/>
      <c r="D1" s="31"/>
      <c r="E1" s="31"/>
      <c r="F1"/>
    </row>
    <row r="2" spans="1:23" ht="16.5" thickBot="1" x14ac:dyDescent="0.3">
      <c r="A2" s="4" t="str">
        <f ca="1">RIGHT(CELL("filename",A2),LEN(CELL("filename",A2))-FIND("]",CELL("filename",A2)))</f>
        <v>Lists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75" thickTop="1" x14ac:dyDescent="0.2">
      <c r="A3" s="58"/>
      <c r="B3" s="58"/>
      <c r="C3" s="58"/>
      <c r="D3" s="58"/>
      <c r="F3"/>
    </row>
    <row r="4" spans="1:23" x14ac:dyDescent="0.2">
      <c r="B4" s="688" t="s">
        <v>494</v>
      </c>
      <c r="C4" s="145"/>
      <c r="D4" s="145"/>
      <c r="E4" s="145"/>
      <c r="F4" s="145"/>
      <c r="G4" s="145"/>
      <c r="H4" s="688" t="s">
        <v>1136</v>
      </c>
      <c r="I4" s="145"/>
      <c r="J4" s="688" t="s">
        <v>1137</v>
      </c>
      <c r="K4" s="688"/>
      <c r="L4" s="145"/>
      <c r="M4" s="688" t="s">
        <v>1138</v>
      </c>
      <c r="N4" s="145"/>
    </row>
    <row r="5" spans="1:23" s="58" customFormat="1" x14ac:dyDescent="0.2">
      <c r="A5" s="386"/>
      <c r="B5" s="82"/>
      <c r="G5" s="386"/>
    </row>
    <row r="6" spans="1:23" s="58" customFormat="1" x14ac:dyDescent="0.2">
      <c r="A6" s="386"/>
      <c r="B6" s="82"/>
      <c r="G6" s="386"/>
    </row>
    <row r="7" spans="1:23" x14ac:dyDescent="0.2">
      <c r="B7" s="58" t="s">
        <v>470</v>
      </c>
      <c r="C7" s="58" t="s">
        <v>174</v>
      </c>
      <c r="D7" t="s">
        <v>498</v>
      </c>
      <c r="E7" s="58" t="s">
        <v>497</v>
      </c>
      <c r="F7" s="58" t="s">
        <v>799</v>
      </c>
      <c r="H7" t="s">
        <v>163</v>
      </c>
      <c r="J7" t="s">
        <v>44</v>
      </c>
      <c r="K7" s="558" t="s">
        <v>1124</v>
      </c>
      <c r="M7" t="s">
        <v>1125</v>
      </c>
      <c r="N7" t="s">
        <v>1126</v>
      </c>
      <c r="O7" t="s">
        <v>1127</v>
      </c>
      <c r="P7" t="s">
        <v>1128</v>
      </c>
      <c r="Q7" t="s">
        <v>1129</v>
      </c>
      <c r="R7" t="s">
        <v>1130</v>
      </c>
      <c r="S7" t="s">
        <v>1131</v>
      </c>
      <c r="T7" t="s">
        <v>1132</v>
      </c>
      <c r="U7" t="s">
        <v>1133</v>
      </c>
      <c r="V7" t="s">
        <v>1134</v>
      </c>
    </row>
    <row r="8" spans="1:23" x14ac:dyDescent="0.2">
      <c r="B8" s="83" t="s">
        <v>159</v>
      </c>
      <c r="C8" s="58">
        <v>0</v>
      </c>
      <c r="H8" t="s">
        <v>52</v>
      </c>
      <c r="J8" t="s">
        <v>251</v>
      </c>
      <c r="K8" s="558" t="s">
        <v>1125</v>
      </c>
      <c r="M8" s="558" t="s">
        <v>1077</v>
      </c>
      <c r="N8" s="558" t="s">
        <v>1077</v>
      </c>
      <c r="O8" s="558" t="s">
        <v>1001</v>
      </c>
      <c r="P8" s="558" t="s">
        <v>1001</v>
      </c>
      <c r="Q8" s="558" t="s">
        <v>1001</v>
      </c>
      <c r="R8" s="558" t="s">
        <v>1001</v>
      </c>
      <c r="S8" s="558" t="s">
        <v>1001</v>
      </c>
      <c r="T8" s="558" t="s">
        <v>1001</v>
      </c>
      <c r="U8" s="558" t="s">
        <v>1001</v>
      </c>
      <c r="V8" s="558" t="s">
        <v>1001</v>
      </c>
    </row>
    <row r="9" spans="1:23" x14ac:dyDescent="0.2">
      <c r="B9" s="83" t="s">
        <v>213</v>
      </c>
      <c r="C9" s="58">
        <v>0</v>
      </c>
      <c r="H9" t="s">
        <v>78</v>
      </c>
      <c r="J9" t="s">
        <v>252</v>
      </c>
      <c r="K9" s="558" t="s">
        <v>1126</v>
      </c>
      <c r="M9" s="558" t="s">
        <v>1123</v>
      </c>
      <c r="N9" t="s">
        <v>1123</v>
      </c>
    </row>
    <row r="10" spans="1:23" x14ac:dyDescent="0.2">
      <c r="B10" s="83" t="s">
        <v>137</v>
      </c>
      <c r="C10" s="58">
        <v>0</v>
      </c>
      <c r="H10" t="s">
        <v>104</v>
      </c>
      <c r="J10" t="s">
        <v>253</v>
      </c>
      <c r="K10" s="558" t="s">
        <v>1127</v>
      </c>
      <c r="M10" s="558" t="s">
        <v>1001</v>
      </c>
      <c r="N10" t="s">
        <v>1001</v>
      </c>
    </row>
    <row r="11" spans="1:23" x14ac:dyDescent="0.2">
      <c r="B11" s="83" t="s">
        <v>210</v>
      </c>
      <c r="C11" s="58">
        <v>0</v>
      </c>
      <c r="H11" t="s">
        <v>51</v>
      </c>
      <c r="J11" t="s">
        <v>254</v>
      </c>
      <c r="K11" s="558" t="s">
        <v>1128</v>
      </c>
    </row>
    <row r="12" spans="1:23" x14ac:dyDescent="0.2">
      <c r="B12" s="83" t="s">
        <v>212</v>
      </c>
      <c r="C12" s="58">
        <v>0</v>
      </c>
      <c r="H12" t="s">
        <v>54</v>
      </c>
      <c r="J12" t="s">
        <v>255</v>
      </c>
      <c r="K12" s="558" t="s">
        <v>1129</v>
      </c>
    </row>
    <row r="13" spans="1:23" x14ac:dyDescent="0.2">
      <c r="B13" s="83" t="s">
        <v>211</v>
      </c>
      <c r="C13" s="58">
        <v>0</v>
      </c>
      <c r="H13" t="s">
        <v>49</v>
      </c>
      <c r="J13" t="s">
        <v>256</v>
      </c>
      <c r="K13" s="558" t="s">
        <v>1130</v>
      </c>
    </row>
    <row r="14" spans="1:23" x14ac:dyDescent="0.2">
      <c r="B14" s="83" t="s">
        <v>148</v>
      </c>
      <c r="C14" s="58">
        <v>0</v>
      </c>
      <c r="H14" t="s">
        <v>53</v>
      </c>
      <c r="J14" t="s">
        <v>257</v>
      </c>
      <c r="K14" s="558" t="s">
        <v>1131</v>
      </c>
      <c r="L14" s="558"/>
      <c r="M14" s="558"/>
      <c r="N14" s="558"/>
      <c r="O14" s="558"/>
    </row>
    <row r="15" spans="1:23" x14ac:dyDescent="0.2">
      <c r="B15" s="83" t="s">
        <v>150</v>
      </c>
      <c r="C15" s="58">
        <v>0</v>
      </c>
      <c r="J15" t="s">
        <v>258</v>
      </c>
      <c r="K15" s="558" t="s">
        <v>1132</v>
      </c>
      <c r="L15" s="558"/>
      <c r="M15" s="558"/>
      <c r="N15" s="558"/>
      <c r="O15" s="558"/>
    </row>
    <row r="16" spans="1:23" x14ac:dyDescent="0.2">
      <c r="B16" s="83" t="s">
        <v>151</v>
      </c>
      <c r="C16" s="58">
        <v>0</v>
      </c>
      <c r="J16" t="s">
        <v>259</v>
      </c>
      <c r="K16" s="558" t="s">
        <v>1133</v>
      </c>
      <c r="L16" s="558"/>
      <c r="M16" s="558"/>
      <c r="N16" s="558"/>
      <c r="O16" s="558"/>
    </row>
    <row r="17" spans="2:15" x14ac:dyDescent="0.2">
      <c r="B17" s="83" t="s">
        <v>152</v>
      </c>
      <c r="C17" s="58">
        <v>0</v>
      </c>
      <c r="J17" t="s">
        <v>260</v>
      </c>
      <c r="K17" s="558" t="s">
        <v>1134</v>
      </c>
      <c r="L17" s="558"/>
      <c r="M17" s="558"/>
      <c r="N17" s="558"/>
      <c r="O17" s="558"/>
    </row>
    <row r="18" spans="2:15" x14ac:dyDescent="0.2">
      <c r="B18" s="83" t="s">
        <v>214</v>
      </c>
      <c r="C18" s="58">
        <v>0</v>
      </c>
      <c r="L18" s="558"/>
      <c r="M18" s="558"/>
      <c r="N18" s="558"/>
      <c r="O18" s="558"/>
    </row>
    <row r="19" spans="2:15" x14ac:dyDescent="0.2">
      <c r="B19" s="83" t="s">
        <v>158</v>
      </c>
      <c r="C19" s="58">
        <v>0</v>
      </c>
      <c r="L19" s="558"/>
      <c r="M19" s="558"/>
      <c r="N19" s="558"/>
      <c r="O19" s="558"/>
    </row>
    <row r="20" spans="2:15" x14ac:dyDescent="0.2">
      <c r="B20" s="83" t="s">
        <v>471</v>
      </c>
      <c r="C20" s="58" t="s">
        <v>489</v>
      </c>
      <c r="D20" t="s">
        <v>469</v>
      </c>
    </row>
    <row r="21" spans="2:15" x14ac:dyDescent="0.2">
      <c r="B21" s="83" t="s">
        <v>133</v>
      </c>
      <c r="C21" s="58" t="s">
        <v>489</v>
      </c>
      <c r="D21" t="s">
        <v>469</v>
      </c>
    </row>
    <row r="22" spans="2:15" x14ac:dyDescent="0.2">
      <c r="B22" s="83" t="s">
        <v>77</v>
      </c>
      <c r="C22" s="58" t="s">
        <v>164</v>
      </c>
    </row>
    <row r="23" spans="2:15" x14ac:dyDescent="0.2">
      <c r="B23" s="83" t="s">
        <v>117</v>
      </c>
      <c r="C23" s="58" t="s">
        <v>164</v>
      </c>
    </row>
    <row r="24" spans="2:15" x14ac:dyDescent="0.2">
      <c r="B24" s="83" t="s">
        <v>205</v>
      </c>
      <c r="C24" s="58" t="s">
        <v>164</v>
      </c>
    </row>
    <row r="25" spans="2:15" x14ac:dyDescent="0.2">
      <c r="B25" s="83" t="s">
        <v>73</v>
      </c>
      <c r="C25" s="58" t="s">
        <v>172</v>
      </c>
    </row>
    <row r="26" spans="2:15" x14ac:dyDescent="0.2">
      <c r="B26" s="83" t="s">
        <v>106</v>
      </c>
      <c r="C26" s="58" t="s">
        <v>172</v>
      </c>
    </row>
    <row r="27" spans="2:15" x14ac:dyDescent="0.2">
      <c r="B27" s="83" t="s">
        <v>107</v>
      </c>
      <c r="C27" s="58" t="s">
        <v>172</v>
      </c>
    </row>
    <row r="28" spans="2:15" x14ac:dyDescent="0.2">
      <c r="B28" s="83" t="s">
        <v>110</v>
      </c>
      <c r="C28" s="58" t="s">
        <v>172</v>
      </c>
    </row>
    <row r="29" spans="2:15" x14ac:dyDescent="0.2">
      <c r="B29" s="83" t="s">
        <v>204</v>
      </c>
      <c r="C29" s="58" t="s">
        <v>172</v>
      </c>
    </row>
    <row r="30" spans="2:15" x14ac:dyDescent="0.2">
      <c r="B30" s="83" t="s">
        <v>203</v>
      </c>
      <c r="C30" s="58" t="s">
        <v>172</v>
      </c>
    </row>
    <row r="31" spans="2:15" x14ac:dyDescent="0.2">
      <c r="B31" s="83" t="s">
        <v>112</v>
      </c>
      <c r="C31" s="58" t="s">
        <v>172</v>
      </c>
    </row>
    <row r="32" spans="2:15" x14ac:dyDescent="0.2">
      <c r="B32" s="83" t="s">
        <v>206</v>
      </c>
      <c r="C32" s="58" t="s">
        <v>172</v>
      </c>
    </row>
    <row r="33" spans="2:6" x14ac:dyDescent="0.2">
      <c r="B33" s="83" t="s">
        <v>140</v>
      </c>
      <c r="C33" s="58" t="s">
        <v>172</v>
      </c>
    </row>
    <row r="34" spans="2:6" x14ac:dyDescent="0.2">
      <c r="B34" s="83" t="s">
        <v>483</v>
      </c>
      <c r="C34" s="58" t="s">
        <v>172</v>
      </c>
    </row>
    <row r="35" spans="2:6" x14ac:dyDescent="0.2">
      <c r="B35" s="83" t="s">
        <v>135</v>
      </c>
      <c r="C35" s="58" t="s">
        <v>172</v>
      </c>
    </row>
    <row r="36" spans="2:6" x14ac:dyDescent="0.2">
      <c r="B36" s="83" t="s">
        <v>145</v>
      </c>
      <c r="C36" s="58" t="s">
        <v>172</v>
      </c>
    </row>
    <row r="37" spans="2:6" x14ac:dyDescent="0.2">
      <c r="B37" s="83" t="s">
        <v>76</v>
      </c>
      <c r="C37" s="558" t="s">
        <v>161</v>
      </c>
      <c r="D37" s="558"/>
      <c r="E37" s="558"/>
      <c r="F37" s="558" t="s">
        <v>800</v>
      </c>
    </row>
    <row r="38" spans="2:6" x14ac:dyDescent="0.2">
      <c r="B38" s="83" t="s">
        <v>86</v>
      </c>
      <c r="C38" s="58" t="s">
        <v>161</v>
      </c>
      <c r="F38" s="58" t="s">
        <v>801</v>
      </c>
    </row>
    <row r="39" spans="2:6" x14ac:dyDescent="0.2">
      <c r="B39" s="83" t="s">
        <v>97</v>
      </c>
      <c r="C39" s="58" t="s">
        <v>161</v>
      </c>
      <c r="F39" s="58" t="s">
        <v>802</v>
      </c>
    </row>
    <row r="40" spans="2:6" x14ac:dyDescent="0.2">
      <c r="B40" s="83" t="s">
        <v>111</v>
      </c>
      <c r="C40" s="58" t="s">
        <v>161</v>
      </c>
      <c r="F40" s="58" t="s">
        <v>803</v>
      </c>
    </row>
    <row r="41" spans="2:6" x14ac:dyDescent="0.2">
      <c r="B41" s="83" t="s">
        <v>126</v>
      </c>
      <c r="C41" s="58" t="s">
        <v>161</v>
      </c>
      <c r="F41" s="58" t="s">
        <v>804</v>
      </c>
    </row>
    <row r="42" spans="2:6" x14ac:dyDescent="0.2">
      <c r="B42" s="83" t="s">
        <v>477</v>
      </c>
      <c r="C42" s="58" t="s">
        <v>161</v>
      </c>
      <c r="F42" s="58" t="s">
        <v>1158</v>
      </c>
    </row>
    <row r="43" spans="2:6" x14ac:dyDescent="0.2">
      <c r="B43" s="83" t="s">
        <v>478</v>
      </c>
      <c r="C43" s="58" t="s">
        <v>161</v>
      </c>
      <c r="F43" s="558" t="s">
        <v>1158</v>
      </c>
    </row>
    <row r="44" spans="2:6" x14ac:dyDescent="0.2">
      <c r="B44" s="83" t="s">
        <v>127</v>
      </c>
      <c r="C44" s="58" t="s">
        <v>161</v>
      </c>
      <c r="F44" s="58" t="s">
        <v>805</v>
      </c>
    </row>
    <row r="45" spans="2:6" x14ac:dyDescent="0.2">
      <c r="B45" s="83" t="s">
        <v>207</v>
      </c>
      <c r="C45" s="58" t="s">
        <v>161</v>
      </c>
    </row>
    <row r="46" spans="2:6" x14ac:dyDescent="0.2">
      <c r="B46" s="83" t="s">
        <v>132</v>
      </c>
      <c r="C46" s="58" t="s">
        <v>161</v>
      </c>
      <c r="F46" s="58" t="s">
        <v>806</v>
      </c>
    </row>
    <row r="47" spans="2:6" x14ac:dyDescent="0.2">
      <c r="B47" s="83" t="s">
        <v>138</v>
      </c>
      <c r="C47" s="58" t="s">
        <v>161</v>
      </c>
      <c r="F47" s="58" t="s">
        <v>807</v>
      </c>
    </row>
    <row r="48" spans="2:6" x14ac:dyDescent="0.2">
      <c r="B48" s="83" t="s">
        <v>139</v>
      </c>
      <c r="C48" s="58" t="s">
        <v>161</v>
      </c>
      <c r="F48" s="58" t="s">
        <v>808</v>
      </c>
    </row>
    <row r="49" spans="2:6" x14ac:dyDescent="0.2">
      <c r="B49" s="83" t="s">
        <v>144</v>
      </c>
      <c r="C49" s="58" t="s">
        <v>161</v>
      </c>
      <c r="F49" s="58" t="s">
        <v>809</v>
      </c>
    </row>
    <row r="50" spans="2:6" x14ac:dyDescent="0.2">
      <c r="B50" s="83" t="s">
        <v>147</v>
      </c>
      <c r="C50" s="58" t="s">
        <v>161</v>
      </c>
      <c r="F50" s="58" t="s">
        <v>810</v>
      </c>
    </row>
    <row r="51" spans="2:6" x14ac:dyDescent="0.2">
      <c r="B51" s="83" t="s">
        <v>94</v>
      </c>
      <c r="C51" s="58" t="s">
        <v>188</v>
      </c>
      <c r="F51" s="58" t="s">
        <v>811</v>
      </c>
    </row>
    <row r="52" spans="2:6" x14ac:dyDescent="0.2">
      <c r="B52" s="83" t="s">
        <v>101</v>
      </c>
      <c r="C52" s="58" t="s">
        <v>188</v>
      </c>
      <c r="F52" s="58" t="s">
        <v>812</v>
      </c>
    </row>
    <row r="53" spans="2:6" x14ac:dyDescent="0.2">
      <c r="B53" s="83" t="s">
        <v>105</v>
      </c>
      <c r="C53" s="58" t="s">
        <v>188</v>
      </c>
      <c r="F53" s="58" t="s">
        <v>813</v>
      </c>
    </row>
    <row r="54" spans="2:6" x14ac:dyDescent="0.2">
      <c r="B54" s="83" t="s">
        <v>114</v>
      </c>
      <c r="C54" s="58" t="s">
        <v>188</v>
      </c>
      <c r="F54" s="58" t="s">
        <v>814</v>
      </c>
    </row>
    <row r="55" spans="2:6" x14ac:dyDescent="0.2">
      <c r="B55" s="83" t="s">
        <v>116</v>
      </c>
      <c r="C55" s="58" t="s">
        <v>188</v>
      </c>
      <c r="F55" s="58" t="s">
        <v>815</v>
      </c>
    </row>
    <row r="56" spans="2:6" x14ac:dyDescent="0.2">
      <c r="B56" s="83" t="s">
        <v>121</v>
      </c>
      <c r="C56" s="58" t="s">
        <v>188</v>
      </c>
      <c r="F56" s="58" t="s">
        <v>816</v>
      </c>
    </row>
    <row r="57" spans="2:6" x14ac:dyDescent="0.2">
      <c r="B57" s="83" t="s">
        <v>122</v>
      </c>
      <c r="C57" s="58" t="s">
        <v>188</v>
      </c>
      <c r="F57" s="58" t="s">
        <v>817</v>
      </c>
    </row>
    <row r="58" spans="2:6" x14ac:dyDescent="0.2">
      <c r="B58" s="83" t="s">
        <v>123</v>
      </c>
      <c r="C58" s="58" t="s">
        <v>188</v>
      </c>
      <c r="F58" s="58" t="s">
        <v>818</v>
      </c>
    </row>
    <row r="59" spans="2:6" x14ac:dyDescent="0.2">
      <c r="B59" s="83" t="s">
        <v>124</v>
      </c>
      <c r="C59" s="58" t="s">
        <v>188</v>
      </c>
      <c r="F59" s="58" t="s">
        <v>819</v>
      </c>
    </row>
    <row r="60" spans="2:6" x14ac:dyDescent="0.2">
      <c r="B60" s="83" t="s">
        <v>141</v>
      </c>
      <c r="C60" s="58" t="s">
        <v>188</v>
      </c>
      <c r="F60" s="58" t="s">
        <v>820</v>
      </c>
    </row>
    <row r="61" spans="2:6" x14ac:dyDescent="0.2">
      <c r="B61" s="83" t="s">
        <v>142</v>
      </c>
      <c r="C61" s="58" t="s">
        <v>188</v>
      </c>
      <c r="F61" s="58" t="s">
        <v>821</v>
      </c>
    </row>
    <row r="62" spans="2:6" x14ac:dyDescent="0.2">
      <c r="B62" s="83" t="s">
        <v>143</v>
      </c>
      <c r="C62" s="58" t="s">
        <v>188</v>
      </c>
      <c r="F62" s="58" t="s">
        <v>822</v>
      </c>
    </row>
    <row r="63" spans="2:6" x14ac:dyDescent="0.2">
      <c r="B63" s="83" t="s">
        <v>146</v>
      </c>
      <c r="C63" s="58" t="s">
        <v>188</v>
      </c>
      <c r="F63" s="58" t="s">
        <v>823</v>
      </c>
    </row>
    <row r="64" spans="2:6" x14ac:dyDescent="0.2">
      <c r="B64" s="83" t="s">
        <v>149</v>
      </c>
      <c r="C64" s="58" t="s">
        <v>188</v>
      </c>
      <c r="F64" s="58" t="s">
        <v>824</v>
      </c>
    </row>
    <row r="65" spans="2:6" x14ac:dyDescent="0.2">
      <c r="B65" s="83" t="s">
        <v>160</v>
      </c>
      <c r="C65" s="58" t="s">
        <v>188</v>
      </c>
      <c r="F65" s="58" t="s">
        <v>825</v>
      </c>
    </row>
    <row r="66" spans="2:6" x14ac:dyDescent="0.2">
      <c r="B66" s="83" t="s">
        <v>80</v>
      </c>
      <c r="C66" s="58" t="s">
        <v>173</v>
      </c>
    </row>
    <row r="67" spans="2:6" x14ac:dyDescent="0.2">
      <c r="B67" s="83" t="s">
        <v>88</v>
      </c>
      <c r="C67" s="58" t="s">
        <v>173</v>
      </c>
    </row>
    <row r="68" spans="2:6" x14ac:dyDescent="0.2">
      <c r="B68" s="83" t="s">
        <v>134</v>
      </c>
      <c r="C68" s="58" t="s">
        <v>173</v>
      </c>
    </row>
    <row r="69" spans="2:6" x14ac:dyDescent="0.2">
      <c r="B69" s="83" t="s">
        <v>473</v>
      </c>
      <c r="C69" s="58" t="s">
        <v>486</v>
      </c>
      <c r="D69" t="s">
        <v>469</v>
      </c>
    </row>
    <row r="70" spans="2:6" x14ac:dyDescent="0.2">
      <c r="B70" s="83" t="s">
        <v>475</v>
      </c>
      <c r="C70" s="58" t="s">
        <v>486</v>
      </c>
      <c r="D70" t="s">
        <v>469</v>
      </c>
    </row>
    <row r="71" spans="2:6" x14ac:dyDescent="0.2">
      <c r="B71" s="83" t="s">
        <v>79</v>
      </c>
      <c r="C71" s="58" t="s">
        <v>193</v>
      </c>
    </row>
    <row r="72" spans="2:6" x14ac:dyDescent="0.2">
      <c r="B72" s="83" t="s">
        <v>92</v>
      </c>
      <c r="C72" s="58" t="s">
        <v>193</v>
      </c>
    </row>
    <row r="73" spans="2:6" x14ac:dyDescent="0.2">
      <c r="B73" s="83" t="s">
        <v>99</v>
      </c>
      <c r="C73" s="58" t="s">
        <v>193</v>
      </c>
    </row>
    <row r="74" spans="2:6" x14ac:dyDescent="0.2">
      <c r="B74" s="83" t="s">
        <v>113</v>
      </c>
      <c r="C74" s="58" t="s">
        <v>193</v>
      </c>
    </row>
    <row r="75" spans="2:6" x14ac:dyDescent="0.2">
      <c r="B75" s="83" t="s">
        <v>476</v>
      </c>
      <c r="C75" s="58" t="s">
        <v>193</v>
      </c>
    </row>
    <row r="76" spans="2:6" x14ac:dyDescent="0.2">
      <c r="B76" s="83" t="s">
        <v>129</v>
      </c>
      <c r="C76" s="58" t="s">
        <v>193</v>
      </c>
    </row>
    <row r="77" spans="2:6" x14ac:dyDescent="0.2">
      <c r="B77" s="83" t="s">
        <v>484</v>
      </c>
      <c r="C77" s="58" t="s">
        <v>193</v>
      </c>
    </row>
    <row r="78" spans="2:6" x14ac:dyDescent="0.2">
      <c r="B78" s="83" t="s">
        <v>82</v>
      </c>
      <c r="C78" s="58" t="s">
        <v>167</v>
      </c>
    </row>
    <row r="79" spans="2:6" x14ac:dyDescent="0.2">
      <c r="B79" s="83" t="s">
        <v>481</v>
      </c>
      <c r="C79" s="58" t="s">
        <v>167</v>
      </c>
    </row>
    <row r="80" spans="2:6" x14ac:dyDescent="0.2">
      <c r="B80" s="83" t="s">
        <v>75</v>
      </c>
      <c r="C80" s="58" t="s">
        <v>168</v>
      </c>
    </row>
    <row r="81" spans="2:3" x14ac:dyDescent="0.2">
      <c r="B81" s="83" t="s">
        <v>479</v>
      </c>
      <c r="C81" s="58" t="s">
        <v>168</v>
      </c>
    </row>
    <row r="82" spans="2:3" x14ac:dyDescent="0.2">
      <c r="B82" s="83" t="s">
        <v>98</v>
      </c>
      <c r="C82" s="58" t="s">
        <v>169</v>
      </c>
    </row>
    <row r="83" spans="2:3" x14ac:dyDescent="0.2">
      <c r="B83" s="83" t="s">
        <v>102</v>
      </c>
      <c r="C83" s="58" t="s">
        <v>169</v>
      </c>
    </row>
    <row r="84" spans="2:3" x14ac:dyDescent="0.2">
      <c r="B84" s="83" t="s">
        <v>84</v>
      </c>
      <c r="C84" s="58" t="s">
        <v>170</v>
      </c>
    </row>
    <row r="85" spans="2:3" x14ac:dyDescent="0.2">
      <c r="B85" s="83" t="s">
        <v>85</v>
      </c>
      <c r="C85" s="58" t="s">
        <v>170</v>
      </c>
    </row>
    <row r="86" spans="2:3" x14ac:dyDescent="0.2">
      <c r="B86" s="83" t="s">
        <v>90</v>
      </c>
      <c r="C86" s="58" t="s">
        <v>170</v>
      </c>
    </row>
    <row r="87" spans="2:3" x14ac:dyDescent="0.2">
      <c r="B87" s="83" t="s">
        <v>100</v>
      </c>
      <c r="C87" s="58" t="s">
        <v>170</v>
      </c>
    </row>
    <row r="88" spans="2:3" x14ac:dyDescent="0.2">
      <c r="B88" s="83" t="s">
        <v>109</v>
      </c>
      <c r="C88" s="58" t="s">
        <v>170</v>
      </c>
    </row>
    <row r="89" spans="2:3" x14ac:dyDescent="0.2">
      <c r="B89" s="83" t="s">
        <v>209</v>
      </c>
      <c r="C89" s="58" t="s">
        <v>170</v>
      </c>
    </row>
    <row r="90" spans="2:3" x14ac:dyDescent="0.2">
      <c r="B90" s="83" t="s">
        <v>208</v>
      </c>
      <c r="C90" s="58" t="s">
        <v>170</v>
      </c>
    </row>
    <row r="91" spans="2:3" x14ac:dyDescent="0.2">
      <c r="B91" s="83" t="s">
        <v>130</v>
      </c>
      <c r="C91" s="58" t="s">
        <v>170</v>
      </c>
    </row>
    <row r="92" spans="2:3" x14ac:dyDescent="0.2">
      <c r="B92" s="83" t="s">
        <v>136</v>
      </c>
      <c r="C92" s="58" t="s">
        <v>170</v>
      </c>
    </row>
    <row r="93" spans="2:3" x14ac:dyDescent="0.2">
      <c r="B93" s="83" t="s">
        <v>153</v>
      </c>
      <c r="C93" s="58" t="s">
        <v>170</v>
      </c>
    </row>
    <row r="94" spans="2:3" x14ac:dyDescent="0.2">
      <c r="B94" s="83" t="s">
        <v>154</v>
      </c>
      <c r="C94" s="58" t="s">
        <v>170</v>
      </c>
    </row>
    <row r="95" spans="2:3" x14ac:dyDescent="0.2">
      <c r="B95" s="83" t="s">
        <v>155</v>
      </c>
      <c r="C95" s="58" t="s">
        <v>170</v>
      </c>
    </row>
    <row r="96" spans="2:3" x14ac:dyDescent="0.2">
      <c r="B96" s="83" t="s">
        <v>156</v>
      </c>
      <c r="C96" s="58" t="s">
        <v>170</v>
      </c>
    </row>
    <row r="97" spans="2:5" x14ac:dyDescent="0.2">
      <c r="B97" s="83" t="s">
        <v>157</v>
      </c>
      <c r="C97" s="58" t="s">
        <v>170</v>
      </c>
    </row>
    <row r="98" spans="2:5" x14ac:dyDescent="0.2">
      <c r="B98" s="83" t="s">
        <v>74</v>
      </c>
      <c r="C98" s="58" t="s">
        <v>171</v>
      </c>
    </row>
    <row r="99" spans="2:5" x14ac:dyDescent="0.2">
      <c r="B99" s="83" t="s">
        <v>472</v>
      </c>
      <c r="C99" s="58" t="s">
        <v>487</v>
      </c>
      <c r="D99" t="s">
        <v>469</v>
      </c>
    </row>
    <row r="100" spans="2:5" x14ac:dyDescent="0.2">
      <c r="B100" s="83" t="s">
        <v>91</v>
      </c>
      <c r="C100" s="58" t="s">
        <v>488</v>
      </c>
    </row>
    <row r="101" spans="2:5" x14ac:dyDescent="0.2">
      <c r="B101" s="83" t="s">
        <v>108</v>
      </c>
      <c r="C101" s="58" t="s">
        <v>488</v>
      </c>
    </row>
    <row r="102" spans="2:5" x14ac:dyDescent="0.2">
      <c r="B102" s="83" t="s">
        <v>474</v>
      </c>
      <c r="C102" s="58" t="s">
        <v>488</v>
      </c>
    </row>
    <row r="103" spans="2:5" x14ac:dyDescent="0.2">
      <c r="B103" s="83" t="s">
        <v>115</v>
      </c>
      <c r="C103" s="58" t="s">
        <v>488</v>
      </c>
    </row>
    <row r="104" spans="2:5" x14ac:dyDescent="0.2">
      <c r="B104" s="83" t="s">
        <v>118</v>
      </c>
      <c r="C104" t="s">
        <v>488</v>
      </c>
    </row>
    <row r="105" spans="2:5" x14ac:dyDescent="0.2">
      <c r="B105" s="83" t="s">
        <v>120</v>
      </c>
      <c r="C105" t="s">
        <v>488</v>
      </c>
    </row>
    <row r="106" spans="2:5" x14ac:dyDescent="0.2">
      <c r="B106" s="83" t="s">
        <v>125</v>
      </c>
      <c r="C106" t="s">
        <v>488</v>
      </c>
    </row>
    <row r="107" spans="2:5" x14ac:dyDescent="0.2">
      <c r="B107" s="83" t="s">
        <v>128</v>
      </c>
      <c r="C107" t="s">
        <v>488</v>
      </c>
    </row>
    <row r="108" spans="2:5" x14ac:dyDescent="0.2">
      <c r="B108" s="83" t="s">
        <v>131</v>
      </c>
      <c r="C108" t="s">
        <v>488</v>
      </c>
    </row>
    <row r="109" spans="2:5" x14ac:dyDescent="0.2">
      <c r="B109" s="83" t="s">
        <v>482</v>
      </c>
      <c r="C109" t="s">
        <v>488</v>
      </c>
    </row>
    <row r="110" spans="2:5" x14ac:dyDescent="0.2">
      <c r="B110" s="83" t="s">
        <v>87</v>
      </c>
      <c r="C110" t="s">
        <v>165</v>
      </c>
      <c r="E110" s="58" t="s">
        <v>485</v>
      </c>
    </row>
    <row r="111" spans="2:5" x14ac:dyDescent="0.2">
      <c r="B111" s="83" t="s">
        <v>93</v>
      </c>
      <c r="C111" t="s">
        <v>165</v>
      </c>
      <c r="E111" s="58" t="s">
        <v>485</v>
      </c>
    </row>
    <row r="112" spans="2:5" x14ac:dyDescent="0.2">
      <c r="B112" s="83" t="s">
        <v>480</v>
      </c>
      <c r="C112" t="s">
        <v>165</v>
      </c>
      <c r="E112" s="58" t="s">
        <v>485</v>
      </c>
    </row>
    <row r="113" spans="2:6" x14ac:dyDescent="0.2">
      <c r="B113" s="83" t="s">
        <v>81</v>
      </c>
      <c r="C113" t="s">
        <v>166</v>
      </c>
      <c r="E113" s="58" t="s">
        <v>485</v>
      </c>
    </row>
    <row r="114" spans="2:6" x14ac:dyDescent="0.2">
      <c r="B114" s="83" t="s">
        <v>95</v>
      </c>
      <c r="C114" t="s">
        <v>166</v>
      </c>
      <c r="E114" s="58" t="s">
        <v>485</v>
      </c>
    </row>
    <row r="115" spans="2:6" x14ac:dyDescent="0.2">
      <c r="B115" s="83" t="s">
        <v>96</v>
      </c>
      <c r="C115" t="s">
        <v>166</v>
      </c>
      <c r="E115" s="58" t="s">
        <v>485</v>
      </c>
    </row>
    <row r="116" spans="2:6" x14ac:dyDescent="0.2">
      <c r="B116" s="83" t="s">
        <v>1089</v>
      </c>
      <c r="C116" s="558" t="s">
        <v>188</v>
      </c>
      <c r="D116" s="558"/>
      <c r="E116" s="558"/>
      <c r="F116" s="558" t="s">
        <v>1157</v>
      </c>
    </row>
    <row r="117" spans="2:6" x14ac:dyDescent="0.2">
      <c r="B117" s="83" t="s">
        <v>1159</v>
      </c>
      <c r="C117" s="558" t="s">
        <v>161</v>
      </c>
      <c r="D117" s="558"/>
      <c r="E117" s="558"/>
      <c r="F117" s="558" t="s">
        <v>1160</v>
      </c>
    </row>
    <row r="118" spans="2:6" x14ac:dyDescent="0.2">
      <c r="B118" s="83" t="s">
        <v>1161</v>
      </c>
      <c r="C118" s="558" t="s">
        <v>188</v>
      </c>
      <c r="D118" s="558"/>
      <c r="E118" s="558"/>
      <c r="F118" s="558" t="s">
        <v>1162</v>
      </c>
    </row>
    <row r="119" spans="2:6" x14ac:dyDescent="0.2">
      <c r="B119" s="83" t="s">
        <v>1163</v>
      </c>
      <c r="C119" s="558" t="s">
        <v>188</v>
      </c>
      <c r="D119" s="558"/>
      <c r="E119" s="558"/>
      <c r="F119" s="558" t="s">
        <v>1164</v>
      </c>
    </row>
    <row r="120" spans="2:6" x14ac:dyDescent="0.2">
      <c r="B120" s="83" t="s">
        <v>1165</v>
      </c>
      <c r="C120" s="558" t="s">
        <v>188</v>
      </c>
      <c r="D120" s="558"/>
      <c r="E120" s="558"/>
      <c r="F120" s="558" t="s">
        <v>1166</v>
      </c>
    </row>
  </sheetData>
  <sortState ref="P6:Q114">
    <sortCondition ref="P6:P114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19">
    <tabColor theme="6" tint="0.39997558519241921"/>
  </sheetPr>
  <dimension ref="A1:I48"/>
  <sheetViews>
    <sheetView showGridLines="0" workbookViewId="0">
      <selection activeCell="N43" sqref="N43"/>
    </sheetView>
  </sheetViews>
  <sheetFormatPr defaultRowHeight="12" x14ac:dyDescent="0.2"/>
  <cols>
    <col min="2" max="2" width="12.5" customWidth="1"/>
    <col min="3" max="6" width="14.83203125" customWidth="1"/>
    <col min="7" max="8" width="21.5" bestFit="1" customWidth="1"/>
  </cols>
  <sheetData>
    <row r="1" spans="1:9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  <c r="H1" s="58"/>
      <c r="I1" s="58"/>
    </row>
    <row r="2" spans="1:9" ht="16.5" thickBot="1" x14ac:dyDescent="0.3">
      <c r="A2" s="4" t="str">
        <f ca="1">RIGHT(CELL("filename",A2),LEN(CELL("filename",A2))-FIND("]",CELL("filename",A2)))</f>
        <v>CableFault_Data</v>
      </c>
      <c r="B2" s="4"/>
      <c r="C2" s="60"/>
      <c r="D2" s="60" t="s">
        <v>217</v>
      </c>
      <c r="E2" s="4"/>
      <c r="F2" s="4"/>
      <c r="G2" s="4"/>
      <c r="H2" s="4"/>
      <c r="I2" s="4"/>
    </row>
    <row r="3" spans="1:9" ht="12.75" thickTop="1" x14ac:dyDescent="0.2">
      <c r="A3" s="58"/>
      <c r="B3" s="58"/>
      <c r="C3" s="58"/>
      <c r="D3" s="58"/>
      <c r="E3" s="58"/>
      <c r="F3" s="58"/>
      <c r="G3" s="58"/>
      <c r="H3" s="58"/>
      <c r="I3" s="58"/>
    </row>
    <row r="4" spans="1:9" s="58" customFormat="1" x14ac:dyDescent="0.2"/>
    <row r="5" spans="1:9" s="58" customFormat="1" ht="12.75" x14ac:dyDescent="0.2">
      <c r="B5" s="5" t="s">
        <v>264</v>
      </c>
    </row>
    <row r="6" spans="1:9" x14ac:dyDescent="0.2">
      <c r="A6" s="58"/>
      <c r="B6" s="62" t="s">
        <v>71</v>
      </c>
      <c r="C6" s="58" t="s">
        <v>223</v>
      </c>
      <c r="D6" s="58"/>
      <c r="E6" s="58"/>
      <c r="F6" s="58"/>
      <c r="G6" s="58"/>
      <c r="H6" s="58"/>
      <c r="I6" s="58"/>
    </row>
    <row r="7" spans="1:9" x14ac:dyDescent="0.2">
      <c r="A7" s="58"/>
      <c r="B7" s="62" t="s">
        <v>265</v>
      </c>
      <c r="C7" s="58" t="s">
        <v>266</v>
      </c>
      <c r="D7" s="58"/>
      <c r="E7" s="58"/>
      <c r="F7" s="58"/>
      <c r="G7" s="58"/>
      <c r="H7" s="58"/>
      <c r="I7" s="58"/>
    </row>
    <row r="8" spans="1:9" x14ac:dyDescent="0.2">
      <c r="B8" s="62" t="s">
        <v>162</v>
      </c>
      <c r="C8" s="58" t="s">
        <v>222</v>
      </c>
    </row>
    <row r="9" spans="1:9" x14ac:dyDescent="0.2">
      <c r="B9" s="62" t="s">
        <v>163</v>
      </c>
      <c r="C9" s="58" t="s">
        <v>327</v>
      </c>
    </row>
    <row r="11" spans="1:9" x14ac:dyDescent="0.2">
      <c r="B11" s="68" t="s">
        <v>174</v>
      </c>
      <c r="C11" s="69" t="s">
        <v>267</v>
      </c>
      <c r="D11" s="69" t="s">
        <v>268</v>
      </c>
      <c r="E11" s="69" t="s">
        <v>269</v>
      </c>
      <c r="F11" s="69" t="s">
        <v>218</v>
      </c>
      <c r="G11" s="69" t="s">
        <v>270</v>
      </c>
    </row>
    <row r="12" spans="1:9" x14ac:dyDescent="0.2">
      <c r="B12" t="s">
        <v>271</v>
      </c>
      <c r="C12" s="133">
        <v>54</v>
      </c>
      <c r="D12" s="133">
        <v>81</v>
      </c>
      <c r="E12" s="133">
        <v>141</v>
      </c>
      <c r="F12" s="133">
        <v>91</v>
      </c>
      <c r="G12" s="133">
        <v>91.75</v>
      </c>
    </row>
    <row r="13" spans="1:9" x14ac:dyDescent="0.2">
      <c r="B13" t="s">
        <v>272</v>
      </c>
      <c r="C13" s="133">
        <v>58</v>
      </c>
      <c r="D13" s="133">
        <v>96</v>
      </c>
      <c r="E13" s="133">
        <v>159</v>
      </c>
      <c r="F13" s="133">
        <v>73</v>
      </c>
      <c r="G13" s="133">
        <v>96.5</v>
      </c>
    </row>
    <row r="14" spans="1:9" x14ac:dyDescent="0.2">
      <c r="B14" t="s">
        <v>273</v>
      </c>
      <c r="C14" s="133">
        <v>84</v>
      </c>
      <c r="D14" s="133">
        <v>76</v>
      </c>
      <c r="E14" s="133">
        <v>172</v>
      </c>
      <c r="F14" s="133">
        <v>78</v>
      </c>
      <c r="G14" s="133">
        <v>102.5</v>
      </c>
    </row>
    <row r="15" spans="1:9" x14ac:dyDescent="0.2">
      <c r="B15" t="s">
        <v>274</v>
      </c>
      <c r="C15" s="133">
        <v>111</v>
      </c>
      <c r="D15" s="133">
        <v>122</v>
      </c>
      <c r="E15" s="133">
        <v>125</v>
      </c>
      <c r="F15" s="133">
        <v>204</v>
      </c>
      <c r="G15" s="133">
        <v>140.5</v>
      </c>
    </row>
    <row r="16" spans="1:9" x14ac:dyDescent="0.2">
      <c r="B16" t="s">
        <v>275</v>
      </c>
      <c r="C16" s="133">
        <v>112</v>
      </c>
      <c r="D16" s="133">
        <v>68</v>
      </c>
      <c r="E16" s="133">
        <v>154</v>
      </c>
      <c r="F16" s="133">
        <v>145</v>
      </c>
      <c r="G16" s="133">
        <v>119.75</v>
      </c>
    </row>
    <row r="17" spans="1:9" x14ac:dyDescent="0.2">
      <c r="B17" t="s">
        <v>276</v>
      </c>
      <c r="C17" s="133">
        <v>72</v>
      </c>
      <c r="D17" s="133">
        <v>101</v>
      </c>
      <c r="E17" s="133">
        <v>110</v>
      </c>
      <c r="F17" s="133">
        <v>96</v>
      </c>
      <c r="G17" s="133">
        <v>94.75</v>
      </c>
    </row>
    <row r="18" spans="1:9" x14ac:dyDescent="0.2">
      <c r="B18" t="s">
        <v>277</v>
      </c>
      <c r="C18" s="133">
        <v>73</v>
      </c>
      <c r="D18" s="133">
        <v>167</v>
      </c>
      <c r="E18" s="133">
        <v>145</v>
      </c>
      <c r="F18" s="133">
        <v>81</v>
      </c>
      <c r="G18" s="133">
        <v>116.5</v>
      </c>
    </row>
    <row r="19" spans="1:9" x14ac:dyDescent="0.2">
      <c r="B19" t="s">
        <v>278</v>
      </c>
      <c r="C19" s="133">
        <v>114</v>
      </c>
      <c r="D19" s="133">
        <v>214</v>
      </c>
      <c r="E19" s="133">
        <v>215</v>
      </c>
      <c r="F19" s="133">
        <v>71</v>
      </c>
      <c r="G19" s="133">
        <v>153.5</v>
      </c>
    </row>
    <row r="20" spans="1:9" x14ac:dyDescent="0.2">
      <c r="B20" t="s">
        <v>279</v>
      </c>
      <c r="C20" s="133">
        <v>52</v>
      </c>
      <c r="D20" s="133">
        <v>174</v>
      </c>
      <c r="E20" s="133">
        <v>130</v>
      </c>
      <c r="F20" s="133">
        <v>0</v>
      </c>
      <c r="G20" s="133">
        <v>118.66666666666667</v>
      </c>
    </row>
    <row r="21" spans="1:9" x14ac:dyDescent="0.2">
      <c r="B21" t="s">
        <v>280</v>
      </c>
      <c r="C21" s="133">
        <v>90</v>
      </c>
      <c r="D21" s="133">
        <v>212</v>
      </c>
      <c r="E21" s="133">
        <v>86</v>
      </c>
      <c r="F21" s="133">
        <v>0</v>
      </c>
      <c r="G21" s="133">
        <v>129.33333333333334</v>
      </c>
    </row>
    <row r="22" spans="1:9" x14ac:dyDescent="0.2">
      <c r="B22" t="s">
        <v>281</v>
      </c>
      <c r="C22" s="133">
        <v>74</v>
      </c>
      <c r="D22" s="133">
        <v>111</v>
      </c>
      <c r="E22" s="133">
        <v>79</v>
      </c>
      <c r="F22" s="133">
        <v>0</v>
      </c>
      <c r="G22" s="133">
        <v>88</v>
      </c>
    </row>
    <row r="23" spans="1:9" x14ac:dyDescent="0.2">
      <c r="B23" t="s">
        <v>282</v>
      </c>
      <c r="C23" s="133">
        <v>51</v>
      </c>
      <c r="D23" s="133">
        <v>107</v>
      </c>
      <c r="E23" s="133">
        <v>97</v>
      </c>
      <c r="F23" s="133">
        <v>0</v>
      </c>
      <c r="G23" s="133">
        <v>85</v>
      </c>
    </row>
    <row r="24" spans="1:9" x14ac:dyDescent="0.2">
      <c r="B24" s="58" t="s">
        <v>216</v>
      </c>
      <c r="C24" s="134">
        <f>SUBTOTAL(109,CableFault_Data[2015])</f>
        <v>945</v>
      </c>
      <c r="D24" s="134">
        <f>SUBTOTAL(109,CableFault_Data[2016])</f>
        <v>1529</v>
      </c>
      <c r="E24" s="134">
        <f>SUBTOTAL(109,CableFault_Data[2017])</f>
        <v>1613</v>
      </c>
      <c r="F24" s="134">
        <f>SUBTOTAL(109,CableFault_Data[2018])</f>
        <v>839</v>
      </c>
      <c r="G24" s="134">
        <f>SUBTOTAL(109,CableFault_Data[Average])</f>
        <v>1336.75</v>
      </c>
    </row>
    <row r="28" spans="1:9" ht="16.5" thickBot="1" x14ac:dyDescent="0.3">
      <c r="A28" s="4" t="s">
        <v>325</v>
      </c>
      <c r="B28" s="4"/>
      <c r="C28" s="60"/>
      <c r="D28" s="60"/>
      <c r="E28" s="60" t="s">
        <v>261</v>
      </c>
      <c r="F28" s="4"/>
      <c r="G28" s="4"/>
      <c r="H28" s="4"/>
      <c r="I28" s="4"/>
    </row>
    <row r="29" spans="1:9" ht="12.75" thickTop="1" x14ac:dyDescent="0.2">
      <c r="A29" s="58"/>
      <c r="B29" s="58"/>
      <c r="C29" s="58"/>
      <c r="D29" s="58"/>
      <c r="E29" s="58"/>
      <c r="F29" s="58"/>
      <c r="G29" s="58"/>
      <c r="H29" s="58"/>
      <c r="I29" s="58"/>
    </row>
    <row r="30" spans="1:9" x14ac:dyDescent="0.2">
      <c r="A30" s="58"/>
      <c r="B30" s="58" t="s">
        <v>219</v>
      </c>
      <c r="C30" s="45" t="s">
        <v>51</v>
      </c>
      <c r="D30" s="45" t="s">
        <v>53</v>
      </c>
      <c r="E30" s="45" t="s">
        <v>328</v>
      </c>
      <c r="F30" s="45" t="s">
        <v>54</v>
      </c>
      <c r="G30" s="45" t="s">
        <v>49</v>
      </c>
      <c r="H30" s="45" t="s">
        <v>326</v>
      </c>
    </row>
    <row r="31" spans="1:9" x14ac:dyDescent="0.2">
      <c r="A31" s="58"/>
      <c r="B31" s="58" t="s">
        <v>164</v>
      </c>
      <c r="C31" s="93">
        <f>HLOOKUP(SLO_Equipt_tbl22[[#Headers],[PLC]],Equipt_Data_Import[#All],MATCH(SLO_Equipt_tbl22[[#This Row],[Base Lamp]:[Base Lamp]],Equipt_Data_Import[[#All],[Base Lamp]],0),FALSE)</f>
        <v>0</v>
      </c>
      <c r="D31" s="93">
        <f>HLOOKUP(SLO_Equipt_tbl22[[#Headers],[TFI]],Equipt_Data_Import[#All],MATCH(SLO_Equipt_tbl22[[#This Row],[Base Lamp]:[Base Lamp]],Equipt_Data_Import[[#All],[Base Lamp]],0),FALSE)</f>
        <v>0</v>
      </c>
      <c r="E31" s="94">
        <f>SLO_Equipt_tbl22[[#This Row],[PLC]]+SLO_Equipt_tbl22[[#This Row],[TFI]]</f>
        <v>0</v>
      </c>
      <c r="F31" s="93">
        <f>HLOOKUP(SLO_Equipt_tbl22[[#Headers],[SAPN]],Equipt_Data_Import[#All],MATCH(SLO_Equipt_tbl22[[#This Row],[Base Lamp]:[Base Lamp]],Equipt_Data_Import[[#All],[Base Lamp]],0),FALSE)</f>
        <v>0</v>
      </c>
      <c r="G31" s="93">
        <f>HLOOKUP(SLO_Equipt_tbl22[[#Headers],[SLUOS]],Equipt_Data_Import[#All],MATCH(SLO_Equipt_tbl22[[#This Row],[Base Lamp]:[Base Lamp]],Equipt_Data_Import[[#All],[Base Lamp]],0),FALSE)</f>
        <v>8524</v>
      </c>
      <c r="H31" s="95">
        <f>SUM(SLO_Equipt_tbl22[[#This Row],[PLC &amp; TFI]:[SLUOS]])</f>
        <v>8524</v>
      </c>
    </row>
    <row r="32" spans="1:9" x14ac:dyDescent="0.2">
      <c r="A32" s="58"/>
      <c r="B32" s="58" t="s">
        <v>489</v>
      </c>
      <c r="C32" s="93">
        <f>HLOOKUP(SLO_Equipt_tbl22[[#Headers],[PLC]],Equipt_Data_Import[#All],MATCH(SLO_Equipt_tbl22[[#This Row],[Base Lamp]:[Base Lamp]],Equipt_Data_Import[[#All],[Base Lamp]],0),FALSE)</f>
        <v>0</v>
      </c>
      <c r="D32" s="93">
        <f>HLOOKUP(SLO_Equipt_tbl22[[#Headers],[TFI]],Equipt_Data_Import[#All],MATCH(SLO_Equipt_tbl22[[#This Row],[Base Lamp]:[Base Lamp]],Equipt_Data_Import[[#All],[Base Lamp]],0),FALSE)</f>
        <v>0</v>
      </c>
      <c r="E32" s="94">
        <f>SLO_Equipt_tbl22[[#This Row],[PLC]]+SLO_Equipt_tbl22[[#This Row],[TFI]]</f>
        <v>0</v>
      </c>
      <c r="F32" s="93">
        <f>HLOOKUP(SLO_Equipt_tbl22[[#Headers],[SAPN]],Equipt_Data_Import[#All],MATCH(SLO_Equipt_tbl22[[#This Row],[Base Lamp]:[Base Lamp]],Equipt_Data_Import[[#All],[Base Lamp]],0),FALSE)</f>
        <v>0</v>
      </c>
      <c r="G32" s="93">
        <f>HLOOKUP(SLO_Equipt_tbl22[[#Headers],[SLUOS]],Equipt_Data_Import[#All],MATCH(SLO_Equipt_tbl22[[#This Row],[Base Lamp]:[Base Lamp]],Equipt_Data_Import[[#All],[Base Lamp]],0),FALSE)</f>
        <v>265</v>
      </c>
      <c r="H32" s="95">
        <f>SUM(SLO_Equipt_tbl22[[#This Row],[PLC &amp; TFI]:[SLUOS]])</f>
        <v>265</v>
      </c>
    </row>
    <row r="33" spans="1:8" x14ac:dyDescent="0.2">
      <c r="A33" s="58"/>
      <c r="B33" s="58" t="s">
        <v>172</v>
      </c>
      <c r="C33" s="93">
        <f>HLOOKUP(SLO_Equipt_tbl22[[#Headers],[PLC]],Equipt_Data_Import[#All],MATCH(SLO_Equipt_tbl22[[#This Row],[Base Lamp]:[Base Lamp]],Equipt_Data_Import[[#All],[Base Lamp]],0),FALSE)</f>
        <v>0</v>
      </c>
      <c r="D33" s="93">
        <f>HLOOKUP(SLO_Equipt_tbl22[[#Headers],[TFI]],Equipt_Data_Import[#All],MATCH(SLO_Equipt_tbl22[[#This Row],[Base Lamp]:[Base Lamp]],Equipt_Data_Import[[#All],[Base Lamp]],0),FALSE)</f>
        <v>0</v>
      </c>
      <c r="E33" s="94">
        <f>SLO_Equipt_tbl22[[#This Row],[PLC]]+SLO_Equipt_tbl22[[#This Row],[TFI]]</f>
        <v>0</v>
      </c>
      <c r="F33" s="93">
        <f>HLOOKUP(SLO_Equipt_tbl22[[#Headers],[SAPN]],Equipt_Data_Import[#All],MATCH(SLO_Equipt_tbl22[[#This Row],[Base Lamp]:[Base Lamp]],Equipt_Data_Import[[#All],[Base Lamp]],0),FALSE)</f>
        <v>0</v>
      </c>
      <c r="G33" s="93">
        <f>HLOOKUP(SLO_Equipt_tbl22[[#Headers],[SLUOS]],Equipt_Data_Import[#All],MATCH(SLO_Equipt_tbl22[[#This Row],[Base Lamp]:[Base Lamp]],Equipt_Data_Import[[#All],[Base Lamp]],0),FALSE)</f>
        <v>13561</v>
      </c>
      <c r="H33" s="95">
        <f>SUM(SLO_Equipt_tbl22[[#This Row],[PLC &amp; TFI]:[SLUOS]])</f>
        <v>13561</v>
      </c>
    </row>
    <row r="34" spans="1:8" x14ac:dyDescent="0.2">
      <c r="A34" s="58"/>
      <c r="B34" s="58" t="s">
        <v>161</v>
      </c>
      <c r="C34" s="93">
        <f>HLOOKUP(SLO_Equipt_tbl22[[#Headers],[PLC]],Equipt_Data_Import[#All],MATCH(SLO_Equipt_tbl22[[#This Row],[Base Lamp]:[Base Lamp]],Equipt_Data_Import[[#All],[Base Lamp]],0),FALSE)</f>
        <v>7305</v>
      </c>
      <c r="D34" s="93">
        <f>HLOOKUP(SLO_Equipt_tbl22[[#Headers],[TFI]],Equipt_Data_Import[#All],MATCH(SLO_Equipt_tbl22[[#This Row],[Base Lamp]:[Base Lamp]],Equipt_Data_Import[[#All],[Base Lamp]],0),FALSE)</f>
        <v>390</v>
      </c>
      <c r="E34" s="94">
        <f>SLO_Equipt_tbl22[[#This Row],[PLC]]+SLO_Equipt_tbl22[[#This Row],[TFI]]</f>
        <v>7695</v>
      </c>
      <c r="F34" s="93">
        <f>HLOOKUP(SLO_Equipt_tbl22[[#Headers],[SAPN]],Equipt_Data_Import[#All],MATCH(SLO_Equipt_tbl22[[#This Row],[Base Lamp]:[Base Lamp]],Equipt_Data_Import[[#All],[Base Lamp]],0),FALSE)</f>
        <v>24733</v>
      </c>
      <c r="G34" s="93">
        <f>HLOOKUP(SLO_Equipt_tbl22[[#Headers],[SLUOS]],Equipt_Data_Import[#All],MATCH(SLO_Equipt_tbl22[[#This Row],[Base Lamp]:[Base Lamp]],Equipt_Data_Import[[#All],[Base Lamp]],0),FALSE)</f>
        <v>0</v>
      </c>
      <c r="H34" s="95">
        <f>SUM(SLO_Equipt_tbl22[[#This Row],[PLC &amp; TFI]:[SLUOS]])</f>
        <v>32428</v>
      </c>
    </row>
    <row r="35" spans="1:8" x14ac:dyDescent="0.2">
      <c r="A35" s="58"/>
      <c r="B35" s="58" t="s">
        <v>188</v>
      </c>
      <c r="C35" s="93">
        <f>HLOOKUP(SLO_Equipt_tbl22[[#Headers],[PLC]],Equipt_Data_Import[#All],MATCH(SLO_Equipt_tbl22[[#This Row],[Base Lamp]:[Base Lamp]],Equipt_Data_Import[[#All],[Base Lamp]],0),FALSE)</f>
        <v>226</v>
      </c>
      <c r="D35" s="93">
        <f>HLOOKUP(SLO_Equipt_tbl22[[#Headers],[TFI]],Equipt_Data_Import[#All],MATCH(SLO_Equipt_tbl22[[#This Row],[Base Lamp]:[Base Lamp]],Equipt_Data_Import[[#All],[Base Lamp]],0),FALSE)</f>
        <v>84</v>
      </c>
      <c r="E35" s="94">
        <f>SLO_Equipt_tbl22[[#This Row],[PLC]]+SLO_Equipt_tbl22[[#This Row],[TFI]]</f>
        <v>310</v>
      </c>
      <c r="F35" s="93">
        <f>HLOOKUP(SLO_Equipt_tbl22[[#Headers],[SAPN]],Equipt_Data_Import[#All],MATCH(SLO_Equipt_tbl22[[#This Row],[Base Lamp]:[Base Lamp]],Equipt_Data_Import[[#All],[Base Lamp]],0),FALSE)</f>
        <v>145</v>
      </c>
      <c r="G35" s="93">
        <f>HLOOKUP(SLO_Equipt_tbl22[[#Headers],[SLUOS]],Equipt_Data_Import[#All],MATCH(SLO_Equipt_tbl22[[#This Row],[Base Lamp]:[Base Lamp]],Equipt_Data_Import[[#All],[Base Lamp]],0),FALSE)</f>
        <v>0</v>
      </c>
      <c r="H35" s="95">
        <f>SUM(SLO_Equipt_tbl22[[#This Row],[PLC &amp; TFI]:[SLUOS]])</f>
        <v>455</v>
      </c>
    </row>
    <row r="36" spans="1:8" x14ac:dyDescent="0.2">
      <c r="A36" s="58"/>
      <c r="B36" s="58" t="s">
        <v>173</v>
      </c>
      <c r="C36" s="93">
        <f>HLOOKUP(SLO_Equipt_tbl22[[#Headers],[PLC]],Equipt_Data_Import[#All],MATCH(SLO_Equipt_tbl22[[#This Row],[Base Lamp]:[Base Lamp]],Equipt_Data_Import[[#All],[Base Lamp]],0),FALSE)</f>
        <v>0</v>
      </c>
      <c r="D36" s="93">
        <f>HLOOKUP(SLO_Equipt_tbl22[[#Headers],[TFI]],Equipt_Data_Import[#All],MATCH(SLO_Equipt_tbl22[[#This Row],[Base Lamp]:[Base Lamp]],Equipt_Data_Import[[#All],[Base Lamp]],0),FALSE)</f>
        <v>0</v>
      </c>
      <c r="E36" s="94">
        <f>SLO_Equipt_tbl22[[#This Row],[PLC]]+SLO_Equipt_tbl22[[#This Row],[TFI]]</f>
        <v>0</v>
      </c>
      <c r="F36" s="93">
        <f>HLOOKUP(SLO_Equipt_tbl22[[#Headers],[SAPN]],Equipt_Data_Import[#All],MATCH(SLO_Equipt_tbl22[[#This Row],[Base Lamp]:[Base Lamp]],Equipt_Data_Import[[#All],[Base Lamp]],0),FALSE)</f>
        <v>0</v>
      </c>
      <c r="G36" s="93">
        <f>HLOOKUP(SLO_Equipt_tbl22[[#Headers],[SLUOS]],Equipt_Data_Import[#All],MATCH(SLO_Equipt_tbl22[[#This Row],[Base Lamp]:[Base Lamp]],Equipt_Data_Import[[#All],[Base Lamp]],0),FALSE)</f>
        <v>59310</v>
      </c>
      <c r="H36" s="95">
        <f>SUM(SLO_Equipt_tbl22[[#This Row],[PLC &amp; TFI]:[SLUOS]])</f>
        <v>59310</v>
      </c>
    </row>
    <row r="37" spans="1:8" x14ac:dyDescent="0.2">
      <c r="A37" s="58"/>
      <c r="B37" s="58" t="s">
        <v>486</v>
      </c>
      <c r="C37" s="93">
        <f>HLOOKUP(SLO_Equipt_tbl22[[#Headers],[PLC]],Equipt_Data_Import[#All],MATCH(SLO_Equipt_tbl22[[#This Row],[Base Lamp]:[Base Lamp]],Equipt_Data_Import[[#All],[Base Lamp]],0),FALSE)</f>
        <v>0</v>
      </c>
      <c r="D37" s="93">
        <f>HLOOKUP(SLO_Equipt_tbl22[[#Headers],[TFI]],Equipt_Data_Import[#All],MATCH(SLO_Equipt_tbl22[[#This Row],[Base Lamp]:[Base Lamp]],Equipt_Data_Import[[#All],[Base Lamp]],0),FALSE)</f>
        <v>0</v>
      </c>
      <c r="E37" s="94">
        <f>SLO_Equipt_tbl22[[#This Row],[PLC]]+SLO_Equipt_tbl22[[#This Row],[TFI]]</f>
        <v>0</v>
      </c>
      <c r="F37" s="93">
        <f>HLOOKUP(SLO_Equipt_tbl22[[#Headers],[SAPN]],Equipt_Data_Import[#All],MATCH(SLO_Equipt_tbl22[[#This Row],[Base Lamp]:[Base Lamp]],Equipt_Data_Import[[#All],[Base Lamp]],0),FALSE)</f>
        <v>0</v>
      </c>
      <c r="G37" s="93">
        <f>HLOOKUP(SLO_Equipt_tbl22[[#Headers],[SLUOS]],Equipt_Data_Import[#All],MATCH(SLO_Equipt_tbl22[[#This Row],[Base Lamp]:[Base Lamp]],Equipt_Data_Import[[#All],[Base Lamp]],0),FALSE)</f>
        <v>4299</v>
      </c>
      <c r="H37" s="95">
        <f>SUM(SLO_Equipt_tbl22[[#This Row],[PLC &amp; TFI]:[SLUOS]])</f>
        <v>4299</v>
      </c>
    </row>
    <row r="38" spans="1:8" x14ac:dyDescent="0.2">
      <c r="A38" s="58"/>
      <c r="B38" s="58" t="s">
        <v>193</v>
      </c>
      <c r="C38" s="93">
        <f>HLOOKUP(SLO_Equipt_tbl22[[#Headers],[PLC]],Equipt_Data_Import[#All],MATCH(SLO_Equipt_tbl22[[#This Row],[Base Lamp]:[Base Lamp]],Equipt_Data_Import[[#All],[Base Lamp]],0),FALSE)</f>
        <v>0</v>
      </c>
      <c r="D38" s="93">
        <f>HLOOKUP(SLO_Equipt_tbl22[[#Headers],[TFI]],Equipt_Data_Import[#All],MATCH(SLO_Equipt_tbl22[[#This Row],[Base Lamp]:[Base Lamp]],Equipt_Data_Import[[#All],[Base Lamp]],0),FALSE)</f>
        <v>0</v>
      </c>
      <c r="E38" s="94">
        <f>SLO_Equipt_tbl22[[#This Row],[PLC]]+SLO_Equipt_tbl22[[#This Row],[TFI]]</f>
        <v>0</v>
      </c>
      <c r="F38" s="93">
        <f>HLOOKUP(SLO_Equipt_tbl22[[#Headers],[SAPN]],Equipt_Data_Import[#All],MATCH(SLO_Equipt_tbl22[[#This Row],[Base Lamp]:[Base Lamp]],Equipt_Data_Import[[#All],[Base Lamp]],0),FALSE)</f>
        <v>1</v>
      </c>
      <c r="G38" s="93">
        <f>HLOOKUP(SLO_Equipt_tbl22[[#Headers],[SLUOS]],Equipt_Data_Import[#All],MATCH(SLO_Equipt_tbl22[[#This Row],[Base Lamp]:[Base Lamp]],Equipt_Data_Import[[#All],[Base Lamp]],0),FALSE)</f>
        <v>4444</v>
      </c>
      <c r="H38" s="95">
        <f>SUM(SLO_Equipt_tbl22[[#This Row],[PLC &amp; TFI]:[SLUOS]])</f>
        <v>4445</v>
      </c>
    </row>
    <row r="39" spans="1:8" x14ac:dyDescent="0.2">
      <c r="A39" s="58"/>
      <c r="B39" s="58" t="s">
        <v>488</v>
      </c>
      <c r="C39" s="93">
        <f>HLOOKUP(SLO_Equipt_tbl22[[#Headers],[PLC]],Equipt_Data_Import[#All],MATCH(SLO_Equipt_tbl22[[#This Row],[Base Lamp]:[Base Lamp]],Equipt_Data_Import[[#All],[Base Lamp]],0),FALSE)</f>
        <v>0</v>
      </c>
      <c r="D39" s="93">
        <f>HLOOKUP(SLO_Equipt_tbl22[[#Headers],[TFI]],Equipt_Data_Import[#All],MATCH(SLO_Equipt_tbl22[[#This Row],[Base Lamp]:[Base Lamp]],Equipt_Data_Import[[#All],[Base Lamp]],0),FALSE)</f>
        <v>0</v>
      </c>
      <c r="E39" s="94">
        <f>SLO_Equipt_tbl22[[#This Row],[PLC]]+SLO_Equipt_tbl22[[#This Row],[TFI]]</f>
        <v>0</v>
      </c>
      <c r="F39" s="93">
        <f>HLOOKUP(SLO_Equipt_tbl22[[#Headers],[SAPN]],Equipt_Data_Import[#All],MATCH(SLO_Equipt_tbl22[[#This Row],[Base Lamp]:[Base Lamp]],Equipt_Data_Import[[#All],[Base Lamp]],0),FALSE)</f>
        <v>0</v>
      </c>
      <c r="G39" s="93">
        <f>HLOOKUP(SLO_Equipt_tbl22[[#Headers],[SLUOS]],Equipt_Data_Import[#All],MATCH(SLO_Equipt_tbl22[[#This Row],[Base Lamp]:[Base Lamp]],Equipt_Data_Import[[#All],[Base Lamp]],0),FALSE)</f>
        <v>347</v>
      </c>
      <c r="H39" s="95">
        <f>SUM(SLO_Equipt_tbl22[[#This Row],[PLC &amp; TFI]:[SLUOS]])</f>
        <v>347</v>
      </c>
    </row>
    <row r="40" spans="1:8" x14ac:dyDescent="0.2">
      <c r="A40" s="58"/>
      <c r="B40" s="58" t="s">
        <v>167</v>
      </c>
      <c r="C40" s="93">
        <f>HLOOKUP(SLO_Equipt_tbl22[[#Headers],[PLC]],Equipt_Data_Import[#All],MATCH(SLO_Equipt_tbl22[[#This Row],[Base Lamp]:[Base Lamp]],Equipt_Data_Import[[#All],[Base Lamp]],0),FALSE)</f>
        <v>0</v>
      </c>
      <c r="D40" s="93">
        <f>HLOOKUP(SLO_Equipt_tbl22[[#Headers],[TFI]],Equipt_Data_Import[#All],MATCH(SLO_Equipt_tbl22[[#This Row],[Base Lamp]:[Base Lamp]],Equipt_Data_Import[[#All],[Base Lamp]],0),FALSE)</f>
        <v>0</v>
      </c>
      <c r="E40" s="94">
        <f>SLO_Equipt_tbl22[[#This Row],[PLC]]+SLO_Equipt_tbl22[[#This Row],[TFI]]</f>
        <v>0</v>
      </c>
      <c r="F40" s="93">
        <f>HLOOKUP(SLO_Equipt_tbl22[[#Headers],[SAPN]],Equipt_Data_Import[#All],MATCH(SLO_Equipt_tbl22[[#This Row],[Base Lamp]:[Base Lamp]],Equipt_Data_Import[[#All],[Base Lamp]],0),FALSE)</f>
        <v>0</v>
      </c>
      <c r="G40" s="93">
        <f>HLOOKUP(SLO_Equipt_tbl22[[#Headers],[SLUOS]],Equipt_Data_Import[#All],MATCH(SLO_Equipt_tbl22[[#This Row],[Base Lamp]:[Base Lamp]],Equipt_Data_Import[[#All],[Base Lamp]],0),FALSE)</f>
        <v>13464</v>
      </c>
      <c r="H40" s="95">
        <f>SUM(SLO_Equipt_tbl22[[#This Row],[PLC &amp; TFI]:[SLUOS]])</f>
        <v>13464</v>
      </c>
    </row>
    <row r="41" spans="1:8" x14ac:dyDescent="0.2">
      <c r="A41" s="58"/>
      <c r="B41" s="58" t="s">
        <v>168</v>
      </c>
      <c r="C41" s="93">
        <f>HLOOKUP(SLO_Equipt_tbl22[[#Headers],[PLC]],Equipt_Data_Import[#All],MATCH(SLO_Equipt_tbl22[[#This Row],[Base Lamp]:[Base Lamp]],Equipt_Data_Import[[#All],[Base Lamp]],0),FALSE)</f>
        <v>0</v>
      </c>
      <c r="D41" s="93">
        <f>HLOOKUP(SLO_Equipt_tbl22[[#Headers],[TFI]],Equipt_Data_Import[#All],MATCH(SLO_Equipt_tbl22[[#This Row],[Base Lamp]:[Base Lamp]],Equipt_Data_Import[[#All],[Base Lamp]],0),FALSE)</f>
        <v>0</v>
      </c>
      <c r="E41" s="94">
        <f>SLO_Equipt_tbl22[[#This Row],[PLC]]+SLO_Equipt_tbl22[[#This Row],[TFI]]</f>
        <v>0</v>
      </c>
      <c r="F41" s="93">
        <f>HLOOKUP(SLO_Equipt_tbl22[[#Headers],[SAPN]],Equipt_Data_Import[#All],MATCH(SLO_Equipt_tbl22[[#This Row],[Base Lamp]:[Base Lamp]],Equipt_Data_Import[[#All],[Base Lamp]],0),FALSE)</f>
        <v>0</v>
      </c>
      <c r="G41" s="93">
        <f>HLOOKUP(SLO_Equipt_tbl22[[#Headers],[SLUOS]],Equipt_Data_Import[#All],MATCH(SLO_Equipt_tbl22[[#This Row],[Base Lamp]:[Base Lamp]],Equipt_Data_Import[[#All],[Base Lamp]],0),FALSE)</f>
        <v>8466</v>
      </c>
      <c r="H41" s="95">
        <f>SUM(SLO_Equipt_tbl22[[#This Row],[PLC &amp; TFI]:[SLUOS]])</f>
        <v>8466</v>
      </c>
    </row>
    <row r="42" spans="1:8" x14ac:dyDescent="0.2">
      <c r="A42" s="58"/>
      <c r="B42" s="58" t="s">
        <v>169</v>
      </c>
      <c r="C42" s="93">
        <f>HLOOKUP(SLO_Equipt_tbl22[[#Headers],[PLC]],Equipt_Data_Import[#All],MATCH(SLO_Equipt_tbl22[[#This Row],[Base Lamp]:[Base Lamp]],Equipt_Data_Import[[#All],[Base Lamp]],0),FALSE)</f>
        <v>0</v>
      </c>
      <c r="D42" s="93">
        <f>HLOOKUP(SLO_Equipt_tbl22[[#Headers],[TFI]],Equipt_Data_Import[#All],MATCH(SLO_Equipt_tbl22[[#This Row],[Base Lamp]:[Base Lamp]],Equipt_Data_Import[[#All],[Base Lamp]],0),FALSE)</f>
        <v>0</v>
      </c>
      <c r="E42" s="94">
        <f>SLO_Equipt_tbl22[[#This Row],[PLC]]+SLO_Equipt_tbl22[[#This Row],[TFI]]</f>
        <v>0</v>
      </c>
      <c r="F42" s="93">
        <f>HLOOKUP(SLO_Equipt_tbl22[[#Headers],[SAPN]],Equipt_Data_Import[#All],MATCH(SLO_Equipt_tbl22[[#This Row],[Base Lamp]:[Base Lamp]],Equipt_Data_Import[[#All],[Base Lamp]],0),FALSE)</f>
        <v>0</v>
      </c>
      <c r="G42" s="93">
        <f>HLOOKUP(SLO_Equipt_tbl22[[#Headers],[SLUOS]],Equipt_Data_Import[#All],MATCH(SLO_Equipt_tbl22[[#This Row],[Base Lamp]:[Base Lamp]],Equipt_Data_Import[[#All],[Base Lamp]],0),FALSE)</f>
        <v>2583</v>
      </c>
      <c r="H42" s="95">
        <f>SUM(SLO_Equipt_tbl22[[#This Row],[PLC &amp; TFI]:[SLUOS]])</f>
        <v>2583</v>
      </c>
    </row>
    <row r="43" spans="1:8" x14ac:dyDescent="0.2">
      <c r="A43" s="58"/>
      <c r="B43" s="58" t="s">
        <v>170</v>
      </c>
      <c r="C43" s="93">
        <f>HLOOKUP(SLO_Equipt_tbl22[[#Headers],[PLC]],Equipt_Data_Import[#All],MATCH(SLO_Equipt_tbl22[[#This Row],[Base Lamp]:[Base Lamp]],Equipt_Data_Import[[#All],[Base Lamp]],0),FALSE)</f>
        <v>0</v>
      </c>
      <c r="D43" s="93">
        <f>HLOOKUP(SLO_Equipt_tbl22[[#Headers],[TFI]],Equipt_Data_Import[#All],MATCH(SLO_Equipt_tbl22[[#This Row],[Base Lamp]:[Base Lamp]],Equipt_Data_Import[[#All],[Base Lamp]],0),FALSE)</f>
        <v>0</v>
      </c>
      <c r="E43" s="94">
        <f>SLO_Equipt_tbl22[[#This Row],[PLC]]+SLO_Equipt_tbl22[[#This Row],[TFI]]</f>
        <v>0</v>
      </c>
      <c r="F43" s="93">
        <f>HLOOKUP(SLO_Equipt_tbl22[[#Headers],[SAPN]],Equipt_Data_Import[#All],MATCH(SLO_Equipt_tbl22[[#This Row],[Base Lamp]:[Base Lamp]],Equipt_Data_Import[[#All],[Base Lamp]],0),FALSE)</f>
        <v>0</v>
      </c>
      <c r="G43" s="93">
        <f>HLOOKUP(SLO_Equipt_tbl22[[#Headers],[SLUOS]],Equipt_Data_Import[#All],MATCH(SLO_Equipt_tbl22[[#This Row],[Base Lamp]:[Base Lamp]],Equipt_Data_Import[[#All],[Base Lamp]],0),FALSE)</f>
        <v>1068</v>
      </c>
      <c r="H43" s="95">
        <f>SUM(SLO_Equipt_tbl22[[#This Row],[PLC &amp; TFI]:[SLUOS]])</f>
        <v>1068</v>
      </c>
    </row>
    <row r="44" spans="1:8" x14ac:dyDescent="0.2">
      <c r="A44" s="58"/>
      <c r="B44" t="s">
        <v>171</v>
      </c>
      <c r="C44" s="93">
        <f>HLOOKUP(SLO_Equipt_tbl22[[#Headers],[PLC]],Equipt_Data_Import[#All],MATCH(SLO_Equipt_tbl22[[#This Row],[Base Lamp]:[Base Lamp]],Equipt_Data_Import[[#All],[Base Lamp]],0),FALSE)</f>
        <v>0</v>
      </c>
      <c r="D44" s="172">
        <f>HLOOKUP(SLO_Equipt_tbl22[[#Headers],[TFI]],Equipt_Data_Import[#All],MATCH(SLO_Equipt_tbl22[[#This Row],[Base Lamp]:[Base Lamp]],Equipt_Data_Import[[#All],[Base Lamp]],0),FALSE)</f>
        <v>0</v>
      </c>
      <c r="E44" s="173">
        <f>SLO_Equipt_tbl22[[#This Row],[PLC]]+SLO_Equipt_tbl22[[#This Row],[TFI]]</f>
        <v>0</v>
      </c>
      <c r="F44" s="93">
        <f>HLOOKUP(SLO_Equipt_tbl22[[#Headers],[SAPN]],Equipt_Data_Import[#All],MATCH(SLO_Equipt_tbl22[[#This Row],[Base Lamp]:[Base Lamp]],Equipt_Data_Import[[#All],[Base Lamp]],0),FALSE)</f>
        <v>0</v>
      </c>
      <c r="G44" s="93">
        <f>HLOOKUP(SLO_Equipt_tbl22[[#Headers],[SLUOS]],Equipt_Data_Import[#All],MATCH(SLO_Equipt_tbl22[[#This Row],[Base Lamp]:[Base Lamp]],Equipt_Data_Import[[#All],[Base Lamp]],0),FALSE)</f>
        <v>20032</v>
      </c>
      <c r="H44" s="95">
        <f>SUM(SLO_Equipt_tbl22[[#This Row],[PLC &amp; TFI]:[SLUOS]])</f>
        <v>20032</v>
      </c>
    </row>
    <row r="45" spans="1:8" x14ac:dyDescent="0.2">
      <c r="B45" t="s">
        <v>487</v>
      </c>
      <c r="C45" s="93">
        <f>HLOOKUP(SLO_Equipt_tbl22[[#Headers],[PLC]],Equipt_Data_Import[#All],MATCH(SLO_Equipt_tbl22[[#This Row],[Base Lamp]:[Base Lamp]],Equipt_Data_Import[[#All],[Base Lamp]],0),FALSE)</f>
        <v>0</v>
      </c>
      <c r="D45" s="172">
        <f>HLOOKUP(SLO_Equipt_tbl22[[#Headers],[TFI]],Equipt_Data_Import[#All],MATCH(SLO_Equipt_tbl22[[#This Row],[Base Lamp]:[Base Lamp]],Equipt_Data_Import[[#All],[Base Lamp]],0),FALSE)</f>
        <v>0</v>
      </c>
      <c r="E45" s="173">
        <f>SLO_Equipt_tbl22[[#This Row],[PLC]]+SLO_Equipt_tbl22[[#This Row],[TFI]]</f>
        <v>0</v>
      </c>
      <c r="F45" s="93">
        <f>HLOOKUP(SLO_Equipt_tbl22[[#Headers],[SAPN]],Equipt_Data_Import[#All],MATCH(SLO_Equipt_tbl22[[#This Row],[Base Lamp]:[Base Lamp]],Equipt_Data_Import[[#All],[Base Lamp]],0),FALSE)</f>
        <v>0</v>
      </c>
      <c r="G45" s="93">
        <f>HLOOKUP(SLO_Equipt_tbl22[[#Headers],[SLUOS]],Equipt_Data_Import[#All],MATCH(SLO_Equipt_tbl22[[#This Row],[Base Lamp]:[Base Lamp]],Equipt_Data_Import[[#All],[Base Lamp]],0),FALSE)</f>
        <v>1335</v>
      </c>
      <c r="H45" s="95">
        <f>SUM(SLO_Equipt_tbl22[[#This Row],[PLC &amp; TFI]:[SLUOS]])</f>
        <v>1335</v>
      </c>
    </row>
    <row r="46" spans="1:8" x14ac:dyDescent="0.2">
      <c r="B46" t="s">
        <v>165</v>
      </c>
      <c r="C46" s="93">
        <f>HLOOKUP(SLO_Equipt_tbl22[[#Headers],[PLC]],Equipt_Data_Import[#All],MATCH(SLO_Equipt_tbl22[[#This Row],[Base Lamp]:[Base Lamp]],Equipt_Data_Import[[#All],[Base Lamp]],0),FALSE)</f>
        <v>0</v>
      </c>
      <c r="D46" s="172">
        <f>HLOOKUP(SLO_Equipt_tbl22[[#Headers],[TFI]],Equipt_Data_Import[#All],MATCH(SLO_Equipt_tbl22[[#This Row],[Base Lamp]:[Base Lamp]],Equipt_Data_Import[[#All],[Base Lamp]],0),FALSE)</f>
        <v>0</v>
      </c>
      <c r="E46" s="173">
        <f>SLO_Equipt_tbl22[[#This Row],[PLC]]+SLO_Equipt_tbl22[[#This Row],[TFI]]</f>
        <v>0</v>
      </c>
      <c r="F46" s="93">
        <f>HLOOKUP(SLO_Equipt_tbl22[[#Headers],[SAPN]],Equipt_Data_Import[#All],MATCH(SLO_Equipt_tbl22[[#This Row],[Base Lamp]:[Base Lamp]],Equipt_Data_Import[[#All],[Base Lamp]],0),FALSE)</f>
        <v>0</v>
      </c>
      <c r="G46" s="93">
        <f>HLOOKUP(SLO_Equipt_tbl22[[#Headers],[SLUOS]],Equipt_Data_Import[#All],MATCH(SLO_Equipt_tbl22[[#This Row],[Base Lamp]:[Base Lamp]],Equipt_Data_Import[[#All],[Base Lamp]],0),FALSE)</f>
        <v>10860</v>
      </c>
      <c r="H46" s="95">
        <f>SUM(SLO_Equipt_tbl22[[#This Row],[PLC &amp; TFI]:[SLUOS]])</f>
        <v>10860</v>
      </c>
    </row>
    <row r="47" spans="1:8" x14ac:dyDescent="0.2">
      <c r="B47" t="s">
        <v>166</v>
      </c>
      <c r="C47" s="93">
        <f>HLOOKUP(SLO_Equipt_tbl22[[#Headers],[PLC]],Equipt_Data_Import[#All],MATCH(SLO_Equipt_tbl22[[#This Row],[Base Lamp]:[Base Lamp]],Equipt_Data_Import[[#All],[Base Lamp]],0),FALSE)</f>
        <v>0</v>
      </c>
      <c r="D47" s="172">
        <f>HLOOKUP(SLO_Equipt_tbl22[[#Headers],[TFI]],Equipt_Data_Import[#All],MATCH(SLO_Equipt_tbl22[[#This Row],[Base Lamp]:[Base Lamp]],Equipt_Data_Import[[#All],[Base Lamp]],0),FALSE)</f>
        <v>0</v>
      </c>
      <c r="E47" s="173">
        <f>SLO_Equipt_tbl22[[#This Row],[PLC]]+SLO_Equipt_tbl22[[#This Row],[TFI]]</f>
        <v>0</v>
      </c>
      <c r="F47" s="93">
        <f>HLOOKUP(SLO_Equipt_tbl22[[#Headers],[SAPN]],Equipt_Data_Import[#All],MATCH(SLO_Equipt_tbl22[[#This Row],[Base Lamp]:[Base Lamp]],Equipt_Data_Import[[#All],[Base Lamp]],0),FALSE)</f>
        <v>0</v>
      </c>
      <c r="G47" s="93">
        <f>HLOOKUP(SLO_Equipt_tbl22[[#Headers],[SLUOS]],Equipt_Data_Import[#All],MATCH(SLO_Equipt_tbl22[[#This Row],[Base Lamp]:[Base Lamp]],Equipt_Data_Import[[#All],[Base Lamp]],0),FALSE)</f>
        <v>11330</v>
      </c>
      <c r="H47" s="95">
        <f>SUM(SLO_Equipt_tbl22[[#This Row],[PLC &amp; TFI]:[SLUOS]])</f>
        <v>11330</v>
      </c>
    </row>
    <row r="48" spans="1:8" x14ac:dyDescent="0.2">
      <c r="B48" s="58" t="s">
        <v>216</v>
      </c>
      <c r="C48" s="96">
        <f>SUBTOTAL(109,SLO_Equipt_tbl22[PLC])</f>
        <v>7531</v>
      </c>
      <c r="D48" s="96">
        <f>SUBTOTAL(109,SLO_Equipt_tbl22[TFI])</f>
        <v>474</v>
      </c>
      <c r="E48" s="98">
        <f>SUBTOTAL(109,SLO_Equipt_tbl22[PLC &amp; TFI])</f>
        <v>8005</v>
      </c>
      <c r="F48" s="96">
        <f>SUBTOTAL(109,SLO_Equipt_tbl22[SAPN])</f>
        <v>24879</v>
      </c>
      <c r="G48" s="96">
        <f>SUBTOTAL(109,SLO_Equipt_tbl22[SLUOS])</f>
        <v>159888</v>
      </c>
      <c r="H48" s="97">
        <f>SUBTOTAL(109,SLO_Equipt_tbl22[Cable Fault Equipment])</f>
        <v>192772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9">
    <tabColor theme="6" tint="0.39997558519241921"/>
  </sheetPr>
  <dimension ref="A1:L52"/>
  <sheetViews>
    <sheetView showGridLines="0" workbookViewId="0">
      <selection activeCell="D42" sqref="D42"/>
    </sheetView>
  </sheetViews>
  <sheetFormatPr defaultRowHeight="12" x14ac:dyDescent="0.2"/>
  <cols>
    <col min="1" max="1" width="4.6640625" customWidth="1"/>
    <col min="2" max="2" width="18.83203125" customWidth="1"/>
    <col min="3" max="3" width="13.6640625" bestFit="1" customWidth="1"/>
    <col min="4" max="4" width="24.5" customWidth="1"/>
    <col min="5" max="5" width="13.6640625" bestFit="1" customWidth="1"/>
    <col min="6" max="7" width="19.6640625" customWidth="1"/>
    <col min="8" max="8" width="21.1640625" bestFit="1" customWidth="1"/>
    <col min="9" max="11" width="16.5" customWidth="1"/>
    <col min="12" max="12" width="19.33203125" customWidth="1"/>
    <col min="13" max="14" width="19.6640625" customWidth="1"/>
    <col min="15" max="16" width="19.33203125" customWidth="1"/>
  </cols>
  <sheetData>
    <row r="1" spans="1:12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  <c r="H1" s="58"/>
      <c r="I1" s="58"/>
    </row>
    <row r="2" spans="1:12" ht="16.5" thickBot="1" x14ac:dyDescent="0.3">
      <c r="A2" s="4" t="str">
        <f ca="1">RIGHT(CELL("filename",A2),LEN(CELL("filename",A2))-FIND("]",CELL("filename",A2)))</f>
        <v>GSL_Data</v>
      </c>
      <c r="B2" s="4"/>
      <c r="C2" s="60"/>
      <c r="D2" s="60" t="s">
        <v>424</v>
      </c>
      <c r="E2" s="4"/>
      <c r="F2" s="4"/>
      <c r="G2" s="4"/>
      <c r="H2" s="4"/>
      <c r="I2" s="4"/>
      <c r="J2" s="4"/>
      <c r="K2" s="4"/>
      <c r="L2" s="4"/>
    </row>
    <row r="3" spans="1:12" ht="12.75" thickTop="1" x14ac:dyDescent="0.2"/>
    <row r="4" spans="1:12" ht="12.75" x14ac:dyDescent="0.2">
      <c r="B4" s="161" t="s">
        <v>425</v>
      </c>
      <c r="C4" s="162"/>
      <c r="D4" s="162"/>
      <c r="E4" s="162"/>
    </row>
    <row r="5" spans="1:12" x14ac:dyDescent="0.2">
      <c r="B5" s="109" t="s">
        <v>44</v>
      </c>
      <c r="C5" s="109" t="s">
        <v>420</v>
      </c>
      <c r="D5" s="109" t="s">
        <v>421</v>
      </c>
      <c r="E5" s="111" t="s">
        <v>428</v>
      </c>
    </row>
    <row r="6" spans="1:12" x14ac:dyDescent="0.2">
      <c r="B6" s="58" t="s">
        <v>267</v>
      </c>
      <c r="C6" s="37">
        <v>42</v>
      </c>
      <c r="D6" s="53">
        <v>13600</v>
      </c>
      <c r="E6" s="53">
        <v>323.8095238095238</v>
      </c>
    </row>
    <row r="7" spans="1:12" x14ac:dyDescent="0.2">
      <c r="B7" s="58" t="s">
        <v>268</v>
      </c>
      <c r="C7" s="37">
        <v>651</v>
      </c>
      <c r="D7" s="53">
        <v>113550</v>
      </c>
      <c r="E7" s="53">
        <v>174.42396313364054</v>
      </c>
    </row>
    <row r="8" spans="1:12" x14ac:dyDescent="0.2">
      <c r="B8" s="58" t="s">
        <v>269</v>
      </c>
      <c r="C8" s="37">
        <v>78</v>
      </c>
      <c r="D8" s="53">
        <v>16200</v>
      </c>
      <c r="E8" s="53">
        <v>207.69230769230768</v>
      </c>
    </row>
    <row r="9" spans="1:12" x14ac:dyDescent="0.2">
      <c r="B9" s="58" t="s">
        <v>218</v>
      </c>
      <c r="C9" s="37">
        <v>172</v>
      </c>
      <c r="D9" s="53">
        <v>13000</v>
      </c>
      <c r="E9" s="53">
        <v>75.581395348837205</v>
      </c>
    </row>
    <row r="10" spans="1:12" x14ac:dyDescent="0.2">
      <c r="B10" s="58" t="s">
        <v>216</v>
      </c>
      <c r="C10" s="37">
        <f>SUBTOTAL(109,GSL_CableFault_Tbl[CabeFault GSL])</f>
        <v>943</v>
      </c>
      <c r="D10" s="53">
        <f>SUBTOTAL(109,GSL_CableFault_Tbl[CabeFault GSL $])</f>
        <v>156350</v>
      </c>
      <c r="E10" s="53">
        <f>GSL_CableFault_Tbl[[#Totals],[CabeFault GSL $]]/GSL_CableFault_Tbl[[#Totals],[CabeFault GSL]]</f>
        <v>165.80063626723225</v>
      </c>
    </row>
    <row r="13" spans="1:12" ht="12.75" x14ac:dyDescent="0.2">
      <c r="B13" s="161" t="s">
        <v>426</v>
      </c>
      <c r="C13" s="162"/>
      <c r="D13" s="162"/>
      <c r="E13" s="162"/>
    </row>
    <row r="14" spans="1:12" ht="12.75" x14ac:dyDescent="0.2">
      <c r="B14" s="163" t="s">
        <v>304</v>
      </c>
      <c r="C14" s="164">
        <v>42948</v>
      </c>
      <c r="D14" s="109" t="s">
        <v>305</v>
      </c>
      <c r="E14" s="164">
        <v>43312</v>
      </c>
    </row>
    <row r="15" spans="1:12" x14ac:dyDescent="0.2">
      <c r="B15" s="109" t="s">
        <v>174</v>
      </c>
      <c r="C15" s="109" t="s">
        <v>422</v>
      </c>
      <c r="D15" s="109" t="s">
        <v>423</v>
      </c>
      <c r="E15" s="111" t="s">
        <v>428</v>
      </c>
    </row>
    <row r="16" spans="1:12" x14ac:dyDescent="0.2">
      <c r="B16" s="58" t="s">
        <v>164</v>
      </c>
      <c r="C16" s="37">
        <v>29</v>
      </c>
      <c r="D16" s="53">
        <v>3025</v>
      </c>
      <c r="E16" s="53">
        <v>104.31034482758621</v>
      </c>
    </row>
    <row r="17" spans="2:5" x14ac:dyDescent="0.2">
      <c r="B17" s="58" t="s">
        <v>172</v>
      </c>
      <c r="C17" s="37">
        <v>41</v>
      </c>
      <c r="D17" s="53">
        <v>3700</v>
      </c>
      <c r="E17" s="53">
        <v>90.243902439024396</v>
      </c>
    </row>
    <row r="18" spans="2:5" x14ac:dyDescent="0.2">
      <c r="B18" s="58" t="s">
        <v>173</v>
      </c>
      <c r="C18" s="37">
        <v>88</v>
      </c>
      <c r="D18" s="53">
        <v>9525</v>
      </c>
      <c r="E18" s="53">
        <v>108.23863636363636</v>
      </c>
    </row>
    <row r="19" spans="2:5" x14ac:dyDescent="0.2">
      <c r="B19" s="58" t="s">
        <v>193</v>
      </c>
      <c r="C19" s="37">
        <v>20</v>
      </c>
      <c r="D19" s="53">
        <v>1775</v>
      </c>
      <c r="E19" s="53">
        <v>88.75</v>
      </c>
    </row>
    <row r="20" spans="2:5" x14ac:dyDescent="0.2">
      <c r="B20" s="58" t="s">
        <v>167</v>
      </c>
      <c r="C20" s="37">
        <v>61</v>
      </c>
      <c r="D20" s="53">
        <v>6525</v>
      </c>
      <c r="E20" s="53">
        <v>106.9672131147541</v>
      </c>
    </row>
    <row r="21" spans="2:5" x14ac:dyDescent="0.2">
      <c r="B21" s="58" t="s">
        <v>168</v>
      </c>
      <c r="C21" s="37">
        <v>44</v>
      </c>
      <c r="D21" s="53">
        <v>3750</v>
      </c>
      <c r="E21" s="53">
        <v>85.227272727272734</v>
      </c>
    </row>
    <row r="22" spans="2:5" x14ac:dyDescent="0.2">
      <c r="B22" s="58" t="s">
        <v>169</v>
      </c>
      <c r="C22" s="37">
        <v>62</v>
      </c>
      <c r="D22" s="53">
        <v>5150</v>
      </c>
      <c r="E22" s="53">
        <v>83.064516129032256</v>
      </c>
    </row>
    <row r="23" spans="2:5" x14ac:dyDescent="0.2">
      <c r="B23" s="58" t="s">
        <v>170</v>
      </c>
      <c r="C23" s="37">
        <v>10</v>
      </c>
      <c r="D23" s="53">
        <v>1300</v>
      </c>
      <c r="E23" s="53">
        <v>130</v>
      </c>
    </row>
    <row r="24" spans="2:5" x14ac:dyDescent="0.2">
      <c r="B24" s="58" t="s">
        <v>171</v>
      </c>
      <c r="C24" s="37">
        <v>47</v>
      </c>
      <c r="D24" s="53">
        <v>3650</v>
      </c>
      <c r="E24" s="53">
        <v>77.659574468085111</v>
      </c>
    </row>
    <row r="25" spans="2:5" x14ac:dyDescent="0.2">
      <c r="B25" s="58" t="s">
        <v>165</v>
      </c>
      <c r="C25" s="37">
        <v>51</v>
      </c>
      <c r="D25" s="53">
        <v>4050</v>
      </c>
      <c r="E25" s="53">
        <v>79.411764705882348</v>
      </c>
    </row>
    <row r="26" spans="2:5" x14ac:dyDescent="0.2">
      <c r="B26" s="58" t="s">
        <v>166</v>
      </c>
      <c r="C26" s="37">
        <v>77</v>
      </c>
      <c r="D26" s="53">
        <v>7500</v>
      </c>
      <c r="E26" s="53">
        <v>97.402597402597408</v>
      </c>
    </row>
    <row r="27" spans="2:5" x14ac:dyDescent="0.2">
      <c r="B27" s="58" t="s">
        <v>486</v>
      </c>
      <c r="C27" s="37">
        <v>7</v>
      </c>
      <c r="D27" s="53">
        <v>550</v>
      </c>
      <c r="E27" s="53">
        <v>78.571428571428569</v>
      </c>
    </row>
    <row r="28" spans="2:5" x14ac:dyDescent="0.2">
      <c r="B28" s="58" t="s">
        <v>488</v>
      </c>
      <c r="C28" s="37">
        <v>9</v>
      </c>
      <c r="D28" s="53">
        <v>300</v>
      </c>
      <c r="E28" s="53">
        <v>33.333333333333336</v>
      </c>
    </row>
    <row r="29" spans="2:5" x14ac:dyDescent="0.2">
      <c r="B29" s="83" t="s">
        <v>487</v>
      </c>
      <c r="C29" s="83">
        <v>3</v>
      </c>
      <c r="D29" s="53">
        <v>325</v>
      </c>
      <c r="E29" s="53">
        <v>108.33333333333333</v>
      </c>
    </row>
    <row r="30" spans="2:5" x14ac:dyDescent="0.2">
      <c r="B30" s="58" t="s">
        <v>216</v>
      </c>
      <c r="C30" s="132">
        <f>SUBTOTAL(109,GSL_FittingFault_Tbl[Fitting GSL])</f>
        <v>549</v>
      </c>
      <c r="D30" s="175">
        <f>SUBTOTAL(109,GSL_FittingFault_Tbl[Fitting GSL $])</f>
        <v>51125</v>
      </c>
      <c r="E30" s="175">
        <f>GSL_FittingFault_Tbl[[#Totals],[Fitting GSL $]]/GSL_FittingFault_Tbl[[#Totals],[Fitting GSL]]</f>
        <v>93.123861566484521</v>
      </c>
    </row>
    <row r="31" spans="2:5" s="58" customFormat="1" x14ac:dyDescent="0.2"/>
    <row r="33" spans="2:11" ht="12.75" x14ac:dyDescent="0.2">
      <c r="B33" s="161" t="s">
        <v>427</v>
      </c>
      <c r="C33" s="162"/>
      <c r="D33" s="162"/>
      <c r="E33" s="162"/>
      <c r="F33" s="162"/>
      <c r="G33" s="162"/>
    </row>
    <row r="34" spans="2:11" ht="12.75" x14ac:dyDescent="0.2">
      <c r="B34" s="163" t="s">
        <v>304</v>
      </c>
      <c r="C34" s="164">
        <v>42948</v>
      </c>
      <c r="D34" s="109" t="s">
        <v>305</v>
      </c>
      <c r="E34" s="164">
        <v>43312</v>
      </c>
      <c r="F34" s="162"/>
      <c r="G34" s="162"/>
    </row>
    <row r="35" spans="2:11" x14ac:dyDescent="0.2">
      <c r="B35" s="111" t="s">
        <v>174</v>
      </c>
      <c r="C35" s="111" t="s">
        <v>441</v>
      </c>
      <c r="D35" s="176" t="s">
        <v>442</v>
      </c>
      <c r="H35" s="58"/>
      <c r="I35" s="58"/>
      <c r="J35" s="58"/>
      <c r="K35" s="58"/>
    </row>
    <row r="36" spans="2:11" x14ac:dyDescent="0.2">
      <c r="B36" s="58" t="s">
        <v>164</v>
      </c>
      <c r="C36" s="37">
        <v>11</v>
      </c>
      <c r="D36" s="53">
        <v>1208</v>
      </c>
    </row>
    <row r="37" spans="2:11" x14ac:dyDescent="0.2">
      <c r="B37" s="58" t="s">
        <v>172</v>
      </c>
      <c r="C37" s="37">
        <v>18</v>
      </c>
      <c r="D37" s="53">
        <v>1620</v>
      </c>
      <c r="H37" s="162"/>
      <c r="I37" s="162"/>
      <c r="J37" s="162"/>
      <c r="K37" s="162"/>
    </row>
    <row r="38" spans="2:11" x14ac:dyDescent="0.2">
      <c r="B38" s="58" t="s">
        <v>161</v>
      </c>
      <c r="C38" s="37">
        <v>1</v>
      </c>
      <c r="D38" s="53">
        <v>145</v>
      </c>
    </row>
    <row r="39" spans="2:11" x14ac:dyDescent="0.2">
      <c r="B39" s="58" t="s">
        <v>188</v>
      </c>
      <c r="C39" s="37">
        <v>1</v>
      </c>
      <c r="D39" s="53">
        <v>175</v>
      </c>
    </row>
    <row r="40" spans="2:11" x14ac:dyDescent="0.2">
      <c r="B40" s="58" t="s">
        <v>173</v>
      </c>
      <c r="C40" s="37">
        <v>30</v>
      </c>
      <c r="D40" s="53">
        <v>2916</v>
      </c>
    </row>
    <row r="41" spans="2:11" x14ac:dyDescent="0.2">
      <c r="B41" s="58" t="s">
        <v>193</v>
      </c>
      <c r="C41" s="37">
        <v>8</v>
      </c>
      <c r="D41" s="53">
        <v>560</v>
      </c>
    </row>
    <row r="42" spans="2:11" x14ac:dyDescent="0.2">
      <c r="B42" s="58" t="s">
        <v>167</v>
      </c>
      <c r="C42" s="37">
        <v>29</v>
      </c>
      <c r="D42" s="53">
        <v>2592</v>
      </c>
    </row>
    <row r="43" spans="2:11" x14ac:dyDescent="0.2">
      <c r="B43" s="58" t="s">
        <v>168</v>
      </c>
      <c r="C43" s="37">
        <v>21</v>
      </c>
      <c r="D43" s="53">
        <v>2533</v>
      </c>
    </row>
    <row r="44" spans="2:11" x14ac:dyDescent="0.2">
      <c r="B44" s="58" t="s">
        <v>169</v>
      </c>
      <c r="C44" s="37">
        <v>38</v>
      </c>
      <c r="D44" s="53">
        <v>4094</v>
      </c>
    </row>
    <row r="45" spans="2:11" x14ac:dyDescent="0.2">
      <c r="B45" s="58" t="s">
        <v>170</v>
      </c>
      <c r="C45" s="37">
        <v>7</v>
      </c>
      <c r="D45" s="53">
        <v>1296</v>
      </c>
    </row>
    <row r="46" spans="2:11" x14ac:dyDescent="0.2">
      <c r="B46" s="58" t="s">
        <v>171</v>
      </c>
      <c r="C46" s="37">
        <v>21</v>
      </c>
      <c r="D46" s="53">
        <v>1443</v>
      </c>
    </row>
    <row r="47" spans="2:11" x14ac:dyDescent="0.2">
      <c r="B47" s="58" t="s">
        <v>165</v>
      </c>
      <c r="C47" s="37">
        <v>19</v>
      </c>
      <c r="D47" s="53">
        <v>1944</v>
      </c>
    </row>
    <row r="48" spans="2:11" x14ac:dyDescent="0.2">
      <c r="B48" s="58" t="s">
        <v>166</v>
      </c>
      <c r="C48" s="37">
        <v>43</v>
      </c>
      <c r="D48" s="53">
        <v>3505</v>
      </c>
    </row>
    <row r="49" spans="2:7" x14ac:dyDescent="0.2">
      <c r="B49" s="83" t="s">
        <v>486</v>
      </c>
      <c r="C49" s="37">
        <v>3</v>
      </c>
      <c r="D49" s="83">
        <v>471</v>
      </c>
    </row>
    <row r="50" spans="2:7" x14ac:dyDescent="0.2">
      <c r="B50" s="83" t="s">
        <v>488</v>
      </c>
      <c r="C50" s="37">
        <v>4</v>
      </c>
      <c r="D50" s="83">
        <v>118</v>
      </c>
    </row>
    <row r="51" spans="2:7" x14ac:dyDescent="0.2">
      <c r="B51" s="58" t="s">
        <v>216</v>
      </c>
      <c r="C51" s="531">
        <f>SUBTOTAL(109,GSL_OtherFault_Tbl[Other GSL])</f>
        <v>254</v>
      </c>
      <c r="D51" s="535">
        <f>SUBTOTAL(109,GSL_OtherFault_Tbl[Other GSL $])</f>
        <v>24620</v>
      </c>
    </row>
    <row r="52" spans="2:7" x14ac:dyDescent="0.2">
      <c r="B52" s="162"/>
      <c r="C52" s="162"/>
      <c r="D52" s="162"/>
      <c r="E52" s="162"/>
      <c r="F52" s="162"/>
      <c r="G52" s="162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5">
    <tabColor theme="6" tint="0.39997558519241921"/>
  </sheetPr>
  <dimension ref="A1:I18"/>
  <sheetViews>
    <sheetView showGridLines="0" zoomScale="115" zoomScaleNormal="115" workbookViewId="0">
      <selection activeCell="I18" sqref="I18:I19"/>
    </sheetView>
  </sheetViews>
  <sheetFormatPr defaultRowHeight="12" x14ac:dyDescent="0.2"/>
  <cols>
    <col min="2" max="2" width="29.5" bestFit="1" customWidth="1"/>
    <col min="3" max="7" width="14.5" customWidth="1"/>
  </cols>
  <sheetData>
    <row r="1" spans="1:9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  <c r="H1" s="558"/>
      <c r="I1" s="558"/>
    </row>
    <row r="2" spans="1:9" ht="16.5" thickBot="1" x14ac:dyDescent="0.3">
      <c r="A2" s="4" t="str">
        <f ca="1">RIGHT(CELL("filename",A2),LEN(CELL("filename",A2))-FIND("]",CELL("filename",A2)))</f>
        <v>Column_Data</v>
      </c>
      <c r="B2" s="4"/>
      <c r="C2" s="60"/>
      <c r="D2" s="60" t="s">
        <v>967</v>
      </c>
      <c r="E2" s="4"/>
      <c r="F2" s="4"/>
      <c r="G2" s="4"/>
      <c r="H2" s="4"/>
      <c r="I2" s="4"/>
    </row>
    <row r="3" spans="1:9" ht="12.75" thickTop="1" x14ac:dyDescent="0.2"/>
    <row r="5" spans="1:9" x14ac:dyDescent="0.2">
      <c r="B5" s="58" t="s">
        <v>355</v>
      </c>
      <c r="C5" s="61" t="s">
        <v>267</v>
      </c>
      <c r="D5" s="61" t="s">
        <v>268</v>
      </c>
      <c r="E5" s="61" t="s">
        <v>269</v>
      </c>
      <c r="F5" s="61" t="s">
        <v>218</v>
      </c>
      <c r="G5" s="61" t="s">
        <v>270</v>
      </c>
    </row>
    <row r="6" spans="1:9" x14ac:dyDescent="0.2">
      <c r="B6" s="58" t="s">
        <v>271</v>
      </c>
      <c r="C6" s="61">
        <v>3</v>
      </c>
      <c r="D6" s="61">
        <v>6</v>
      </c>
      <c r="E6" s="61">
        <v>1</v>
      </c>
      <c r="F6" s="61">
        <v>5</v>
      </c>
      <c r="G6" s="61">
        <v>4</v>
      </c>
    </row>
    <row r="7" spans="1:9" x14ac:dyDescent="0.2">
      <c r="B7" s="58" t="s">
        <v>272</v>
      </c>
      <c r="C7" s="61">
        <v>1</v>
      </c>
      <c r="D7" s="61">
        <v>4</v>
      </c>
      <c r="E7" s="61">
        <v>4</v>
      </c>
      <c r="F7" s="61">
        <v>2</v>
      </c>
      <c r="G7" s="61">
        <v>3</v>
      </c>
    </row>
    <row r="8" spans="1:9" x14ac:dyDescent="0.2">
      <c r="B8" s="58" t="s">
        <v>273</v>
      </c>
      <c r="C8" s="61">
        <v>3</v>
      </c>
      <c r="D8" s="61">
        <v>2</v>
      </c>
      <c r="E8" s="61">
        <v>4</v>
      </c>
      <c r="F8" s="61">
        <v>7</v>
      </c>
      <c r="G8" s="61">
        <v>4</v>
      </c>
    </row>
    <row r="9" spans="1:9" x14ac:dyDescent="0.2">
      <c r="B9" s="58" t="s">
        <v>274</v>
      </c>
      <c r="C9" s="61">
        <v>8</v>
      </c>
      <c r="D9" s="61">
        <v>5</v>
      </c>
      <c r="E9" s="61">
        <v>19</v>
      </c>
      <c r="F9" s="61">
        <v>4</v>
      </c>
      <c r="G9" s="61">
        <v>9</v>
      </c>
    </row>
    <row r="10" spans="1:9" x14ac:dyDescent="0.2">
      <c r="B10" s="58" t="s">
        <v>275</v>
      </c>
      <c r="C10" s="61">
        <v>10</v>
      </c>
      <c r="D10" s="61">
        <v>1</v>
      </c>
      <c r="E10" s="61">
        <v>11</v>
      </c>
      <c r="F10" s="61">
        <v>6</v>
      </c>
      <c r="G10" s="61">
        <v>7</v>
      </c>
    </row>
    <row r="11" spans="1:9" x14ac:dyDescent="0.2">
      <c r="B11" s="58" t="s">
        <v>276</v>
      </c>
      <c r="C11" s="61">
        <v>4</v>
      </c>
      <c r="D11" s="61">
        <v>11</v>
      </c>
      <c r="E11" s="61">
        <v>3</v>
      </c>
      <c r="F11" s="61">
        <v>15</v>
      </c>
      <c r="G11" s="61">
        <v>8</v>
      </c>
    </row>
    <row r="12" spans="1:9" x14ac:dyDescent="0.2">
      <c r="B12" s="58" t="s">
        <v>277</v>
      </c>
      <c r="C12" s="61">
        <v>8</v>
      </c>
      <c r="D12" s="61">
        <v>7</v>
      </c>
      <c r="E12" s="61">
        <v>5</v>
      </c>
      <c r="F12" s="61">
        <v>5</v>
      </c>
      <c r="G12" s="61">
        <v>6</v>
      </c>
    </row>
    <row r="13" spans="1:9" x14ac:dyDescent="0.2">
      <c r="B13" s="58" t="s">
        <v>278</v>
      </c>
      <c r="C13" s="61">
        <v>5</v>
      </c>
      <c r="D13" s="61">
        <v>12</v>
      </c>
      <c r="E13" s="61">
        <v>11</v>
      </c>
      <c r="F13" s="61">
        <v>17</v>
      </c>
      <c r="G13" s="61">
        <v>11</v>
      </c>
    </row>
    <row r="14" spans="1:9" x14ac:dyDescent="0.2">
      <c r="B14" s="58" t="s">
        <v>279</v>
      </c>
      <c r="C14" s="61">
        <v>2</v>
      </c>
      <c r="D14" s="61">
        <v>10</v>
      </c>
      <c r="E14" s="61">
        <v>7</v>
      </c>
      <c r="F14" s="61"/>
      <c r="G14" s="61">
        <v>6</v>
      </c>
    </row>
    <row r="15" spans="1:9" x14ac:dyDescent="0.2">
      <c r="B15" s="58" t="s">
        <v>280</v>
      </c>
      <c r="C15" s="61">
        <v>8</v>
      </c>
      <c r="D15" s="61">
        <v>8</v>
      </c>
      <c r="E15" s="61">
        <v>7</v>
      </c>
      <c r="F15" s="61"/>
      <c r="G15" s="61">
        <v>8</v>
      </c>
    </row>
    <row r="16" spans="1:9" x14ac:dyDescent="0.2">
      <c r="B16" s="58" t="s">
        <v>281</v>
      </c>
      <c r="C16" s="61">
        <v>4</v>
      </c>
      <c r="D16" s="61">
        <v>4</v>
      </c>
      <c r="E16" s="61">
        <v>5</v>
      </c>
      <c r="F16" s="61"/>
      <c r="G16" s="61">
        <v>4</v>
      </c>
    </row>
    <row r="17" spans="2:7" x14ac:dyDescent="0.2">
      <c r="B17" s="58" t="s">
        <v>282</v>
      </c>
      <c r="C17" s="61">
        <v>1</v>
      </c>
      <c r="D17" s="61">
        <v>3</v>
      </c>
      <c r="E17" s="61">
        <v>5</v>
      </c>
      <c r="F17" s="61"/>
      <c r="G17" s="61">
        <v>3</v>
      </c>
    </row>
    <row r="18" spans="2:7" x14ac:dyDescent="0.2">
      <c r="B18" s="58" t="s">
        <v>216</v>
      </c>
      <c r="C18" s="61">
        <f>SUBTOTAL(109,Table1[2015])</f>
        <v>57</v>
      </c>
      <c r="D18" s="61">
        <f>SUBTOTAL(109,Table1[2016])</f>
        <v>73</v>
      </c>
      <c r="E18" s="61">
        <f>SUBTOTAL(109,Table1[2017])</f>
        <v>82</v>
      </c>
      <c r="F18" s="61">
        <f>SUBTOTAL(109,Table1[2018])</f>
        <v>61</v>
      </c>
      <c r="G18" s="61">
        <f>SUBTOTAL(109,Table1[Average])</f>
        <v>73</v>
      </c>
    </row>
  </sheetData>
  <pageMargins left="0.7" right="0.7" top="0.75" bottom="0.75" header="0.3" footer="0.3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0">
    <tabColor theme="6" tint="0.39997558519241921"/>
  </sheetPr>
  <dimension ref="A1:I77"/>
  <sheetViews>
    <sheetView showGridLines="0" topLeftCell="A22" workbookViewId="0">
      <selection activeCell="K15" sqref="K15"/>
    </sheetView>
  </sheetViews>
  <sheetFormatPr defaultRowHeight="12" x14ac:dyDescent="0.2"/>
  <cols>
    <col min="1" max="1" width="4.6640625" customWidth="1"/>
    <col min="2" max="7" width="14.6640625" customWidth="1"/>
    <col min="8" max="8" width="19.6640625" bestFit="1" customWidth="1"/>
    <col min="9" max="9" width="4.6640625" customWidth="1"/>
  </cols>
  <sheetData>
    <row r="1" spans="1:9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</row>
    <row r="2" spans="1:9" ht="16.5" thickBot="1" x14ac:dyDescent="0.3">
      <c r="A2" s="4" t="str">
        <f ca="1">RIGHT(CELL("filename",A2),LEN(CELL("filename",A2))-FIND("]",CELL("filename",A2)))</f>
        <v>SLO_Data</v>
      </c>
      <c r="B2" s="4"/>
      <c r="C2" s="60"/>
      <c r="D2" s="60" t="s">
        <v>217</v>
      </c>
      <c r="E2" s="4"/>
      <c r="F2" s="4"/>
      <c r="G2" s="4"/>
      <c r="H2" s="4"/>
      <c r="I2" s="4"/>
    </row>
    <row r="3" spans="1:9" ht="12.75" thickTop="1" x14ac:dyDescent="0.2"/>
    <row r="4" spans="1:9" s="58" customFormat="1" ht="12.75" x14ac:dyDescent="0.2">
      <c r="B4" s="5" t="s">
        <v>318</v>
      </c>
    </row>
    <row r="5" spans="1:9" s="58" customFormat="1" ht="15" x14ac:dyDescent="0.25">
      <c r="B5" s="451" t="s">
        <v>304</v>
      </c>
      <c r="C5" s="135">
        <v>42948</v>
      </c>
      <c r="D5" s="61" t="s">
        <v>305</v>
      </c>
      <c r="E5" s="135">
        <v>43312</v>
      </c>
    </row>
    <row r="6" spans="1:9" ht="15" x14ac:dyDescent="0.25">
      <c r="B6" s="451" t="s">
        <v>163</v>
      </c>
      <c r="C6" s="386" t="s">
        <v>709</v>
      </c>
      <c r="D6" s="386"/>
      <c r="E6" s="386"/>
    </row>
    <row r="7" spans="1:9" ht="15" x14ac:dyDescent="0.25">
      <c r="B7" s="451" t="s">
        <v>162</v>
      </c>
      <c r="C7" s="386" t="s">
        <v>307</v>
      </c>
      <c r="D7" s="386"/>
      <c r="E7" s="386"/>
    </row>
    <row r="8" spans="1:9" x14ac:dyDescent="0.2">
      <c r="A8" s="38"/>
    </row>
    <row r="9" spans="1:9" x14ac:dyDescent="0.2">
      <c r="B9" s="68" t="s">
        <v>174</v>
      </c>
      <c r="C9" s="69" t="s">
        <v>194</v>
      </c>
      <c r="D9" s="69" t="s">
        <v>195</v>
      </c>
      <c r="E9" s="70" t="s">
        <v>215</v>
      </c>
      <c r="F9" s="69" t="s">
        <v>216</v>
      </c>
    </row>
    <row r="10" spans="1:9" x14ac:dyDescent="0.2">
      <c r="B10" t="s">
        <v>164</v>
      </c>
      <c r="C10" s="37">
        <v>1387</v>
      </c>
      <c r="D10" s="37">
        <v>102</v>
      </c>
      <c r="E10" s="37">
        <v>290</v>
      </c>
      <c r="F10" s="37">
        <v>1779</v>
      </c>
    </row>
    <row r="11" spans="1:9" x14ac:dyDescent="0.2">
      <c r="B11" t="s">
        <v>489</v>
      </c>
      <c r="C11" s="37">
        <v>98</v>
      </c>
      <c r="D11" s="37">
        <v>8</v>
      </c>
      <c r="E11" s="37">
        <v>5</v>
      </c>
      <c r="F11" s="37">
        <v>111</v>
      </c>
    </row>
    <row r="12" spans="1:9" x14ac:dyDescent="0.2">
      <c r="B12" t="s">
        <v>172</v>
      </c>
      <c r="C12" s="37">
        <v>1426</v>
      </c>
      <c r="D12" s="37">
        <v>95</v>
      </c>
      <c r="E12" s="37">
        <v>671</v>
      </c>
      <c r="F12" s="37">
        <v>2192</v>
      </c>
    </row>
    <row r="13" spans="1:9" x14ac:dyDescent="0.2">
      <c r="B13" t="s">
        <v>161</v>
      </c>
      <c r="C13" s="37">
        <v>0</v>
      </c>
      <c r="D13" s="37">
        <v>0</v>
      </c>
      <c r="E13" s="37">
        <v>5</v>
      </c>
      <c r="F13" s="37">
        <v>5</v>
      </c>
    </row>
    <row r="14" spans="1:9" x14ac:dyDescent="0.2">
      <c r="B14" t="s">
        <v>188</v>
      </c>
      <c r="C14" s="37">
        <v>0</v>
      </c>
      <c r="D14" s="37">
        <v>0</v>
      </c>
      <c r="E14" s="37">
        <v>5</v>
      </c>
      <c r="F14" s="37">
        <v>5</v>
      </c>
    </row>
    <row r="15" spans="1:9" x14ac:dyDescent="0.2">
      <c r="B15" t="s">
        <v>173</v>
      </c>
      <c r="C15" s="37">
        <v>1978</v>
      </c>
      <c r="D15" s="37">
        <v>489</v>
      </c>
      <c r="E15" s="37">
        <v>2706</v>
      </c>
      <c r="F15" s="37">
        <v>5173</v>
      </c>
    </row>
    <row r="16" spans="1:9" x14ac:dyDescent="0.2">
      <c r="B16" t="s">
        <v>486</v>
      </c>
      <c r="C16" s="37">
        <v>157</v>
      </c>
      <c r="D16" s="37">
        <v>29</v>
      </c>
      <c r="E16" s="37">
        <v>126</v>
      </c>
      <c r="F16" s="37">
        <v>312</v>
      </c>
    </row>
    <row r="17" spans="2:6" x14ac:dyDescent="0.2">
      <c r="B17" t="s">
        <v>193</v>
      </c>
      <c r="C17" s="37">
        <v>349</v>
      </c>
      <c r="D17" s="37">
        <v>127</v>
      </c>
      <c r="E17" s="37">
        <v>322</v>
      </c>
      <c r="F17" s="37">
        <v>798</v>
      </c>
    </row>
    <row r="18" spans="2:6" x14ac:dyDescent="0.2">
      <c r="B18" t="s">
        <v>488</v>
      </c>
      <c r="C18" s="37">
        <v>38</v>
      </c>
      <c r="D18" s="37">
        <v>3</v>
      </c>
      <c r="E18" s="37">
        <v>18</v>
      </c>
      <c r="F18" s="37">
        <v>59</v>
      </c>
    </row>
    <row r="19" spans="2:6" x14ac:dyDescent="0.2">
      <c r="B19" t="s">
        <v>167</v>
      </c>
      <c r="C19" s="37">
        <v>1071</v>
      </c>
      <c r="D19" s="37">
        <v>401</v>
      </c>
      <c r="E19" s="37">
        <v>870</v>
      </c>
      <c r="F19" s="37">
        <v>2342</v>
      </c>
    </row>
    <row r="20" spans="2:6" x14ac:dyDescent="0.2">
      <c r="B20" t="s">
        <v>168</v>
      </c>
      <c r="C20" s="37">
        <v>720</v>
      </c>
      <c r="D20" s="37">
        <v>286</v>
      </c>
      <c r="E20" s="37">
        <v>612</v>
      </c>
      <c r="F20" s="37">
        <v>1618</v>
      </c>
    </row>
    <row r="21" spans="2:6" x14ac:dyDescent="0.2">
      <c r="B21" t="s">
        <v>169</v>
      </c>
      <c r="C21" s="37">
        <v>296</v>
      </c>
      <c r="D21" s="37">
        <v>107</v>
      </c>
      <c r="E21" s="37">
        <v>270</v>
      </c>
      <c r="F21" s="37">
        <v>673</v>
      </c>
    </row>
    <row r="22" spans="2:6" x14ac:dyDescent="0.2">
      <c r="B22" t="s">
        <v>170</v>
      </c>
      <c r="C22" s="37">
        <v>29</v>
      </c>
      <c r="D22" s="37">
        <v>22</v>
      </c>
      <c r="E22" s="37">
        <v>40</v>
      </c>
      <c r="F22" s="37">
        <v>91</v>
      </c>
    </row>
    <row r="23" spans="2:6" x14ac:dyDescent="0.2">
      <c r="B23" s="37" t="s">
        <v>171</v>
      </c>
      <c r="C23" s="37">
        <v>1338</v>
      </c>
      <c r="D23" s="37">
        <v>167</v>
      </c>
      <c r="E23" s="37">
        <v>1194</v>
      </c>
      <c r="F23" s="37">
        <v>2699</v>
      </c>
    </row>
    <row r="24" spans="2:6" x14ac:dyDescent="0.2">
      <c r="B24" s="37" t="s">
        <v>487</v>
      </c>
      <c r="C24" s="37">
        <v>88</v>
      </c>
      <c r="D24" s="37">
        <v>16</v>
      </c>
      <c r="E24" s="37">
        <v>69</v>
      </c>
      <c r="F24" s="37">
        <v>173</v>
      </c>
    </row>
    <row r="25" spans="2:6" x14ac:dyDescent="0.2">
      <c r="B25" s="37" t="s">
        <v>165</v>
      </c>
      <c r="C25" s="37">
        <v>0</v>
      </c>
      <c r="D25" s="37">
        <v>141</v>
      </c>
      <c r="E25" s="37">
        <v>557</v>
      </c>
      <c r="F25" s="37">
        <v>698</v>
      </c>
    </row>
    <row r="26" spans="2:6" x14ac:dyDescent="0.2">
      <c r="B26" s="37" t="s">
        <v>166</v>
      </c>
      <c r="C26" s="37">
        <v>0</v>
      </c>
      <c r="D26" s="37">
        <v>485</v>
      </c>
      <c r="E26" s="37">
        <v>1529</v>
      </c>
      <c r="F26" s="37">
        <v>2014</v>
      </c>
    </row>
    <row r="27" spans="2:6" s="58" customFormat="1" x14ac:dyDescent="0.2">
      <c r="B27" s="531" t="s">
        <v>216</v>
      </c>
      <c r="C27" s="531">
        <f>SUBTOTAL(109,SLO_Data_Import[Lamp])</f>
        <v>8975</v>
      </c>
      <c r="D27" s="531">
        <f>SUBTOTAL(109,SLO_Data_Import[PE Cell])</f>
        <v>2478</v>
      </c>
      <c r="E27" s="531">
        <f>SUBTOTAL(109,SLO_Data_Import[Misc. Other])</f>
        <v>9289</v>
      </c>
      <c r="F27" s="531">
        <f>SUBTOTAL(109,SLO_Data_Import[Total])</f>
        <v>20742</v>
      </c>
    </row>
    <row r="28" spans="2:6" s="58" customFormat="1" x14ac:dyDescent="0.2"/>
    <row r="29" spans="2:6" s="58" customFormat="1" x14ac:dyDescent="0.2"/>
    <row r="31" spans="2:6" s="386" customFormat="1" ht="12.75" x14ac:dyDescent="0.2">
      <c r="B31" s="5" t="s">
        <v>731</v>
      </c>
    </row>
    <row r="32" spans="2:6" s="386" customFormat="1" ht="15" x14ac:dyDescent="0.25">
      <c r="B32" s="451" t="s">
        <v>304</v>
      </c>
      <c r="C32" s="135">
        <v>42948</v>
      </c>
      <c r="D32" s="61" t="s">
        <v>305</v>
      </c>
      <c r="E32" s="135">
        <v>43312</v>
      </c>
    </row>
    <row r="33" spans="2:5" s="386" customFormat="1" ht="15" x14ac:dyDescent="0.25">
      <c r="B33" s="451" t="s">
        <v>163</v>
      </c>
      <c r="C33" s="386" t="s">
        <v>710</v>
      </c>
    </row>
    <row r="34" spans="2:5" s="386" customFormat="1" ht="15" x14ac:dyDescent="0.25">
      <c r="B34" s="451" t="s">
        <v>162</v>
      </c>
      <c r="C34" s="386" t="s">
        <v>307</v>
      </c>
    </row>
    <row r="35" spans="2:5" s="386" customFormat="1" x14ac:dyDescent="0.2">
      <c r="B35"/>
      <c r="C35"/>
      <c r="D35"/>
      <c r="E35"/>
    </row>
    <row r="36" spans="2:5" s="386" customFormat="1" x14ac:dyDescent="0.2">
      <c r="B36" t="s">
        <v>174</v>
      </c>
      <c r="C36" t="s">
        <v>64</v>
      </c>
      <c r="D36" t="s">
        <v>1119</v>
      </c>
      <c r="E36" t="s">
        <v>1120</v>
      </c>
    </row>
    <row r="37" spans="2:5" s="386" customFormat="1" x14ac:dyDescent="0.2">
      <c r="B37" t="s">
        <v>164</v>
      </c>
      <c r="C37">
        <v>115</v>
      </c>
      <c r="D37">
        <v>3</v>
      </c>
      <c r="E37">
        <v>98</v>
      </c>
    </row>
    <row r="38" spans="2:5" s="386" customFormat="1" x14ac:dyDescent="0.2">
      <c r="B38" t="s">
        <v>489</v>
      </c>
      <c r="C38" s="154">
        <v>0.28000000000000003</v>
      </c>
      <c r="D38" s="154">
        <v>7.0000000000000007E-2</v>
      </c>
      <c r="E38" s="154">
        <v>0.23</v>
      </c>
    </row>
    <row r="39" spans="2:5" s="386" customFormat="1" x14ac:dyDescent="0.2">
      <c r="B39" t="s">
        <v>172</v>
      </c>
      <c r="C39">
        <v>24</v>
      </c>
      <c r="D39">
        <v>1</v>
      </c>
      <c r="E39">
        <v>11</v>
      </c>
    </row>
    <row r="40" spans="2:5" s="386" customFormat="1" x14ac:dyDescent="0.2">
      <c r="B40" t="s">
        <v>161</v>
      </c>
      <c r="C40">
        <v>0</v>
      </c>
      <c r="D40">
        <v>0</v>
      </c>
      <c r="E40">
        <v>0</v>
      </c>
    </row>
    <row r="41" spans="2:5" s="386" customFormat="1" x14ac:dyDescent="0.2">
      <c r="B41" t="s">
        <v>188</v>
      </c>
      <c r="C41">
        <v>0</v>
      </c>
      <c r="D41">
        <v>0</v>
      </c>
      <c r="E41">
        <v>0</v>
      </c>
    </row>
    <row r="42" spans="2:5" s="386" customFormat="1" x14ac:dyDescent="0.2">
      <c r="B42" t="s">
        <v>173</v>
      </c>
      <c r="C42">
        <v>407</v>
      </c>
      <c r="D42">
        <v>33</v>
      </c>
      <c r="E42">
        <v>244</v>
      </c>
    </row>
    <row r="43" spans="2:5" s="386" customFormat="1" x14ac:dyDescent="0.2">
      <c r="B43" t="s">
        <v>486</v>
      </c>
      <c r="C43">
        <v>4</v>
      </c>
      <c r="D43">
        <v>0</v>
      </c>
      <c r="E43">
        <v>2</v>
      </c>
    </row>
    <row r="44" spans="2:5" s="386" customFormat="1" x14ac:dyDescent="0.2">
      <c r="B44" t="s">
        <v>193</v>
      </c>
      <c r="C44">
        <v>90</v>
      </c>
      <c r="D44">
        <v>9</v>
      </c>
      <c r="E44">
        <v>60</v>
      </c>
    </row>
    <row r="45" spans="2:5" s="386" customFormat="1" x14ac:dyDescent="0.2">
      <c r="B45" t="s">
        <v>488</v>
      </c>
      <c r="C45">
        <v>295</v>
      </c>
      <c r="D45">
        <v>14</v>
      </c>
      <c r="E45">
        <v>176</v>
      </c>
    </row>
    <row r="46" spans="2:5" s="386" customFormat="1" x14ac:dyDescent="0.2">
      <c r="B46" t="s">
        <v>167</v>
      </c>
      <c r="C46">
        <v>837</v>
      </c>
      <c r="D46">
        <v>60</v>
      </c>
      <c r="E46">
        <v>577</v>
      </c>
    </row>
    <row r="47" spans="2:5" s="386" customFormat="1" x14ac:dyDescent="0.2">
      <c r="B47" t="s">
        <v>168</v>
      </c>
      <c r="C47">
        <v>982</v>
      </c>
      <c r="D47">
        <v>75</v>
      </c>
      <c r="E47">
        <v>767</v>
      </c>
    </row>
    <row r="48" spans="2:5" s="386" customFormat="1" x14ac:dyDescent="0.2">
      <c r="B48" t="s">
        <v>169</v>
      </c>
      <c r="C48">
        <v>2625</v>
      </c>
      <c r="D48">
        <v>238</v>
      </c>
      <c r="E48">
        <v>1978</v>
      </c>
    </row>
    <row r="49" spans="1:9" s="386" customFormat="1" x14ac:dyDescent="0.2">
      <c r="B49" t="s">
        <v>170</v>
      </c>
      <c r="C49">
        <v>8</v>
      </c>
      <c r="D49">
        <v>1</v>
      </c>
      <c r="E49">
        <v>4</v>
      </c>
    </row>
    <row r="50" spans="1:9" s="386" customFormat="1" x14ac:dyDescent="0.2">
      <c r="B50" t="s">
        <v>171</v>
      </c>
      <c r="C50">
        <v>68</v>
      </c>
      <c r="D50">
        <v>4</v>
      </c>
      <c r="E50">
        <v>41</v>
      </c>
    </row>
    <row r="51" spans="1:9" s="386" customFormat="1" x14ac:dyDescent="0.2">
      <c r="B51" t="s">
        <v>487</v>
      </c>
      <c r="C51">
        <v>4</v>
      </c>
      <c r="D51">
        <v>1</v>
      </c>
      <c r="E51">
        <v>4</v>
      </c>
    </row>
    <row r="52" spans="1:9" s="386" customFormat="1" x14ac:dyDescent="0.2">
      <c r="B52" t="s">
        <v>165</v>
      </c>
      <c r="C52">
        <v>42</v>
      </c>
      <c r="D52">
        <v>3</v>
      </c>
      <c r="E52">
        <v>32</v>
      </c>
    </row>
    <row r="53" spans="1:9" s="386" customFormat="1" x14ac:dyDescent="0.2">
      <c r="B53" t="s">
        <v>166</v>
      </c>
      <c r="C53">
        <v>85</v>
      </c>
      <c r="D53">
        <v>9</v>
      </c>
      <c r="E53">
        <v>59</v>
      </c>
    </row>
    <row r="54" spans="1:9" s="386" customFormat="1" x14ac:dyDescent="0.2">
      <c r="B54" s="386" t="s">
        <v>216</v>
      </c>
      <c r="C54" s="386">
        <f>SUBTOTAL(109,SLO_CLER_Import[Total SLO])</f>
        <v>5586.28</v>
      </c>
      <c r="D54" s="558">
        <f>SUBTOTAL(109,SLO_CLER_Import[Total PE Cells])</f>
        <v>451.07</v>
      </c>
      <c r="E54" s="558">
        <f>SUBTOTAL(109,SLO_CLER_Import[Total Lamp])</f>
        <v>4053.23</v>
      </c>
    </row>
    <row r="55" spans="1:9" s="386" customFormat="1" x14ac:dyDescent="0.2"/>
    <row r="56" spans="1:9" s="386" customFormat="1" x14ac:dyDescent="0.2"/>
    <row r="57" spans="1:9" ht="16.5" thickBot="1" x14ac:dyDescent="0.3">
      <c r="A57" s="4" t="s">
        <v>224</v>
      </c>
      <c r="B57" s="4"/>
      <c r="C57" s="60"/>
      <c r="D57" s="60" t="s">
        <v>319</v>
      </c>
      <c r="E57" s="4"/>
      <c r="F57" s="4"/>
      <c r="G57" s="4"/>
      <c r="H57" s="4"/>
      <c r="I57" s="4"/>
    </row>
    <row r="58" spans="1:9" ht="12.75" thickTop="1" x14ac:dyDescent="0.2"/>
    <row r="59" spans="1:9" x14ac:dyDescent="0.2">
      <c r="B59" t="s">
        <v>219</v>
      </c>
      <c r="C59" s="45" t="s">
        <v>51</v>
      </c>
      <c r="D59" s="45" t="s">
        <v>53</v>
      </c>
      <c r="E59" s="45" t="s">
        <v>708</v>
      </c>
      <c r="F59" s="45" t="s">
        <v>54</v>
      </c>
      <c r="G59" s="45" t="s">
        <v>49</v>
      </c>
      <c r="H59" s="45" t="s">
        <v>225</v>
      </c>
    </row>
    <row r="60" spans="1:9" x14ac:dyDescent="0.2">
      <c r="B60" t="s">
        <v>164</v>
      </c>
      <c r="C60" s="93">
        <f>HLOOKUP(SLO_Equipt_tbl[[#Headers],[PLC]],Equipt_Data_Import[#All],MATCH(SLO_Equipt_tbl[[#This Row],[Base Lamp]:[Base Lamp]],Equipt_Data_Import[[#All],[Base Lamp]],0),FALSE)</f>
        <v>0</v>
      </c>
      <c r="D60" s="93">
        <f>HLOOKUP(SLO_Equipt_tbl[[#Headers],[TFI]],Equipt_Data_Import[#All],MATCH(SLO_Equipt_tbl[[#This Row],[Base Lamp]:[Base Lamp]],Equipt_Data_Import[[#All],[Base Lamp]],0),FALSE)</f>
        <v>0</v>
      </c>
      <c r="E60" s="94">
        <f>SLO_Equipt_tbl[[#This Row],[PLC]]+SLO_Equipt_tbl[[#This Row],[TFI]]</f>
        <v>0</v>
      </c>
      <c r="F60" s="93">
        <f>HLOOKUP(SLO_Equipt_tbl[[#Headers],[SAPN]],Equipt_Data_Import[#All],MATCH(SLO_Equipt_tbl[[#This Row],[Base Lamp]:[Base Lamp]],Equipt_Data_Import[[#All],[Base Lamp]],0),FALSE)</f>
        <v>0</v>
      </c>
      <c r="G60" s="93">
        <f>HLOOKUP(SLO_Equipt_tbl[[#Headers],[SLUOS]],Equipt_Data_Import[#All],MATCH(SLO_Equipt_tbl[[#This Row],[Base Lamp]:[Base Lamp]],Equipt_Data_Import[[#All],[Base Lamp]],0),FALSE)</f>
        <v>8524</v>
      </c>
      <c r="H60" s="95">
        <f>SLO_Equipt_tbl[[#This Row],[PLC_TFI]]+SLO_Equipt_tbl[[#This Row],[SAPN]]+SLO_Equipt_tbl[[#This Row],[SLUOS]]</f>
        <v>8524</v>
      </c>
    </row>
    <row r="61" spans="1:9" x14ac:dyDescent="0.2">
      <c r="B61" t="s">
        <v>489</v>
      </c>
      <c r="C61" s="93">
        <f>HLOOKUP(SLO_Equipt_tbl[[#Headers],[PLC]],Equipt_Data_Import[#All],MATCH(SLO_Equipt_tbl[[#This Row],[Base Lamp]:[Base Lamp]],Equipt_Data_Import[[#All],[Base Lamp]],0),FALSE)</f>
        <v>0</v>
      </c>
      <c r="D61" s="93">
        <f>HLOOKUP(SLO_Equipt_tbl[[#Headers],[TFI]],Equipt_Data_Import[#All],MATCH(SLO_Equipt_tbl[[#This Row],[Base Lamp]:[Base Lamp]],Equipt_Data_Import[[#All],[Base Lamp]],0),FALSE)</f>
        <v>0</v>
      </c>
      <c r="E61" s="94">
        <f>SLO_Equipt_tbl[[#This Row],[PLC]]+SLO_Equipt_tbl[[#This Row],[TFI]]</f>
        <v>0</v>
      </c>
      <c r="F61" s="93">
        <f>HLOOKUP(SLO_Equipt_tbl[[#Headers],[SAPN]],Equipt_Data_Import[#All],MATCH(SLO_Equipt_tbl[[#This Row],[Base Lamp]:[Base Lamp]],Equipt_Data_Import[[#All],[Base Lamp]],0),FALSE)</f>
        <v>0</v>
      </c>
      <c r="G61" s="93">
        <f>HLOOKUP(SLO_Equipt_tbl[[#Headers],[SLUOS]],Equipt_Data_Import[#All],MATCH(SLO_Equipt_tbl[[#This Row],[Base Lamp]:[Base Lamp]],Equipt_Data_Import[[#All],[Base Lamp]],0),FALSE)</f>
        <v>265</v>
      </c>
      <c r="H61" s="95">
        <f>SLO_Equipt_tbl[[#This Row],[PLC_TFI]]+SLO_Equipt_tbl[[#This Row],[SAPN]]+SLO_Equipt_tbl[[#This Row],[SLUOS]]</f>
        <v>265</v>
      </c>
    </row>
    <row r="62" spans="1:9" x14ac:dyDescent="0.2">
      <c r="B62" t="s">
        <v>172</v>
      </c>
      <c r="C62" s="93">
        <f>HLOOKUP(SLO_Equipt_tbl[[#Headers],[PLC]],Equipt_Data_Import[#All],MATCH(SLO_Equipt_tbl[[#This Row],[Base Lamp]:[Base Lamp]],Equipt_Data_Import[[#All],[Base Lamp]],0),FALSE)</f>
        <v>0</v>
      </c>
      <c r="D62" s="93">
        <f>HLOOKUP(SLO_Equipt_tbl[[#Headers],[TFI]],Equipt_Data_Import[#All],MATCH(SLO_Equipt_tbl[[#This Row],[Base Lamp]:[Base Lamp]],Equipt_Data_Import[[#All],[Base Lamp]],0),FALSE)</f>
        <v>0</v>
      </c>
      <c r="E62" s="94">
        <f>SLO_Equipt_tbl[[#This Row],[PLC]]+SLO_Equipt_tbl[[#This Row],[TFI]]</f>
        <v>0</v>
      </c>
      <c r="F62" s="93">
        <f>HLOOKUP(SLO_Equipt_tbl[[#Headers],[SAPN]],Equipt_Data_Import[#All],MATCH(SLO_Equipt_tbl[[#This Row],[Base Lamp]:[Base Lamp]],Equipt_Data_Import[[#All],[Base Lamp]],0),FALSE)</f>
        <v>0</v>
      </c>
      <c r="G62" s="93">
        <f>HLOOKUP(SLO_Equipt_tbl[[#Headers],[SLUOS]],Equipt_Data_Import[#All],MATCH(SLO_Equipt_tbl[[#This Row],[Base Lamp]:[Base Lamp]],Equipt_Data_Import[[#All],[Base Lamp]],0),FALSE)</f>
        <v>13561</v>
      </c>
      <c r="H62" s="95">
        <f>SLO_Equipt_tbl[[#This Row],[PLC_TFI]]+SLO_Equipt_tbl[[#This Row],[SAPN]]+SLO_Equipt_tbl[[#This Row],[SLUOS]]</f>
        <v>13561</v>
      </c>
    </row>
    <row r="63" spans="1:9" x14ac:dyDescent="0.2">
      <c r="B63" t="s">
        <v>161</v>
      </c>
      <c r="C63" s="93">
        <f>HLOOKUP(SLO_Equipt_tbl[[#Headers],[PLC]],Equipt_Data_Import[#All],MATCH(SLO_Equipt_tbl[[#This Row],[Base Lamp]:[Base Lamp]],Equipt_Data_Import[[#All],[Base Lamp]],0),FALSE)</f>
        <v>7305</v>
      </c>
      <c r="D63" s="93">
        <f>HLOOKUP(SLO_Equipt_tbl[[#Headers],[TFI]],Equipt_Data_Import[#All],MATCH(SLO_Equipt_tbl[[#This Row],[Base Lamp]:[Base Lamp]],Equipt_Data_Import[[#All],[Base Lamp]],0),FALSE)</f>
        <v>390</v>
      </c>
      <c r="E63" s="94">
        <f>SLO_Equipt_tbl[[#This Row],[PLC]]+SLO_Equipt_tbl[[#This Row],[TFI]]</f>
        <v>7695</v>
      </c>
      <c r="F63" s="93">
        <f>HLOOKUP(SLO_Equipt_tbl[[#Headers],[SAPN]],Equipt_Data_Import[#All],MATCH(SLO_Equipt_tbl[[#This Row],[Base Lamp]:[Base Lamp]],Equipt_Data_Import[[#All],[Base Lamp]],0),FALSE)</f>
        <v>24733</v>
      </c>
      <c r="G63" s="93">
        <f>HLOOKUP(SLO_Equipt_tbl[[#Headers],[SLUOS]],Equipt_Data_Import[#All],MATCH(SLO_Equipt_tbl[[#This Row],[Base Lamp]:[Base Lamp]],Equipt_Data_Import[[#All],[Base Lamp]],0),FALSE)</f>
        <v>0</v>
      </c>
      <c r="H63" s="95">
        <f>SLO_Equipt_tbl[[#This Row],[PLC_TFI]]+SLO_Equipt_tbl[[#This Row],[SAPN]]+SLO_Equipt_tbl[[#This Row],[SLUOS]]</f>
        <v>32428</v>
      </c>
    </row>
    <row r="64" spans="1:9" x14ac:dyDescent="0.2">
      <c r="B64" t="s">
        <v>188</v>
      </c>
      <c r="C64" s="93">
        <f>HLOOKUP(SLO_Equipt_tbl[[#Headers],[PLC]],Equipt_Data_Import[#All],MATCH(SLO_Equipt_tbl[[#This Row],[Base Lamp]:[Base Lamp]],Equipt_Data_Import[[#All],[Base Lamp]],0),FALSE)</f>
        <v>226</v>
      </c>
      <c r="D64" s="93">
        <f>HLOOKUP(SLO_Equipt_tbl[[#Headers],[TFI]],Equipt_Data_Import[#All],MATCH(SLO_Equipt_tbl[[#This Row],[Base Lamp]:[Base Lamp]],Equipt_Data_Import[[#All],[Base Lamp]],0),FALSE)</f>
        <v>84</v>
      </c>
      <c r="E64" s="94">
        <f>SLO_Equipt_tbl[[#This Row],[PLC]]+SLO_Equipt_tbl[[#This Row],[TFI]]</f>
        <v>310</v>
      </c>
      <c r="F64" s="93">
        <f>HLOOKUP(SLO_Equipt_tbl[[#Headers],[SAPN]],Equipt_Data_Import[#All],MATCH(SLO_Equipt_tbl[[#This Row],[Base Lamp]:[Base Lamp]],Equipt_Data_Import[[#All],[Base Lamp]],0),FALSE)</f>
        <v>145</v>
      </c>
      <c r="G64" s="93">
        <f>HLOOKUP(SLO_Equipt_tbl[[#Headers],[SLUOS]],Equipt_Data_Import[#All],MATCH(SLO_Equipt_tbl[[#This Row],[Base Lamp]:[Base Lamp]],Equipt_Data_Import[[#All],[Base Lamp]],0),FALSE)</f>
        <v>0</v>
      </c>
      <c r="H64" s="95">
        <f>SLO_Equipt_tbl[[#This Row],[PLC_TFI]]+SLO_Equipt_tbl[[#This Row],[SAPN]]+SLO_Equipt_tbl[[#This Row],[SLUOS]]</f>
        <v>455</v>
      </c>
    </row>
    <row r="65" spans="2:8" x14ac:dyDescent="0.2">
      <c r="B65" t="s">
        <v>173</v>
      </c>
      <c r="C65" s="93">
        <f>HLOOKUP(SLO_Equipt_tbl[[#Headers],[PLC]],Equipt_Data_Import[#All],MATCH(SLO_Equipt_tbl[[#This Row],[Base Lamp]:[Base Lamp]],Equipt_Data_Import[[#All],[Base Lamp]],0),FALSE)</f>
        <v>0</v>
      </c>
      <c r="D65" s="93">
        <f>HLOOKUP(SLO_Equipt_tbl[[#Headers],[TFI]],Equipt_Data_Import[#All],MATCH(SLO_Equipt_tbl[[#This Row],[Base Lamp]:[Base Lamp]],Equipt_Data_Import[[#All],[Base Lamp]],0),FALSE)</f>
        <v>0</v>
      </c>
      <c r="E65" s="94">
        <f>SLO_Equipt_tbl[[#This Row],[PLC]]+SLO_Equipt_tbl[[#This Row],[TFI]]</f>
        <v>0</v>
      </c>
      <c r="F65" s="93">
        <f>HLOOKUP(SLO_Equipt_tbl[[#Headers],[SAPN]],Equipt_Data_Import[#All],MATCH(SLO_Equipt_tbl[[#This Row],[Base Lamp]:[Base Lamp]],Equipt_Data_Import[[#All],[Base Lamp]],0),FALSE)</f>
        <v>0</v>
      </c>
      <c r="G65" s="93">
        <f>HLOOKUP(SLO_Equipt_tbl[[#Headers],[SLUOS]],Equipt_Data_Import[#All],MATCH(SLO_Equipt_tbl[[#This Row],[Base Lamp]:[Base Lamp]],Equipt_Data_Import[[#All],[Base Lamp]],0),FALSE)</f>
        <v>59310</v>
      </c>
      <c r="H65" s="95">
        <f>SLO_Equipt_tbl[[#This Row],[PLC_TFI]]+SLO_Equipt_tbl[[#This Row],[SAPN]]+SLO_Equipt_tbl[[#This Row],[SLUOS]]</f>
        <v>59310</v>
      </c>
    </row>
    <row r="66" spans="2:8" x14ac:dyDescent="0.2">
      <c r="B66" t="s">
        <v>486</v>
      </c>
      <c r="C66" s="93">
        <f>HLOOKUP(SLO_Equipt_tbl[[#Headers],[PLC]],Equipt_Data_Import[#All],MATCH(SLO_Equipt_tbl[[#This Row],[Base Lamp]:[Base Lamp]],Equipt_Data_Import[[#All],[Base Lamp]],0),FALSE)</f>
        <v>0</v>
      </c>
      <c r="D66" s="93">
        <f>HLOOKUP(SLO_Equipt_tbl[[#Headers],[TFI]],Equipt_Data_Import[#All],MATCH(SLO_Equipt_tbl[[#This Row],[Base Lamp]:[Base Lamp]],Equipt_Data_Import[[#All],[Base Lamp]],0),FALSE)</f>
        <v>0</v>
      </c>
      <c r="E66" s="94">
        <f>SLO_Equipt_tbl[[#This Row],[PLC]]+SLO_Equipt_tbl[[#This Row],[TFI]]</f>
        <v>0</v>
      </c>
      <c r="F66" s="93">
        <f>HLOOKUP(SLO_Equipt_tbl[[#Headers],[SAPN]],Equipt_Data_Import[#All],MATCH(SLO_Equipt_tbl[[#This Row],[Base Lamp]:[Base Lamp]],Equipt_Data_Import[[#All],[Base Lamp]],0),FALSE)</f>
        <v>0</v>
      </c>
      <c r="G66" s="93">
        <f>HLOOKUP(SLO_Equipt_tbl[[#Headers],[SLUOS]],Equipt_Data_Import[#All],MATCH(SLO_Equipt_tbl[[#This Row],[Base Lamp]:[Base Lamp]],Equipt_Data_Import[[#All],[Base Lamp]],0),FALSE)</f>
        <v>4299</v>
      </c>
      <c r="H66" s="95">
        <f>SLO_Equipt_tbl[[#This Row],[PLC_TFI]]+SLO_Equipt_tbl[[#This Row],[SAPN]]+SLO_Equipt_tbl[[#This Row],[SLUOS]]</f>
        <v>4299</v>
      </c>
    </row>
    <row r="67" spans="2:8" x14ac:dyDescent="0.2">
      <c r="B67" t="s">
        <v>193</v>
      </c>
      <c r="C67" s="93">
        <f>HLOOKUP(SLO_Equipt_tbl[[#Headers],[PLC]],Equipt_Data_Import[#All],MATCH(SLO_Equipt_tbl[[#This Row],[Base Lamp]:[Base Lamp]],Equipt_Data_Import[[#All],[Base Lamp]],0),FALSE)</f>
        <v>0</v>
      </c>
      <c r="D67" s="93">
        <f>HLOOKUP(SLO_Equipt_tbl[[#Headers],[TFI]],Equipt_Data_Import[#All],MATCH(SLO_Equipt_tbl[[#This Row],[Base Lamp]:[Base Lamp]],Equipt_Data_Import[[#All],[Base Lamp]],0),FALSE)</f>
        <v>0</v>
      </c>
      <c r="E67" s="94">
        <f>SLO_Equipt_tbl[[#This Row],[PLC]]+SLO_Equipt_tbl[[#This Row],[TFI]]</f>
        <v>0</v>
      </c>
      <c r="F67" s="93">
        <f>HLOOKUP(SLO_Equipt_tbl[[#Headers],[SAPN]],Equipt_Data_Import[#All],MATCH(SLO_Equipt_tbl[[#This Row],[Base Lamp]:[Base Lamp]],Equipt_Data_Import[[#All],[Base Lamp]],0),FALSE)</f>
        <v>1</v>
      </c>
      <c r="G67" s="93">
        <f>HLOOKUP(SLO_Equipt_tbl[[#Headers],[SLUOS]],Equipt_Data_Import[#All],MATCH(SLO_Equipt_tbl[[#This Row],[Base Lamp]:[Base Lamp]],Equipt_Data_Import[[#All],[Base Lamp]],0),FALSE)</f>
        <v>4444</v>
      </c>
      <c r="H67" s="95">
        <f>SLO_Equipt_tbl[[#This Row],[PLC_TFI]]+SLO_Equipt_tbl[[#This Row],[SAPN]]+SLO_Equipt_tbl[[#This Row],[SLUOS]]</f>
        <v>4445</v>
      </c>
    </row>
    <row r="68" spans="2:8" x14ac:dyDescent="0.2">
      <c r="B68" t="s">
        <v>488</v>
      </c>
      <c r="C68" s="93">
        <f>HLOOKUP(SLO_Equipt_tbl[[#Headers],[PLC]],Equipt_Data_Import[#All],MATCH(SLO_Equipt_tbl[[#This Row],[Base Lamp]:[Base Lamp]],Equipt_Data_Import[[#All],[Base Lamp]],0),FALSE)</f>
        <v>0</v>
      </c>
      <c r="D68" s="93">
        <f>HLOOKUP(SLO_Equipt_tbl[[#Headers],[TFI]],Equipt_Data_Import[#All],MATCH(SLO_Equipt_tbl[[#This Row],[Base Lamp]:[Base Lamp]],Equipt_Data_Import[[#All],[Base Lamp]],0),FALSE)</f>
        <v>0</v>
      </c>
      <c r="E68" s="94">
        <f>SLO_Equipt_tbl[[#This Row],[PLC]]+SLO_Equipt_tbl[[#This Row],[TFI]]</f>
        <v>0</v>
      </c>
      <c r="F68" s="93">
        <f>HLOOKUP(SLO_Equipt_tbl[[#Headers],[SAPN]],Equipt_Data_Import[#All],MATCH(SLO_Equipt_tbl[[#This Row],[Base Lamp]:[Base Lamp]],Equipt_Data_Import[[#All],[Base Lamp]],0),FALSE)</f>
        <v>0</v>
      </c>
      <c r="G68" s="93">
        <f>HLOOKUP(SLO_Equipt_tbl[[#Headers],[SLUOS]],Equipt_Data_Import[#All],MATCH(SLO_Equipt_tbl[[#This Row],[Base Lamp]:[Base Lamp]],Equipt_Data_Import[[#All],[Base Lamp]],0),FALSE)</f>
        <v>347</v>
      </c>
      <c r="H68" s="95">
        <f>SLO_Equipt_tbl[[#This Row],[PLC_TFI]]+SLO_Equipt_tbl[[#This Row],[SAPN]]+SLO_Equipt_tbl[[#This Row],[SLUOS]]</f>
        <v>347</v>
      </c>
    </row>
    <row r="69" spans="2:8" x14ac:dyDescent="0.2">
      <c r="B69" t="s">
        <v>167</v>
      </c>
      <c r="C69" s="93">
        <f>HLOOKUP(SLO_Equipt_tbl[[#Headers],[PLC]],Equipt_Data_Import[#All],MATCH(SLO_Equipt_tbl[[#This Row],[Base Lamp]:[Base Lamp]],Equipt_Data_Import[[#All],[Base Lamp]],0),FALSE)</f>
        <v>0</v>
      </c>
      <c r="D69" s="93">
        <f>HLOOKUP(SLO_Equipt_tbl[[#Headers],[TFI]],Equipt_Data_Import[#All],MATCH(SLO_Equipt_tbl[[#This Row],[Base Lamp]:[Base Lamp]],Equipt_Data_Import[[#All],[Base Lamp]],0),FALSE)</f>
        <v>0</v>
      </c>
      <c r="E69" s="94">
        <f>SLO_Equipt_tbl[[#This Row],[PLC]]+SLO_Equipt_tbl[[#This Row],[TFI]]</f>
        <v>0</v>
      </c>
      <c r="F69" s="93">
        <f>HLOOKUP(SLO_Equipt_tbl[[#Headers],[SAPN]],Equipt_Data_Import[#All],MATCH(SLO_Equipt_tbl[[#This Row],[Base Lamp]:[Base Lamp]],Equipt_Data_Import[[#All],[Base Lamp]],0),FALSE)</f>
        <v>0</v>
      </c>
      <c r="G69" s="93">
        <f>HLOOKUP(SLO_Equipt_tbl[[#Headers],[SLUOS]],Equipt_Data_Import[#All],MATCH(SLO_Equipt_tbl[[#This Row],[Base Lamp]:[Base Lamp]],Equipt_Data_Import[[#All],[Base Lamp]],0),FALSE)</f>
        <v>13464</v>
      </c>
      <c r="H69" s="95">
        <f>SLO_Equipt_tbl[[#This Row],[PLC_TFI]]+SLO_Equipt_tbl[[#This Row],[SAPN]]+SLO_Equipt_tbl[[#This Row],[SLUOS]]</f>
        <v>13464</v>
      </c>
    </row>
    <row r="70" spans="2:8" x14ac:dyDescent="0.2">
      <c r="B70" t="s">
        <v>168</v>
      </c>
      <c r="C70" s="93">
        <f>HLOOKUP(SLO_Equipt_tbl[[#Headers],[PLC]],Equipt_Data_Import[#All],MATCH(SLO_Equipt_tbl[[#This Row],[Base Lamp]:[Base Lamp]],Equipt_Data_Import[[#All],[Base Lamp]],0),FALSE)</f>
        <v>0</v>
      </c>
      <c r="D70" s="93">
        <f>HLOOKUP(SLO_Equipt_tbl[[#Headers],[TFI]],Equipt_Data_Import[#All],MATCH(SLO_Equipt_tbl[[#This Row],[Base Lamp]:[Base Lamp]],Equipt_Data_Import[[#All],[Base Lamp]],0),FALSE)</f>
        <v>0</v>
      </c>
      <c r="E70" s="94">
        <f>SLO_Equipt_tbl[[#This Row],[PLC]]+SLO_Equipt_tbl[[#This Row],[TFI]]</f>
        <v>0</v>
      </c>
      <c r="F70" s="93">
        <f>HLOOKUP(SLO_Equipt_tbl[[#Headers],[SAPN]],Equipt_Data_Import[#All],MATCH(SLO_Equipt_tbl[[#This Row],[Base Lamp]:[Base Lamp]],Equipt_Data_Import[[#All],[Base Lamp]],0),FALSE)</f>
        <v>0</v>
      </c>
      <c r="G70" s="93">
        <f>HLOOKUP(SLO_Equipt_tbl[[#Headers],[SLUOS]],Equipt_Data_Import[#All],MATCH(SLO_Equipt_tbl[[#This Row],[Base Lamp]:[Base Lamp]],Equipt_Data_Import[[#All],[Base Lamp]],0),FALSE)</f>
        <v>8466</v>
      </c>
      <c r="H70" s="95">
        <f>SLO_Equipt_tbl[[#This Row],[PLC_TFI]]+SLO_Equipt_tbl[[#This Row],[SAPN]]+SLO_Equipt_tbl[[#This Row],[SLUOS]]</f>
        <v>8466</v>
      </c>
    </row>
    <row r="71" spans="2:8" x14ac:dyDescent="0.2">
      <c r="B71" t="s">
        <v>169</v>
      </c>
      <c r="C71" s="93">
        <f>HLOOKUP(SLO_Equipt_tbl[[#Headers],[PLC]],Equipt_Data_Import[#All],MATCH(SLO_Equipt_tbl[[#This Row],[Base Lamp]:[Base Lamp]],Equipt_Data_Import[[#All],[Base Lamp]],0),FALSE)</f>
        <v>0</v>
      </c>
      <c r="D71" s="93">
        <f>HLOOKUP(SLO_Equipt_tbl[[#Headers],[TFI]],Equipt_Data_Import[#All],MATCH(SLO_Equipt_tbl[[#This Row],[Base Lamp]:[Base Lamp]],Equipt_Data_Import[[#All],[Base Lamp]],0),FALSE)</f>
        <v>0</v>
      </c>
      <c r="E71" s="94">
        <f>SLO_Equipt_tbl[[#This Row],[PLC]]+SLO_Equipt_tbl[[#This Row],[TFI]]</f>
        <v>0</v>
      </c>
      <c r="F71" s="93">
        <f>HLOOKUP(SLO_Equipt_tbl[[#Headers],[SAPN]],Equipt_Data_Import[#All],MATCH(SLO_Equipt_tbl[[#This Row],[Base Lamp]:[Base Lamp]],Equipt_Data_Import[[#All],[Base Lamp]],0),FALSE)</f>
        <v>0</v>
      </c>
      <c r="G71" s="93">
        <f>HLOOKUP(SLO_Equipt_tbl[[#Headers],[SLUOS]],Equipt_Data_Import[#All],MATCH(SLO_Equipt_tbl[[#This Row],[Base Lamp]:[Base Lamp]],Equipt_Data_Import[[#All],[Base Lamp]],0),FALSE)</f>
        <v>2583</v>
      </c>
      <c r="H71" s="95">
        <f>SLO_Equipt_tbl[[#This Row],[PLC_TFI]]+SLO_Equipt_tbl[[#This Row],[SAPN]]+SLO_Equipt_tbl[[#This Row],[SLUOS]]</f>
        <v>2583</v>
      </c>
    </row>
    <row r="72" spans="2:8" x14ac:dyDescent="0.2">
      <c r="B72" t="s">
        <v>170</v>
      </c>
      <c r="C72" s="93">
        <f>HLOOKUP(SLO_Equipt_tbl[[#Headers],[PLC]],Equipt_Data_Import[#All],MATCH(SLO_Equipt_tbl[[#This Row],[Base Lamp]:[Base Lamp]],Equipt_Data_Import[[#All],[Base Lamp]],0),FALSE)</f>
        <v>0</v>
      </c>
      <c r="D72" s="93">
        <f>HLOOKUP(SLO_Equipt_tbl[[#Headers],[TFI]],Equipt_Data_Import[#All],MATCH(SLO_Equipt_tbl[[#This Row],[Base Lamp]:[Base Lamp]],Equipt_Data_Import[[#All],[Base Lamp]],0),FALSE)</f>
        <v>0</v>
      </c>
      <c r="E72" s="94">
        <f>SLO_Equipt_tbl[[#This Row],[PLC]]+SLO_Equipt_tbl[[#This Row],[TFI]]</f>
        <v>0</v>
      </c>
      <c r="F72" s="93">
        <f>HLOOKUP(SLO_Equipt_tbl[[#Headers],[SAPN]],Equipt_Data_Import[#All],MATCH(SLO_Equipt_tbl[[#This Row],[Base Lamp]:[Base Lamp]],Equipt_Data_Import[[#All],[Base Lamp]],0),FALSE)</f>
        <v>0</v>
      </c>
      <c r="G72" s="93">
        <f>HLOOKUP(SLO_Equipt_tbl[[#Headers],[SLUOS]],Equipt_Data_Import[#All],MATCH(SLO_Equipt_tbl[[#This Row],[Base Lamp]:[Base Lamp]],Equipt_Data_Import[[#All],[Base Lamp]],0),FALSE)</f>
        <v>1068</v>
      </c>
      <c r="H72" s="95">
        <f>SLO_Equipt_tbl[[#This Row],[PLC_TFI]]+SLO_Equipt_tbl[[#This Row],[SAPN]]+SLO_Equipt_tbl[[#This Row],[SLUOS]]</f>
        <v>1068</v>
      </c>
    </row>
    <row r="73" spans="2:8" x14ac:dyDescent="0.2">
      <c r="B73" t="s">
        <v>171</v>
      </c>
      <c r="C73" s="93">
        <f>HLOOKUP(SLO_Equipt_tbl[[#Headers],[PLC]],Equipt_Data_Import[#All],MATCH(SLO_Equipt_tbl[[#This Row],[Base Lamp]:[Base Lamp]],Equipt_Data_Import[[#All],[Base Lamp]],0),FALSE)</f>
        <v>0</v>
      </c>
      <c r="D73" s="172">
        <f>HLOOKUP(SLO_Equipt_tbl[[#Headers],[TFI]],Equipt_Data_Import[#All],MATCH(SLO_Equipt_tbl[[#This Row],[Base Lamp]:[Base Lamp]],Equipt_Data_Import[[#All],[Base Lamp]],0),FALSE)</f>
        <v>0</v>
      </c>
      <c r="E73" s="94">
        <f>SLO_Equipt_tbl[[#This Row],[PLC]]+SLO_Equipt_tbl[[#This Row],[TFI]]</f>
        <v>0</v>
      </c>
      <c r="F73" s="93">
        <f>HLOOKUP(SLO_Equipt_tbl[[#Headers],[SAPN]],Equipt_Data_Import[#All],MATCH(SLO_Equipt_tbl[[#This Row],[Base Lamp]:[Base Lamp]],Equipt_Data_Import[[#All],[Base Lamp]],0),FALSE)</f>
        <v>0</v>
      </c>
      <c r="G73" s="93">
        <f>HLOOKUP(SLO_Equipt_tbl[[#Headers],[SLUOS]],Equipt_Data_Import[#All],MATCH(SLO_Equipt_tbl[[#This Row],[Base Lamp]:[Base Lamp]],Equipt_Data_Import[[#All],[Base Lamp]],0),FALSE)</f>
        <v>20032</v>
      </c>
      <c r="H73" s="95">
        <f>SLO_Equipt_tbl[[#This Row],[PLC_TFI]]+SLO_Equipt_tbl[[#This Row],[SAPN]]+SLO_Equipt_tbl[[#This Row],[SLUOS]]</f>
        <v>20032</v>
      </c>
    </row>
    <row r="74" spans="2:8" x14ac:dyDescent="0.2">
      <c r="B74" t="s">
        <v>487</v>
      </c>
      <c r="C74" s="93">
        <f>HLOOKUP(SLO_Equipt_tbl[[#Headers],[PLC]],Equipt_Data_Import[#All],MATCH(SLO_Equipt_tbl[[#This Row],[Base Lamp]:[Base Lamp]],Equipt_Data_Import[[#All],[Base Lamp]],0),FALSE)</f>
        <v>0</v>
      </c>
      <c r="D74" s="172">
        <f>HLOOKUP(SLO_Equipt_tbl[[#Headers],[TFI]],Equipt_Data_Import[#All],MATCH(SLO_Equipt_tbl[[#This Row],[Base Lamp]:[Base Lamp]],Equipt_Data_Import[[#All],[Base Lamp]],0),FALSE)</f>
        <v>0</v>
      </c>
      <c r="E74" s="94">
        <f>SLO_Equipt_tbl[[#This Row],[PLC]]+SLO_Equipt_tbl[[#This Row],[TFI]]</f>
        <v>0</v>
      </c>
      <c r="F74" s="93">
        <f>HLOOKUP(SLO_Equipt_tbl[[#Headers],[SAPN]],Equipt_Data_Import[#All],MATCH(SLO_Equipt_tbl[[#This Row],[Base Lamp]:[Base Lamp]],Equipt_Data_Import[[#All],[Base Lamp]],0),FALSE)</f>
        <v>0</v>
      </c>
      <c r="G74" s="93">
        <f>HLOOKUP(SLO_Equipt_tbl[[#Headers],[SLUOS]],Equipt_Data_Import[#All],MATCH(SLO_Equipt_tbl[[#This Row],[Base Lamp]:[Base Lamp]],Equipt_Data_Import[[#All],[Base Lamp]],0),FALSE)</f>
        <v>1335</v>
      </c>
      <c r="H74" s="95">
        <f>SLO_Equipt_tbl[[#This Row],[PLC_TFI]]+SLO_Equipt_tbl[[#This Row],[SAPN]]+SLO_Equipt_tbl[[#This Row],[SLUOS]]</f>
        <v>1335</v>
      </c>
    </row>
    <row r="75" spans="2:8" x14ac:dyDescent="0.2">
      <c r="B75" t="s">
        <v>165</v>
      </c>
      <c r="C75" s="93">
        <f>HLOOKUP(SLO_Equipt_tbl[[#Headers],[PLC]],Equipt_Data_Import[#All],MATCH(SLO_Equipt_tbl[[#This Row],[Base Lamp]:[Base Lamp]],Equipt_Data_Import[[#All],[Base Lamp]],0),FALSE)</f>
        <v>0</v>
      </c>
      <c r="D75" s="172">
        <f>HLOOKUP(SLO_Equipt_tbl[[#Headers],[TFI]],Equipt_Data_Import[#All],MATCH(SLO_Equipt_tbl[[#This Row],[Base Lamp]:[Base Lamp]],Equipt_Data_Import[[#All],[Base Lamp]],0),FALSE)</f>
        <v>0</v>
      </c>
      <c r="E75" s="94">
        <f>SLO_Equipt_tbl[[#This Row],[PLC]]+SLO_Equipt_tbl[[#This Row],[TFI]]</f>
        <v>0</v>
      </c>
      <c r="F75" s="93">
        <f>HLOOKUP(SLO_Equipt_tbl[[#Headers],[SAPN]],Equipt_Data_Import[#All],MATCH(SLO_Equipt_tbl[[#This Row],[Base Lamp]:[Base Lamp]],Equipt_Data_Import[[#All],[Base Lamp]],0),FALSE)</f>
        <v>0</v>
      </c>
      <c r="G75" s="93">
        <f>HLOOKUP(SLO_Equipt_tbl[[#Headers],[SLUOS]],Equipt_Data_Import[#All],MATCH(SLO_Equipt_tbl[[#This Row],[Base Lamp]:[Base Lamp]],Equipt_Data_Import[[#All],[Base Lamp]],0),FALSE)</f>
        <v>10860</v>
      </c>
      <c r="H75" s="95">
        <f>SLO_Equipt_tbl[[#This Row],[PLC_TFI]]+SLO_Equipt_tbl[[#This Row],[SAPN]]+SLO_Equipt_tbl[[#This Row],[SLUOS]]</f>
        <v>10860</v>
      </c>
    </row>
    <row r="76" spans="2:8" x14ac:dyDescent="0.2">
      <c r="B76" t="s">
        <v>166</v>
      </c>
      <c r="C76" s="93">
        <f>HLOOKUP(SLO_Equipt_tbl[[#Headers],[PLC]],Equipt_Data_Import[#All],MATCH(SLO_Equipt_tbl[[#This Row],[Base Lamp]:[Base Lamp]],Equipt_Data_Import[[#All],[Base Lamp]],0),FALSE)</f>
        <v>0</v>
      </c>
      <c r="D76" s="172">
        <f>HLOOKUP(SLO_Equipt_tbl[[#Headers],[TFI]],Equipt_Data_Import[#All],MATCH(SLO_Equipt_tbl[[#This Row],[Base Lamp]:[Base Lamp]],Equipt_Data_Import[[#All],[Base Lamp]],0),FALSE)</f>
        <v>0</v>
      </c>
      <c r="E76" s="94">
        <f>SLO_Equipt_tbl[[#This Row],[PLC]]+SLO_Equipt_tbl[[#This Row],[TFI]]</f>
        <v>0</v>
      </c>
      <c r="F76" s="93">
        <f>HLOOKUP(SLO_Equipt_tbl[[#Headers],[SAPN]],Equipt_Data_Import[#All],MATCH(SLO_Equipt_tbl[[#This Row],[Base Lamp]:[Base Lamp]],Equipt_Data_Import[[#All],[Base Lamp]],0),FALSE)</f>
        <v>0</v>
      </c>
      <c r="G76" s="93">
        <f>HLOOKUP(SLO_Equipt_tbl[[#Headers],[SLUOS]],Equipt_Data_Import[#All],MATCH(SLO_Equipt_tbl[[#This Row],[Base Lamp]:[Base Lamp]],Equipt_Data_Import[[#All],[Base Lamp]],0),FALSE)</f>
        <v>11330</v>
      </c>
      <c r="H76" s="95">
        <f>SLO_Equipt_tbl[[#This Row],[PLC_TFI]]+SLO_Equipt_tbl[[#This Row],[SAPN]]+SLO_Equipt_tbl[[#This Row],[SLUOS]]</f>
        <v>11330</v>
      </c>
    </row>
    <row r="77" spans="2:8" x14ac:dyDescent="0.2">
      <c r="B77" t="s">
        <v>216</v>
      </c>
      <c r="C77" s="96">
        <f>SUBTOTAL(109,SLO_Equipt_tbl[PLC])</f>
        <v>7531</v>
      </c>
      <c r="D77" s="96">
        <f>SUBTOTAL(109,SLO_Equipt_tbl[TFI])</f>
        <v>474</v>
      </c>
      <c r="E77" s="98">
        <f>SUBTOTAL(109,SLO_Equipt_tbl[PLC_TFI])</f>
        <v>8005</v>
      </c>
      <c r="F77" s="96">
        <f>SUBTOTAL(109,SLO_Equipt_tbl[SAPN])</f>
        <v>24879</v>
      </c>
      <c r="G77" s="96">
        <f>SUBTOTAL(109,SLO_Equipt_tbl[SLUOS])</f>
        <v>159888</v>
      </c>
      <c r="H77" s="97">
        <f>SUBTOTAL(109,SLO_Equipt_tbl[Total SLO Equipment])</f>
        <v>192772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8">
    <tabColor theme="6" tint="0.39997558519241921"/>
  </sheetPr>
  <dimension ref="A1:G55"/>
  <sheetViews>
    <sheetView showGridLines="0" topLeftCell="A25" workbookViewId="0">
      <selection activeCell="E49" sqref="E49"/>
    </sheetView>
  </sheetViews>
  <sheetFormatPr defaultRowHeight="12" x14ac:dyDescent="0.2"/>
  <cols>
    <col min="2" max="2" width="16.33203125" customWidth="1"/>
    <col min="3" max="3" width="16.1640625" bestFit="1" customWidth="1"/>
    <col min="4" max="5" width="15.5" customWidth="1"/>
    <col min="6" max="6" width="19.5" customWidth="1"/>
  </cols>
  <sheetData>
    <row r="1" spans="1:6" ht="18.75" x14ac:dyDescent="0.3">
      <c r="A1" s="31" t="str">
        <f>A_Name_Model</f>
        <v>Public Lighting Model</v>
      </c>
      <c r="B1" s="31"/>
      <c r="C1" s="31"/>
      <c r="D1" s="33"/>
      <c r="E1" s="31"/>
      <c r="F1" s="32"/>
    </row>
    <row r="2" spans="1:6" ht="16.5" thickBot="1" x14ac:dyDescent="0.3">
      <c r="A2" s="4" t="str">
        <f ca="1">RIGHT(CELL("filename",A2),LEN(CELL("filename",A2))-FIND("]",CELL("filename",A2)))</f>
        <v>SLO_Fittings_Data</v>
      </c>
      <c r="B2" s="4"/>
      <c r="C2" s="60"/>
      <c r="D2" s="60" t="s">
        <v>217</v>
      </c>
      <c r="E2" s="4"/>
      <c r="F2" s="4"/>
    </row>
    <row r="3" spans="1:6" ht="12.75" thickTop="1" x14ac:dyDescent="0.2"/>
    <row r="4" spans="1:6" s="58" customFormat="1" x14ac:dyDescent="0.2"/>
    <row r="5" spans="1:6" s="58" customFormat="1" ht="12.75" x14ac:dyDescent="0.2">
      <c r="B5" s="5" t="s">
        <v>317</v>
      </c>
    </row>
    <row r="6" spans="1:6" x14ac:dyDescent="0.2">
      <c r="B6" s="62" t="s">
        <v>304</v>
      </c>
      <c r="C6" s="135">
        <v>42948</v>
      </c>
      <c r="D6" s="61" t="s">
        <v>305</v>
      </c>
      <c r="E6" s="135">
        <v>43312</v>
      </c>
      <c r="F6" s="58"/>
    </row>
    <row r="7" spans="1:6" x14ac:dyDescent="0.2">
      <c r="B7" s="62" t="s">
        <v>265</v>
      </c>
      <c r="C7" s="58" t="s">
        <v>242</v>
      </c>
      <c r="D7" s="58"/>
      <c r="E7" s="58"/>
      <c r="F7" s="58"/>
    </row>
    <row r="8" spans="1:6" x14ac:dyDescent="0.2">
      <c r="B8" s="62" t="s">
        <v>163</v>
      </c>
      <c r="C8" s="58" t="s">
        <v>306</v>
      </c>
      <c r="D8" s="58"/>
      <c r="E8" s="58"/>
      <c r="F8" s="58"/>
    </row>
    <row r="9" spans="1:6" x14ac:dyDescent="0.2">
      <c r="B9" s="62" t="s">
        <v>162</v>
      </c>
      <c r="C9" s="58" t="s">
        <v>307</v>
      </c>
      <c r="E9" s="58"/>
      <c r="F9" s="58"/>
    </row>
    <row r="10" spans="1:6" x14ac:dyDescent="0.2">
      <c r="E10" s="386"/>
      <c r="F10" s="386"/>
    </row>
    <row r="11" spans="1:6" x14ac:dyDescent="0.2">
      <c r="B11" s="68" t="s">
        <v>174</v>
      </c>
      <c r="C11" s="111" t="s">
        <v>242</v>
      </c>
      <c r="E11" s="58"/>
    </row>
    <row r="12" spans="1:6" x14ac:dyDescent="0.2">
      <c r="B12" s="58" t="s">
        <v>164</v>
      </c>
      <c r="C12" s="37">
        <v>104</v>
      </c>
      <c r="E12" s="58"/>
    </row>
    <row r="13" spans="1:6" x14ac:dyDescent="0.2">
      <c r="B13" s="386" t="s">
        <v>489</v>
      </c>
      <c r="C13" s="37">
        <v>9</v>
      </c>
      <c r="E13" s="58"/>
    </row>
    <row r="14" spans="1:6" x14ac:dyDescent="0.2">
      <c r="B14" s="386" t="s">
        <v>172</v>
      </c>
      <c r="C14" s="37">
        <v>368</v>
      </c>
      <c r="E14" s="58"/>
    </row>
    <row r="15" spans="1:6" x14ac:dyDescent="0.2">
      <c r="B15" s="386" t="s">
        <v>161</v>
      </c>
      <c r="C15" s="37">
        <v>0</v>
      </c>
      <c r="E15" s="58"/>
    </row>
    <row r="16" spans="1:6" x14ac:dyDescent="0.2">
      <c r="B16" s="386" t="s">
        <v>188</v>
      </c>
      <c r="C16" s="37">
        <v>0</v>
      </c>
      <c r="E16" s="58"/>
    </row>
    <row r="17" spans="2:7" x14ac:dyDescent="0.2">
      <c r="B17" s="386" t="s">
        <v>173</v>
      </c>
      <c r="C17" s="37">
        <v>807</v>
      </c>
      <c r="E17" s="58"/>
    </row>
    <row r="18" spans="2:7" x14ac:dyDescent="0.2">
      <c r="B18" s="386" t="s">
        <v>486</v>
      </c>
      <c r="C18" s="37">
        <v>25</v>
      </c>
      <c r="E18" s="58"/>
    </row>
    <row r="19" spans="2:7" x14ac:dyDescent="0.2">
      <c r="B19" s="386" t="s">
        <v>193</v>
      </c>
      <c r="C19" s="37">
        <v>1</v>
      </c>
      <c r="E19" s="58"/>
    </row>
    <row r="20" spans="2:7" x14ac:dyDescent="0.2">
      <c r="B20" s="386" t="s">
        <v>488</v>
      </c>
      <c r="C20" s="37">
        <v>0</v>
      </c>
      <c r="E20" s="58"/>
    </row>
    <row r="21" spans="2:7" x14ac:dyDescent="0.2">
      <c r="B21" s="386" t="s">
        <v>167</v>
      </c>
      <c r="C21" s="37">
        <v>3</v>
      </c>
      <c r="E21" s="58"/>
    </row>
    <row r="22" spans="2:7" x14ac:dyDescent="0.2">
      <c r="B22" s="58" t="s">
        <v>168</v>
      </c>
      <c r="C22" s="37">
        <v>2</v>
      </c>
      <c r="E22" s="58"/>
    </row>
    <row r="23" spans="2:7" x14ac:dyDescent="0.2">
      <c r="B23" s="386" t="s">
        <v>169</v>
      </c>
      <c r="C23" s="37">
        <v>1</v>
      </c>
      <c r="E23" s="58"/>
    </row>
    <row r="24" spans="2:7" x14ac:dyDescent="0.2">
      <c r="B24" s="386" t="s">
        <v>170</v>
      </c>
      <c r="C24" s="37">
        <v>16</v>
      </c>
      <c r="E24" s="58"/>
    </row>
    <row r="25" spans="2:7" x14ac:dyDescent="0.2">
      <c r="B25" s="386" t="s">
        <v>171</v>
      </c>
      <c r="C25" s="84">
        <v>296</v>
      </c>
      <c r="E25" s="58"/>
    </row>
    <row r="26" spans="2:7" x14ac:dyDescent="0.2">
      <c r="B26" s="386" t="s">
        <v>487</v>
      </c>
      <c r="C26" s="84">
        <v>6</v>
      </c>
      <c r="E26" s="58"/>
      <c r="G26" s="58"/>
    </row>
    <row r="27" spans="2:7" s="58" customFormat="1" x14ac:dyDescent="0.2">
      <c r="B27" s="386" t="s">
        <v>165</v>
      </c>
      <c r="C27" s="84">
        <v>2073</v>
      </c>
    </row>
    <row r="28" spans="2:7" s="58" customFormat="1" x14ac:dyDescent="0.2">
      <c r="B28" s="37" t="s">
        <v>166</v>
      </c>
      <c r="C28" s="84">
        <v>1588</v>
      </c>
    </row>
    <row r="29" spans="2:7" s="58" customFormat="1" x14ac:dyDescent="0.2">
      <c r="B29" s="143" t="s">
        <v>216</v>
      </c>
      <c r="C29" s="143">
        <f>SUBTOTAL(109,SLO_Data_Import19[Fitting])</f>
        <v>5299</v>
      </c>
    </row>
    <row r="30" spans="2:7" s="58" customFormat="1" x14ac:dyDescent="0.2"/>
    <row r="31" spans="2:7" s="58" customFormat="1" x14ac:dyDescent="0.2"/>
    <row r="32" spans="2:7" s="58" customFormat="1" x14ac:dyDescent="0.2"/>
    <row r="33" spans="1:7" x14ac:dyDescent="0.2">
      <c r="G33" s="58"/>
    </row>
    <row r="34" spans="1:7" ht="16.5" thickBot="1" x14ac:dyDescent="0.3">
      <c r="A34" s="4" t="s">
        <v>308</v>
      </c>
      <c r="B34" s="4"/>
      <c r="C34" s="60"/>
      <c r="D34" s="60" t="s">
        <v>261</v>
      </c>
      <c r="E34" s="4"/>
      <c r="F34" s="4"/>
      <c r="G34" s="58"/>
    </row>
    <row r="35" spans="1:7" ht="12.75" thickTop="1" x14ac:dyDescent="0.2">
      <c r="G35" s="58"/>
    </row>
    <row r="36" spans="1:7" s="58" customFormat="1" x14ac:dyDescent="0.2">
      <c r="B36" s="6" t="s">
        <v>316</v>
      </c>
    </row>
    <row r="37" spans="1:7" x14ac:dyDescent="0.2">
      <c r="B37" s="45" t="s">
        <v>219</v>
      </c>
      <c r="C37" s="45" t="s">
        <v>54</v>
      </c>
      <c r="D37" s="45" t="s">
        <v>49</v>
      </c>
      <c r="E37" s="45" t="s">
        <v>216</v>
      </c>
      <c r="G37" s="58"/>
    </row>
    <row r="38" spans="1:7" x14ac:dyDescent="0.2">
      <c r="B38" t="s">
        <v>164</v>
      </c>
      <c r="C38" s="37">
        <f>INDEX(Equipt_Data_Import[SAPN],MATCH(LED_Equipt_Tbl[[#This Row],[Base Lamp]],Equipt_Data_Import[Base Lamp],0))</f>
        <v>0</v>
      </c>
      <c r="D38" s="37">
        <f>INDEX(Equipt_Data_Import[SLUOS],MATCH(LED_Equipt_Tbl[[#This Row],[Base Lamp]],Equipt_Data_Import[Base Lamp],0))</f>
        <v>8524</v>
      </c>
      <c r="E38" s="37">
        <f>LED_Equipt_Tbl[[#This Row],[SAPN]]+LED_Equipt_Tbl[[#This Row],[SLUOS]]</f>
        <v>8524</v>
      </c>
      <c r="G38" s="58"/>
    </row>
    <row r="39" spans="1:7" x14ac:dyDescent="0.2">
      <c r="B39" t="s">
        <v>489</v>
      </c>
      <c r="C39" s="37">
        <f>INDEX(Equipt_Data_Import[SAPN],MATCH(LED_Equipt_Tbl[[#This Row],[Base Lamp]],Equipt_Data_Import[Base Lamp],0))</f>
        <v>0</v>
      </c>
      <c r="D39" s="37">
        <f>INDEX(Equipt_Data_Import[SLUOS],MATCH(LED_Equipt_Tbl[[#This Row],[Base Lamp]],Equipt_Data_Import[Base Lamp],0))</f>
        <v>265</v>
      </c>
      <c r="E39" s="37">
        <f>LED_Equipt_Tbl[[#This Row],[SAPN]]+LED_Equipt_Tbl[[#This Row],[SLUOS]]</f>
        <v>265</v>
      </c>
      <c r="G39" s="58"/>
    </row>
    <row r="40" spans="1:7" x14ac:dyDescent="0.2">
      <c r="B40" t="s">
        <v>172</v>
      </c>
      <c r="C40" s="37">
        <f>INDEX(Equipt_Data_Import[SAPN],MATCH(LED_Equipt_Tbl[[#This Row],[Base Lamp]],Equipt_Data_Import[Base Lamp],0))</f>
        <v>0</v>
      </c>
      <c r="D40" s="37">
        <f>INDEX(Equipt_Data_Import[SLUOS],MATCH(LED_Equipt_Tbl[[#This Row],[Base Lamp]],Equipt_Data_Import[Base Lamp],0))</f>
        <v>13561</v>
      </c>
      <c r="E40" s="37">
        <f>LED_Equipt_Tbl[[#This Row],[SAPN]]+LED_Equipt_Tbl[[#This Row],[SLUOS]]</f>
        <v>13561</v>
      </c>
    </row>
    <row r="41" spans="1:7" x14ac:dyDescent="0.2">
      <c r="B41" t="s">
        <v>161</v>
      </c>
      <c r="C41" s="37">
        <f>INDEX(Equipt_Data_Import[SAPN],MATCH(LED_Equipt_Tbl[[#This Row],[Base Lamp]],Equipt_Data_Import[Base Lamp],0))</f>
        <v>24733</v>
      </c>
      <c r="D41" s="37">
        <f>INDEX(Equipt_Data_Import[SLUOS],MATCH(LED_Equipt_Tbl[[#This Row],[Base Lamp]],Equipt_Data_Import[Base Lamp],0))</f>
        <v>0</v>
      </c>
      <c r="E41" s="37">
        <f>LED_Equipt_Tbl[[#This Row],[SAPN]]+LED_Equipt_Tbl[[#This Row],[SLUOS]]</f>
        <v>24733</v>
      </c>
    </row>
    <row r="42" spans="1:7" x14ac:dyDescent="0.2">
      <c r="B42" t="s">
        <v>188</v>
      </c>
      <c r="C42" s="37">
        <f>INDEX(Equipt_Data_Import[SAPN],MATCH(LED_Equipt_Tbl[[#This Row],[Base Lamp]],Equipt_Data_Import[Base Lamp],0))</f>
        <v>145</v>
      </c>
      <c r="D42" s="37">
        <f>INDEX(Equipt_Data_Import[SLUOS],MATCH(LED_Equipt_Tbl[[#This Row],[Base Lamp]],Equipt_Data_Import[Base Lamp],0))</f>
        <v>0</v>
      </c>
      <c r="E42" s="37">
        <f>LED_Equipt_Tbl[[#This Row],[SAPN]]+LED_Equipt_Tbl[[#This Row],[SLUOS]]</f>
        <v>145</v>
      </c>
    </row>
    <row r="43" spans="1:7" x14ac:dyDescent="0.2">
      <c r="B43" t="s">
        <v>173</v>
      </c>
      <c r="C43" s="37">
        <f>INDEX(Equipt_Data_Import[SAPN],MATCH(LED_Equipt_Tbl[[#This Row],[Base Lamp]],Equipt_Data_Import[Base Lamp],0))</f>
        <v>0</v>
      </c>
      <c r="D43" s="37">
        <f>INDEX(Equipt_Data_Import[SLUOS],MATCH(LED_Equipt_Tbl[[#This Row],[Base Lamp]],Equipt_Data_Import[Base Lamp],0))</f>
        <v>59310</v>
      </c>
      <c r="E43" s="37">
        <f>LED_Equipt_Tbl[[#This Row],[SAPN]]+LED_Equipt_Tbl[[#This Row],[SLUOS]]</f>
        <v>59310</v>
      </c>
    </row>
    <row r="44" spans="1:7" x14ac:dyDescent="0.2">
      <c r="B44" t="s">
        <v>486</v>
      </c>
      <c r="C44" s="37">
        <f>INDEX(Equipt_Data_Import[SAPN],MATCH(LED_Equipt_Tbl[[#This Row],[Base Lamp]],Equipt_Data_Import[Base Lamp],0))</f>
        <v>0</v>
      </c>
      <c r="D44" s="37">
        <f>INDEX(Equipt_Data_Import[SLUOS],MATCH(LED_Equipt_Tbl[[#This Row],[Base Lamp]],Equipt_Data_Import[Base Lamp],0))</f>
        <v>4299</v>
      </c>
      <c r="E44" s="37">
        <f>LED_Equipt_Tbl[[#This Row],[SAPN]]+LED_Equipt_Tbl[[#This Row],[SLUOS]]</f>
        <v>4299</v>
      </c>
    </row>
    <row r="45" spans="1:7" x14ac:dyDescent="0.2">
      <c r="B45" t="s">
        <v>193</v>
      </c>
      <c r="C45" s="37">
        <f>INDEX(Equipt_Data_Import[SAPN],MATCH(LED_Equipt_Tbl[[#This Row],[Base Lamp]],Equipt_Data_Import[Base Lamp],0))</f>
        <v>1</v>
      </c>
      <c r="D45" s="37">
        <f>INDEX(Equipt_Data_Import[SLUOS],MATCH(LED_Equipt_Tbl[[#This Row],[Base Lamp]],Equipt_Data_Import[Base Lamp],0))</f>
        <v>4444</v>
      </c>
      <c r="E45" s="37">
        <f>LED_Equipt_Tbl[[#This Row],[SAPN]]+LED_Equipt_Tbl[[#This Row],[SLUOS]]</f>
        <v>4445</v>
      </c>
    </row>
    <row r="46" spans="1:7" x14ac:dyDescent="0.2">
      <c r="B46" t="s">
        <v>488</v>
      </c>
      <c r="C46" s="37">
        <f>INDEX(Equipt_Data_Import[SAPN],MATCH(LED_Equipt_Tbl[[#This Row],[Base Lamp]],Equipt_Data_Import[Base Lamp],0))</f>
        <v>0</v>
      </c>
      <c r="D46" s="37">
        <f>INDEX(Equipt_Data_Import[SLUOS],MATCH(LED_Equipt_Tbl[[#This Row],[Base Lamp]],Equipt_Data_Import[Base Lamp],0))</f>
        <v>347</v>
      </c>
      <c r="E46" s="37">
        <f>LED_Equipt_Tbl[[#This Row],[SAPN]]+LED_Equipt_Tbl[[#This Row],[SLUOS]]</f>
        <v>347</v>
      </c>
    </row>
    <row r="47" spans="1:7" x14ac:dyDescent="0.2">
      <c r="B47" t="s">
        <v>167</v>
      </c>
      <c r="C47" s="37">
        <f>INDEX(Equipt_Data_Import[SAPN],MATCH(LED_Equipt_Tbl[[#This Row],[Base Lamp]],Equipt_Data_Import[Base Lamp],0))</f>
        <v>0</v>
      </c>
      <c r="D47" s="37">
        <f>INDEX(Equipt_Data_Import[SLUOS],MATCH(LED_Equipt_Tbl[[#This Row],[Base Lamp]],Equipt_Data_Import[Base Lamp],0))</f>
        <v>13464</v>
      </c>
      <c r="E47" s="37">
        <f>LED_Equipt_Tbl[[#This Row],[SAPN]]+LED_Equipt_Tbl[[#This Row],[SLUOS]]</f>
        <v>13464</v>
      </c>
    </row>
    <row r="48" spans="1:7" x14ac:dyDescent="0.2">
      <c r="B48" t="s">
        <v>168</v>
      </c>
      <c r="C48" s="37">
        <f>INDEX(Equipt_Data_Import[SAPN],MATCH(LED_Equipt_Tbl[[#This Row],[Base Lamp]],Equipt_Data_Import[Base Lamp],0))</f>
        <v>0</v>
      </c>
      <c r="D48" s="37">
        <f>INDEX(Equipt_Data_Import[SLUOS],MATCH(LED_Equipt_Tbl[[#This Row],[Base Lamp]],Equipt_Data_Import[Base Lamp],0))</f>
        <v>8466</v>
      </c>
      <c r="E48" s="37">
        <f>LED_Equipt_Tbl[[#This Row],[SAPN]]+LED_Equipt_Tbl[[#This Row],[SLUOS]]</f>
        <v>8466</v>
      </c>
    </row>
    <row r="49" spans="2:5" x14ac:dyDescent="0.2">
      <c r="B49" t="s">
        <v>169</v>
      </c>
      <c r="C49" s="37">
        <f>INDEX(Equipt_Data_Import[SAPN],MATCH(LED_Equipt_Tbl[[#This Row],[Base Lamp]],Equipt_Data_Import[Base Lamp],0))</f>
        <v>0</v>
      </c>
      <c r="D49" s="37">
        <f>INDEX(Equipt_Data_Import[SLUOS],MATCH(LED_Equipt_Tbl[[#This Row],[Base Lamp]],Equipt_Data_Import[Base Lamp],0))</f>
        <v>2583</v>
      </c>
      <c r="E49" s="37">
        <f>LED_Equipt_Tbl[[#This Row],[SAPN]]+LED_Equipt_Tbl[[#This Row],[SLUOS]]</f>
        <v>2583</v>
      </c>
    </row>
    <row r="50" spans="2:5" x14ac:dyDescent="0.2">
      <c r="B50" t="s">
        <v>170</v>
      </c>
      <c r="C50" s="37">
        <f>INDEX(Equipt_Data_Import[SAPN],MATCH(LED_Equipt_Tbl[[#This Row],[Base Lamp]],Equipt_Data_Import[Base Lamp],0))</f>
        <v>0</v>
      </c>
      <c r="D50" s="37">
        <f>INDEX(Equipt_Data_Import[SLUOS],MATCH(LED_Equipt_Tbl[[#This Row],[Base Lamp]],Equipt_Data_Import[Base Lamp],0))</f>
        <v>1068</v>
      </c>
      <c r="E50" s="37">
        <f>LED_Equipt_Tbl[[#This Row],[SAPN]]+LED_Equipt_Tbl[[#This Row],[SLUOS]]</f>
        <v>1068</v>
      </c>
    </row>
    <row r="51" spans="2:5" x14ac:dyDescent="0.2">
      <c r="B51" t="s">
        <v>171</v>
      </c>
      <c r="C51" s="37">
        <f>INDEX(Equipt_Data_Import[SAPN],MATCH(LED_Equipt_Tbl[[#This Row],[Base Lamp]],Equipt_Data_Import[Base Lamp],0))</f>
        <v>0</v>
      </c>
      <c r="D51" s="37">
        <f>INDEX(Equipt_Data_Import[SLUOS],MATCH(LED_Equipt_Tbl[[#This Row],[Base Lamp]],Equipt_Data_Import[Base Lamp],0))</f>
        <v>20032</v>
      </c>
      <c r="E51" s="37">
        <f>LED_Equipt_Tbl[[#This Row],[SAPN]]+LED_Equipt_Tbl[[#This Row],[SLUOS]]</f>
        <v>20032</v>
      </c>
    </row>
    <row r="52" spans="2:5" x14ac:dyDescent="0.2">
      <c r="B52" t="s">
        <v>487</v>
      </c>
      <c r="C52" s="37">
        <f>INDEX(Equipt_Data_Import[SAPN],MATCH(LED_Equipt_Tbl[[#This Row],[Base Lamp]],Equipt_Data_Import[Base Lamp],0))</f>
        <v>0</v>
      </c>
      <c r="D52" s="37">
        <f>INDEX(Equipt_Data_Import[SLUOS],MATCH(LED_Equipt_Tbl[[#This Row],[Base Lamp]],Equipt_Data_Import[Base Lamp],0))</f>
        <v>1335</v>
      </c>
      <c r="E52" s="37">
        <f>LED_Equipt_Tbl[[#This Row],[SAPN]]+LED_Equipt_Tbl[[#This Row],[SLUOS]]</f>
        <v>1335</v>
      </c>
    </row>
    <row r="53" spans="2:5" x14ac:dyDescent="0.2">
      <c r="B53" t="s">
        <v>165</v>
      </c>
      <c r="C53" s="37">
        <f>INDEX(Equipt_Data_Import[SAPN],MATCH(LED_Equipt_Tbl[[#This Row],[Base Lamp]],Equipt_Data_Import[Base Lamp],0))</f>
        <v>0</v>
      </c>
      <c r="D53" s="37">
        <f>INDEX(Equipt_Data_Import[SLUOS],MATCH(LED_Equipt_Tbl[[#This Row],[Base Lamp]],Equipt_Data_Import[Base Lamp],0))</f>
        <v>10860</v>
      </c>
      <c r="E53" s="37">
        <f>LED_Equipt_Tbl[[#This Row],[SAPN]]+LED_Equipt_Tbl[[#This Row],[SLUOS]]</f>
        <v>10860</v>
      </c>
    </row>
    <row r="54" spans="2:5" x14ac:dyDescent="0.2">
      <c r="B54" t="s">
        <v>166</v>
      </c>
      <c r="C54" s="37">
        <f>INDEX(Equipt_Data_Import[SAPN],MATCH(LED_Equipt_Tbl[[#This Row],[Base Lamp]],Equipt_Data_Import[Base Lamp],0))</f>
        <v>0</v>
      </c>
      <c r="D54" s="37">
        <f>INDEX(Equipt_Data_Import[SLUOS],MATCH(LED_Equipt_Tbl[[#This Row],[Base Lamp]],Equipt_Data_Import[Base Lamp],0))</f>
        <v>11330</v>
      </c>
      <c r="E54" s="37">
        <f>LED_Equipt_Tbl[[#This Row],[SAPN]]+LED_Equipt_Tbl[[#This Row],[SLUOS]]</f>
        <v>11330</v>
      </c>
    </row>
    <row r="55" spans="2:5" x14ac:dyDescent="0.2">
      <c r="B55" t="s">
        <v>216</v>
      </c>
      <c r="C55" s="44">
        <f>SUBTOTAL(109,LED_Equipt_Tbl[SAPN])</f>
        <v>24879</v>
      </c>
      <c r="D55" s="44">
        <f>SUBTOTAL(109,LED_Equipt_Tbl[SLUOS])</f>
        <v>159888</v>
      </c>
      <c r="E55" s="44">
        <f>SUBTOTAL(109,LED_Equipt_Tbl[Total])</f>
        <v>184767</v>
      </c>
    </row>
  </sheetData>
  <pageMargins left="0.7" right="0.7" top="0.75" bottom="0.75" header="0.3" footer="0.3"/>
  <pageSetup paperSize="9" orientation="portrait" horizontalDpi="300" verticalDpi="300" r:id="rId1"/>
  <tableParts count="2">
    <tablePart r:id="rId2"/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1">
    <tabColor theme="6" tint="0.39997558519241921"/>
  </sheetPr>
  <dimension ref="A1:R67"/>
  <sheetViews>
    <sheetView showGridLines="0" topLeftCell="A37" zoomScaleNormal="100" workbookViewId="0">
      <selection activeCell="O47" sqref="O47"/>
    </sheetView>
  </sheetViews>
  <sheetFormatPr defaultRowHeight="12" x14ac:dyDescent="0.2"/>
  <cols>
    <col min="1" max="1" width="4.6640625" customWidth="1"/>
    <col min="2" max="2" width="34.33203125" customWidth="1"/>
    <col min="3" max="17" width="13.5" customWidth="1"/>
  </cols>
  <sheetData>
    <row r="1" spans="1:18" ht="18.75" x14ac:dyDescent="0.3">
      <c r="A1" s="31" t="str">
        <f>A_Name_Model</f>
        <v>Public Lighting Model</v>
      </c>
      <c r="B1" s="31"/>
      <c r="C1" s="31"/>
      <c r="D1" s="33"/>
      <c r="E1" s="31"/>
      <c r="F1" s="32"/>
      <c r="G1" s="32"/>
    </row>
    <row r="2" spans="1:18" ht="16.5" thickBot="1" x14ac:dyDescent="0.3">
      <c r="A2" s="4" t="str">
        <f ca="1">RIGHT(CELL("filename",A2),LEN(CELL("filename",A2))-FIND("]",CELL("filename",A2)))</f>
        <v>Lights_Data</v>
      </c>
      <c r="B2" s="4"/>
      <c r="C2" s="60"/>
      <c r="D2" s="60" t="s">
        <v>220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75" thickTop="1" x14ac:dyDescent="0.2"/>
    <row r="4" spans="1:18" s="58" customFormat="1" x14ac:dyDescent="0.2"/>
    <row r="5" spans="1:18" s="58" customFormat="1" ht="12.75" x14ac:dyDescent="0.2">
      <c r="B5" s="5" t="s">
        <v>770</v>
      </c>
    </row>
    <row r="6" spans="1:18" s="58" customFormat="1" x14ac:dyDescent="0.2"/>
    <row r="7" spans="1:18" s="58" customFormat="1" x14ac:dyDescent="0.2">
      <c r="B7" s="145" t="s">
        <v>499</v>
      </c>
      <c r="C7" s="559" t="s">
        <v>47</v>
      </c>
      <c r="D7" s="559" t="s">
        <v>78</v>
      </c>
      <c r="E7" s="559" t="s">
        <v>52</v>
      </c>
      <c r="F7" s="559" t="s">
        <v>51</v>
      </c>
      <c r="G7" s="559" t="s">
        <v>53</v>
      </c>
      <c r="H7" s="559" t="s">
        <v>54</v>
      </c>
      <c r="I7" s="559" t="s">
        <v>49</v>
      </c>
      <c r="J7" s="559" t="s">
        <v>104</v>
      </c>
      <c r="K7" s="559" t="s">
        <v>501</v>
      </c>
      <c r="L7" s="559" t="s">
        <v>502</v>
      </c>
      <c r="M7" s="559" t="s">
        <v>503</v>
      </c>
      <c r="N7" s="559" t="s">
        <v>504</v>
      </c>
      <c r="O7" s="559" t="s">
        <v>505</v>
      </c>
      <c r="P7" s="559" t="s">
        <v>506</v>
      </c>
      <c r="Q7" s="559" t="s">
        <v>507</v>
      </c>
    </row>
    <row r="8" spans="1:18" s="58" customFormat="1" x14ac:dyDescent="0.2">
      <c r="B8" s="145" t="s">
        <v>238</v>
      </c>
      <c r="C8" s="180">
        <f>SUM(Denominator_tbl[[#This Row],[ENERGY]:[METERED]])</f>
        <v>0</v>
      </c>
      <c r="D8" s="180">
        <f>SUMIF(Equipt_Data_Import[#Headers],Denominator_tbl[[#This Row],[ENERGY_]],Equipt_Data_Import[#Totals])</f>
        <v>0</v>
      </c>
      <c r="E8" s="180">
        <f>SUMIF(Equipt_Data_Import[#Headers],Denominator_tbl[[#This Row],[CLER_]],Equipt_Data_Import[#Totals])</f>
        <v>0</v>
      </c>
      <c r="F8" s="180">
        <f>SUMIF(Equipt_Data_Import[#Headers],Denominator_tbl[[#This Row],[PLC_]],Equipt_Data_Import[#Totals])</f>
        <v>0</v>
      </c>
      <c r="G8" s="180">
        <f>SUMIF(Equipt_Data_Import[#Headers],Denominator_tbl[[#This Row],[TFI_]],Equipt_Data_Import[#Totals])</f>
        <v>0</v>
      </c>
      <c r="H8" s="180">
        <f>SUMIF(Equipt_Data_Import[#Headers],Denominator_tbl[[#This Row],[SAPN_]],Equipt_Data_Import[#Totals])</f>
        <v>0</v>
      </c>
      <c r="I8" s="180">
        <f>SUMIF(Equipt_Data_Import[#Headers],Denominator_tbl[[#This Row],[SLUOS_]],Equipt_Data_Import[#Totals])</f>
        <v>0</v>
      </c>
      <c r="J8" s="180">
        <f>SUMIF(Equipt_Data_Import[#Headers],Denominator_tbl[[#This Row],[METERED_]],Equipt_Data_Import[#Totals])</f>
        <v>0</v>
      </c>
      <c r="K8" s="9"/>
      <c r="L8" s="9"/>
      <c r="M8" s="9"/>
      <c r="N8" s="9"/>
      <c r="O8" s="9"/>
      <c r="P8" s="9"/>
      <c r="Q8" s="9"/>
    </row>
    <row r="9" spans="1:18" s="58" customFormat="1" x14ac:dyDescent="0.2">
      <c r="B9" s="145" t="s">
        <v>713</v>
      </c>
      <c r="C9" s="180">
        <f>SUM(Denominator_tbl[[#This Row],[ENERGY]:[METERED]])</f>
        <v>0</v>
      </c>
      <c r="D9" s="180">
        <f>SUMIF(Equipt_Data_Import[#Headers],Denominator_tbl[[#This Row],[ENERGY_]],Equipt_Data_Import[#Totals])</f>
        <v>0</v>
      </c>
      <c r="E9" s="180">
        <f>SUMIF(Equipt_Data_Import[#Headers],Denominator_tbl[[#This Row],[CLER_]],Equipt_Data_Import[#Totals])</f>
        <v>0</v>
      </c>
      <c r="F9" s="180">
        <f>SUMIF(Equipt_Data_Import[#Headers],Denominator_tbl[[#This Row],[PLC_]],Equipt_Data_Import[#Totals])</f>
        <v>0</v>
      </c>
      <c r="G9" s="180">
        <f>SUMIF(Equipt_Data_Import[#Headers],Denominator_tbl[[#This Row],[TFI_]],Equipt_Data_Import[#Totals])</f>
        <v>0</v>
      </c>
      <c r="H9" s="180">
        <f>SUMIF(Equipt_Data_Import[#Headers],Denominator_tbl[[#This Row],[SAPN_]],Equipt_Data_Import[#Totals])</f>
        <v>0</v>
      </c>
      <c r="I9" s="180">
        <f>SUMIF(Equipt_Data_Import[#Headers],Denominator_tbl[[#This Row],[SLUOS_]],Equipt_Data_Import[#Totals])</f>
        <v>0</v>
      </c>
      <c r="J9" s="180">
        <f>SUMIF(Equipt_Data_Import[#Headers],Denominator_tbl[[#This Row],[METERED_]],Equipt_Data_Import[#Totals])</f>
        <v>0</v>
      </c>
      <c r="K9" s="9"/>
      <c r="L9" s="9"/>
      <c r="M9" s="9"/>
      <c r="N9" s="9"/>
      <c r="O9" s="9"/>
      <c r="P9" s="9"/>
      <c r="Q9" s="9"/>
    </row>
    <row r="10" spans="1:18" s="58" customFormat="1" x14ac:dyDescent="0.2">
      <c r="B10" s="145" t="s">
        <v>232</v>
      </c>
      <c r="C10" s="180">
        <f>SUM(Denominator_tbl[[#This Row],[ENERGY]:[METERED]])</f>
        <v>0</v>
      </c>
      <c r="D10" s="180">
        <f>SUMIF(Equipt_Data_Import[#Headers],Denominator_tbl[[#This Row],[ENERGY_]],Equipt_Data_Import[#Totals])</f>
        <v>0</v>
      </c>
      <c r="E10" s="180">
        <f>SUMIF(Equipt_Data_Import[#Headers],Denominator_tbl[[#This Row],[CLER_]],Equipt_Data_Import[#Totals])</f>
        <v>0</v>
      </c>
      <c r="F10" s="180">
        <f>SUMIF(Equipt_Data_Import[#Headers],Denominator_tbl[[#This Row],[PLC_]],Equipt_Data_Import[#Totals])</f>
        <v>0</v>
      </c>
      <c r="G10" s="180">
        <f>SUMIF(Equipt_Data_Import[#Headers],Denominator_tbl[[#This Row],[TFI_]],Equipt_Data_Import[#Totals])</f>
        <v>0</v>
      </c>
      <c r="H10" s="180">
        <f>SUMIF(Equipt_Data_Import[#Headers],Denominator_tbl[[#This Row],[SAPN_]],Equipt_Data_Import[#Totals])</f>
        <v>0</v>
      </c>
      <c r="I10" s="180">
        <f>SUMIF(Equipt_Data_Import[#Headers],Denominator_tbl[[#This Row],[SLUOS_]],Equipt_Data_Import[#Totals])</f>
        <v>0</v>
      </c>
      <c r="J10" s="180">
        <f>SUMIF(Equipt_Data_Import[#Headers],Denominator_tbl[[#This Row],[METERED_]],Equipt_Data_Import[#Totals])</f>
        <v>0</v>
      </c>
      <c r="K10" s="9"/>
      <c r="L10" s="9"/>
      <c r="M10" s="9"/>
      <c r="N10" s="9"/>
      <c r="O10" s="9"/>
      <c r="P10" s="9"/>
      <c r="Q10" s="9"/>
    </row>
    <row r="11" spans="1:18" s="386" customFormat="1" x14ac:dyDescent="0.2">
      <c r="B11" s="145" t="s">
        <v>314</v>
      </c>
      <c r="C11" s="180">
        <f>SUM(Denominator_tbl[[#This Row],[ENERGY]:[METERED]])</f>
        <v>0</v>
      </c>
      <c r="D11" s="180">
        <f>SUMIF(Equipt_Data_Import[#Headers],Denominator_tbl[[#This Row],[ENERGY_]],Equipt_Data_Import[#Totals])</f>
        <v>0</v>
      </c>
      <c r="E11" s="180">
        <f>SUMIF(Equipt_Data_Import[#Headers],Denominator_tbl[[#This Row],[CLER_]],Equipt_Data_Import[#Totals])</f>
        <v>0</v>
      </c>
      <c r="F11" s="499">
        <f>SUMIF(Equipt_Data_Import[#Headers],Denominator_tbl[[#This Row],[PLC_]],Equipt_Data_Import[#Totals])</f>
        <v>0</v>
      </c>
      <c r="G11" s="499">
        <f>SUMIF(Equipt_Data_Import[#Headers],Denominator_tbl[[#This Row],[TFI_]],Equipt_Data_Import[#Totals])</f>
        <v>0</v>
      </c>
      <c r="H11" s="499">
        <f>SUMIF(Equipt_Data_Import[#Headers],Denominator_tbl[[#This Row],[SAPN_]],Equipt_Data_Import[#Totals])</f>
        <v>0</v>
      </c>
      <c r="I11" s="499">
        <f>SUMIF(Equipt_Data_Import[#Headers],Denominator_tbl[[#This Row],[SLUOS_]],Equipt_Data_Import[#Totals])</f>
        <v>0</v>
      </c>
      <c r="J11" s="499">
        <f>SUMIF(Equipt_Data_Import[#Headers],Denominator_tbl[[#This Row],[METERED_]],Equipt_Data_Import[#Totals])</f>
        <v>0</v>
      </c>
      <c r="K11" s="9"/>
      <c r="L11" s="9"/>
      <c r="M11" s="9"/>
      <c r="N11" s="9"/>
      <c r="O11" s="9"/>
      <c r="P11" s="9"/>
      <c r="Q11" s="9"/>
    </row>
    <row r="12" spans="1:18" s="58" customFormat="1" x14ac:dyDescent="0.2">
      <c r="B12" s="145" t="s">
        <v>239</v>
      </c>
      <c r="C12" s="180">
        <f>SUM(Denominator_tbl[[#This Row],[ENERGY]:[METERED]])</f>
        <v>0</v>
      </c>
      <c r="D12" s="180">
        <f>SUMIF(Equipt_Data_Import[#Headers],Denominator_tbl[[#This Row],[ENERGY_]],Equipt_Data_Import[#Totals])</f>
        <v>0</v>
      </c>
      <c r="E12" s="180">
        <f>SUMIF(Equipt_Data_Import[#Headers],Denominator_tbl[[#This Row],[CLER_]],Equipt_Data_Import[#Totals])</f>
        <v>0</v>
      </c>
      <c r="F12" s="180">
        <f>SUMIF(Equipt_Data_Import[#Headers],Denominator_tbl[[#This Row],[PLC_]],Equipt_Data_Import[#Totals])</f>
        <v>0</v>
      </c>
      <c r="G12" s="180">
        <f>SUMIF(Equipt_Data_Import[#Headers],Denominator_tbl[[#This Row],[TFI_]],Equipt_Data_Import[#Totals])</f>
        <v>0</v>
      </c>
      <c r="H12" s="180">
        <f>SUMIF(Equipt_Data_Import[#Headers],Denominator_tbl[[#This Row],[SAPN_]],Equipt_Data_Import[#Totals])</f>
        <v>0</v>
      </c>
      <c r="I12" s="180">
        <f>SUMIF(Equipt_Data_Import[#Headers],Denominator_tbl[[#This Row],[SLUOS_]],Equipt_Data_Import[#Totals])</f>
        <v>0</v>
      </c>
      <c r="J12" s="180">
        <f>SUMIF(Equipt_Data_Import[#Headers],Denominator_tbl[[#This Row],[METERED_]],Equipt_Data_Import[#Totals])</f>
        <v>0</v>
      </c>
      <c r="K12" s="9"/>
      <c r="L12" s="9"/>
      <c r="M12" s="9"/>
      <c r="N12" s="9"/>
      <c r="O12" s="9"/>
      <c r="P12" s="9"/>
      <c r="Q12" s="9"/>
    </row>
    <row r="13" spans="1:18" s="58" customFormat="1" x14ac:dyDescent="0.2">
      <c r="B13" s="145" t="s">
        <v>964</v>
      </c>
      <c r="C13" s="180">
        <f>SUM(Denominator_tbl[[#This Row],[ENERGY]:[METERED]])</f>
        <v>192772</v>
      </c>
      <c r="D13" s="180">
        <f>SUMIF(Equipt_Data_Import[#Headers],Denominator_tbl[[#This Row],[ENERGY_]],Equipt_Data_Import[#Totals])</f>
        <v>0</v>
      </c>
      <c r="E13" s="180">
        <f>SUMIF(Equipt_Data_Import[#Headers],Denominator_tbl[[#This Row],[CLER_]],Equipt_Data_Import[#Totals])</f>
        <v>0</v>
      </c>
      <c r="F13" s="180">
        <f>SUMIF(Equipt_Data_Import[#Headers],Denominator_tbl[[#This Row],[PLC_]],Equipt_Data_Import[#Totals])</f>
        <v>7531</v>
      </c>
      <c r="G13" s="180">
        <f>SUMIF(Equipt_Data_Import[#Headers],Denominator_tbl[[#This Row],[TFI_]],Equipt_Data_Import[#Totals])</f>
        <v>474</v>
      </c>
      <c r="H13" s="180">
        <f>SUMIF(Equipt_Data_Import[#Headers],Denominator_tbl[[#This Row],[SAPN_]],Equipt_Data_Import[#Totals])</f>
        <v>24879</v>
      </c>
      <c r="I13" s="180">
        <f>SUMIF(Equipt_Data_Import[#Headers],Denominator_tbl[[#This Row],[SLUOS_]],Equipt_Data_Import[#Totals])</f>
        <v>159888</v>
      </c>
      <c r="J13" s="180">
        <f>SUMIF(Equipt_Data_Import[#Headers],Denominator_tbl[[#This Row],[METERED_]],Equipt_Data_Import[#Totals])</f>
        <v>0</v>
      </c>
      <c r="K13" s="9"/>
      <c r="L13" s="9"/>
      <c r="M13" s="9" t="s">
        <v>51</v>
      </c>
      <c r="N13" s="9" t="s">
        <v>53</v>
      </c>
      <c r="O13" s="9" t="s">
        <v>54</v>
      </c>
      <c r="P13" s="9" t="s">
        <v>49</v>
      </c>
      <c r="Q13" s="9"/>
    </row>
    <row r="14" spans="1:18" s="58" customFormat="1" x14ac:dyDescent="0.2">
      <c r="B14" s="145" t="s">
        <v>500</v>
      </c>
      <c r="C14" s="180">
        <f>SUM(Denominator_tbl[[#This Row],[ENERGY]:[METERED]])</f>
        <v>192772</v>
      </c>
      <c r="D14" s="180">
        <f>SUMIF(Equipt_Data_Import[#Headers],Denominator_tbl[[#This Row],[ENERGY_]],Equipt_Data_Import[#Totals])</f>
        <v>0</v>
      </c>
      <c r="E14" s="180">
        <f>SUMIF(Equipt_Data_Import[#Headers],Denominator_tbl[[#This Row],[CLER_]],Equipt_Data_Import[#Totals])</f>
        <v>0</v>
      </c>
      <c r="F14" s="180">
        <f>SUMIF(Equipt_Data_Import[#Headers],Denominator_tbl[[#This Row],[PLC_]],Equipt_Data_Import[#Totals])</f>
        <v>7531</v>
      </c>
      <c r="G14" s="180">
        <f>SUMIF(Equipt_Data_Import[#Headers],Denominator_tbl[[#This Row],[TFI_]],Equipt_Data_Import[#Totals])</f>
        <v>474</v>
      </c>
      <c r="H14" s="180">
        <f>SUMIF(Equipt_Data_Import[#Headers],Denominator_tbl[[#This Row],[SAPN_]],Equipt_Data_Import[#Totals])</f>
        <v>24879</v>
      </c>
      <c r="I14" s="180">
        <f>SUMIF(Equipt_Data_Import[#Headers],Denominator_tbl[[#This Row],[SLUOS_]],Equipt_Data_Import[#Totals])</f>
        <v>159888</v>
      </c>
      <c r="J14" s="180">
        <f>SUMIF(Equipt_Data_Import[#Headers],Denominator_tbl[[#This Row],[METERED_]],Equipt_Data_Import[#Totals])</f>
        <v>0</v>
      </c>
      <c r="K14" s="9"/>
      <c r="L14" s="9"/>
      <c r="M14" s="9" t="s">
        <v>51</v>
      </c>
      <c r="N14" s="9" t="s">
        <v>53</v>
      </c>
      <c r="O14" s="9" t="s">
        <v>54</v>
      </c>
      <c r="P14" s="9" t="s">
        <v>49</v>
      </c>
      <c r="Q14" s="9"/>
    </row>
    <row r="15" spans="1:18" s="58" customFormat="1" x14ac:dyDescent="0.2">
      <c r="B15" s="145" t="s">
        <v>632</v>
      </c>
      <c r="C15" s="180">
        <f>SUM(Denominator_tbl[[#This Row],[ENERGY]:[METERED]])</f>
        <v>192772</v>
      </c>
      <c r="D15" s="180">
        <f>SUMIF(Equipt_Data_Import[#Headers],Denominator_tbl[[#This Row],[ENERGY_]],Equipt_Data_Import[#Totals])</f>
        <v>0</v>
      </c>
      <c r="E15" s="180">
        <f>SUMIF(Equipt_Data_Import[#Headers],Denominator_tbl[[#This Row],[CLER_]],Equipt_Data_Import[#Totals])</f>
        <v>0</v>
      </c>
      <c r="F15" s="180">
        <f>SUMIF(Equipt_Data_Import[#Headers],Denominator_tbl[[#This Row],[PLC_]],Equipt_Data_Import[#Totals])</f>
        <v>7531</v>
      </c>
      <c r="G15" s="180">
        <f>SUMIF(Equipt_Data_Import[#Headers],Denominator_tbl[[#This Row],[TFI_]],Equipt_Data_Import[#Totals])</f>
        <v>474</v>
      </c>
      <c r="H15" s="180">
        <f>SUMIF(Equipt_Data_Import[#Headers],Denominator_tbl[[#This Row],[SAPN_]],Equipt_Data_Import[#Totals])</f>
        <v>24879</v>
      </c>
      <c r="I15" s="180">
        <f>SUMIF(Equipt_Data_Import[#Headers],Denominator_tbl[[#This Row],[SLUOS_]],Equipt_Data_Import[#Totals])</f>
        <v>159888</v>
      </c>
      <c r="J15" s="180">
        <f>SUMIF(Equipt_Data_Import[#Headers],Denominator_tbl[[#This Row],[METERED_]],Equipt_Data_Import[#Totals])</f>
        <v>0</v>
      </c>
      <c r="K15" s="9"/>
      <c r="L15" s="9"/>
      <c r="M15" s="9" t="s">
        <v>51</v>
      </c>
      <c r="N15" s="9" t="s">
        <v>53</v>
      </c>
      <c r="O15" s="9" t="s">
        <v>54</v>
      </c>
      <c r="P15" s="9" t="s">
        <v>49</v>
      </c>
      <c r="Q15" s="9"/>
    </row>
    <row r="16" spans="1:18" s="58" customFormat="1" x14ac:dyDescent="0.2">
      <c r="B16" s="145" t="s">
        <v>240</v>
      </c>
      <c r="C16" s="180">
        <f>SUM(Denominator_tbl[[#This Row],[ENERGY]:[METERED]])</f>
        <v>226795</v>
      </c>
      <c r="D16" s="180">
        <f>SUMIF(Equipt_Data_Import[#Headers],Denominator_tbl[[#This Row],[ENERGY_]],Equipt_Data_Import[#Totals])</f>
        <v>8492</v>
      </c>
      <c r="E16" s="180">
        <f>SUMIF(Equipt_Data_Import[#Headers],Denominator_tbl[[#This Row],[CLER_]],Equipt_Data_Import[#Totals])</f>
        <v>25531</v>
      </c>
      <c r="F16" s="180">
        <f>SUMIF(Equipt_Data_Import[#Headers],Denominator_tbl[[#This Row],[PLC_]],Equipt_Data_Import[#Totals])</f>
        <v>7531</v>
      </c>
      <c r="G16" s="180">
        <f>SUMIF(Equipt_Data_Import[#Headers],Denominator_tbl[[#This Row],[TFI_]],Equipt_Data_Import[#Totals])</f>
        <v>474</v>
      </c>
      <c r="H16" s="180">
        <f>SUMIF(Equipt_Data_Import[#Headers],Denominator_tbl[[#This Row],[SAPN_]],Equipt_Data_Import[#Totals])</f>
        <v>24879</v>
      </c>
      <c r="I16" s="180">
        <f>SUMIF(Equipt_Data_Import[#Headers],Denominator_tbl[[#This Row],[SLUOS_]],Equipt_Data_Import[#Totals])</f>
        <v>159888</v>
      </c>
      <c r="J16" s="180">
        <f>SUMIF(Equipt_Data_Import[#Headers],Denominator_tbl[[#This Row],[METERED_]],Equipt_Data_Import[#Totals])</f>
        <v>0</v>
      </c>
      <c r="K16" s="9" t="s">
        <v>78</v>
      </c>
      <c r="L16" s="9" t="s">
        <v>52</v>
      </c>
      <c r="M16" s="9" t="s">
        <v>51</v>
      </c>
      <c r="N16" s="9" t="s">
        <v>53</v>
      </c>
      <c r="O16" s="9" t="s">
        <v>54</v>
      </c>
      <c r="P16" s="9" t="s">
        <v>49</v>
      </c>
      <c r="Q16" s="9"/>
    </row>
    <row r="17" spans="2:17" s="58" customFormat="1" x14ac:dyDescent="0.2">
      <c r="B17" s="145" t="s">
        <v>55</v>
      </c>
      <c r="C17" s="180">
        <f>SUM(Denominator_tbl[[#This Row],[ENERGY]:[METERED]])</f>
        <v>192772</v>
      </c>
      <c r="D17" s="180">
        <f>SUMIF(Equipt_Data_Import[#Headers],Denominator_tbl[[#This Row],[ENERGY_]],Equipt_Data_Import[#Totals])</f>
        <v>0</v>
      </c>
      <c r="E17" s="180">
        <f>SUMIF(Equipt_Data_Import[#Headers],Denominator_tbl[[#This Row],[CLER_]],Equipt_Data_Import[#Totals])</f>
        <v>0</v>
      </c>
      <c r="F17" s="180">
        <f>SUMIF(Equipt_Data_Import[#Headers],Denominator_tbl[[#This Row],[PLC_]],Equipt_Data_Import[#Totals])</f>
        <v>7531</v>
      </c>
      <c r="G17" s="180">
        <f>SUMIF(Equipt_Data_Import[#Headers],Denominator_tbl[[#This Row],[TFI_]],Equipt_Data_Import[#Totals])</f>
        <v>474</v>
      </c>
      <c r="H17" s="180">
        <f>SUMIF(Equipt_Data_Import[#Headers],Denominator_tbl[[#This Row],[SAPN_]],Equipt_Data_Import[#Totals])</f>
        <v>24879</v>
      </c>
      <c r="I17" s="180">
        <f>SUMIF(Equipt_Data_Import[#Headers],Denominator_tbl[[#This Row],[SLUOS_]],Equipt_Data_Import[#Totals])</f>
        <v>159888</v>
      </c>
      <c r="J17" s="180">
        <f>SUMIF(Equipt_Data_Import[#Headers],Denominator_tbl[[#This Row],[METERED_]],Equipt_Data_Import[#Totals])</f>
        <v>0</v>
      </c>
      <c r="K17" s="9"/>
      <c r="L17" s="9"/>
      <c r="M17" s="9" t="s">
        <v>51</v>
      </c>
      <c r="N17" s="9" t="s">
        <v>53</v>
      </c>
      <c r="O17" s="9" t="s">
        <v>54</v>
      </c>
      <c r="P17" s="9" t="s">
        <v>49</v>
      </c>
      <c r="Q17" s="9"/>
    </row>
    <row r="18" spans="2:17" s="58" customFormat="1" x14ac:dyDescent="0.2">
      <c r="B18" s="145" t="s">
        <v>235</v>
      </c>
      <c r="C18" s="180">
        <f>SUM(Denominator_tbl[[#This Row],[ENERGY]:[METERED]])</f>
        <v>226795</v>
      </c>
      <c r="D18" s="180">
        <f>SUMIF(Equipt_Data_Import[#Headers],Denominator_tbl[[#This Row],[ENERGY_]],Equipt_Data_Import[#Totals])</f>
        <v>8492</v>
      </c>
      <c r="E18" s="180">
        <f>SUMIF(Equipt_Data_Import[#Headers],Denominator_tbl[[#This Row],[CLER_]],Equipt_Data_Import[#Totals])</f>
        <v>25531</v>
      </c>
      <c r="F18" s="180">
        <f>SUMIF(Equipt_Data_Import[#Headers],Denominator_tbl[[#This Row],[PLC_]],Equipt_Data_Import[#Totals])</f>
        <v>7531</v>
      </c>
      <c r="G18" s="180">
        <f>SUMIF(Equipt_Data_Import[#Headers],Denominator_tbl[[#This Row],[TFI_]],Equipt_Data_Import[#Totals])</f>
        <v>474</v>
      </c>
      <c r="H18" s="180">
        <f>SUMIF(Equipt_Data_Import[#Headers],Denominator_tbl[[#This Row],[SAPN_]],Equipt_Data_Import[#Totals])</f>
        <v>24879</v>
      </c>
      <c r="I18" s="180">
        <f>SUMIF(Equipt_Data_Import[#Headers],Denominator_tbl[[#This Row],[SLUOS_]],Equipt_Data_Import[#Totals])</f>
        <v>159888</v>
      </c>
      <c r="J18" s="180">
        <f>SUMIF(Equipt_Data_Import[#Headers],Denominator_tbl[[#This Row],[METERED_]],Equipt_Data_Import[#Totals])</f>
        <v>0</v>
      </c>
      <c r="K18" s="9" t="s">
        <v>78</v>
      </c>
      <c r="L18" s="9" t="s">
        <v>52</v>
      </c>
      <c r="M18" s="9" t="s">
        <v>51</v>
      </c>
      <c r="N18" s="9" t="s">
        <v>53</v>
      </c>
      <c r="O18" s="9" t="s">
        <v>54</v>
      </c>
      <c r="P18" s="9" t="s">
        <v>49</v>
      </c>
      <c r="Q18" s="9"/>
    </row>
    <row r="19" spans="2:17" s="58" customFormat="1" x14ac:dyDescent="0.2">
      <c r="B19" s="145" t="s">
        <v>236</v>
      </c>
      <c r="C19" s="180">
        <f>SUM(Denominator_tbl[[#This Row],[ENERGY]:[METERED]])</f>
        <v>226795</v>
      </c>
      <c r="D19" s="180">
        <f>SUMIF(Equipt_Data_Import[#Headers],Denominator_tbl[[#This Row],[ENERGY_]],Equipt_Data_Import[#Totals])</f>
        <v>8492</v>
      </c>
      <c r="E19" s="180">
        <f>SUMIF(Equipt_Data_Import[#Headers],Denominator_tbl[[#This Row],[CLER_]],Equipt_Data_Import[#Totals])</f>
        <v>25531</v>
      </c>
      <c r="F19" s="180">
        <f>SUMIF(Equipt_Data_Import[#Headers],Denominator_tbl[[#This Row],[PLC_]],Equipt_Data_Import[#Totals])</f>
        <v>7531</v>
      </c>
      <c r="G19" s="180">
        <f>SUMIF(Equipt_Data_Import[#Headers],Denominator_tbl[[#This Row],[TFI_]],Equipt_Data_Import[#Totals])</f>
        <v>474</v>
      </c>
      <c r="H19" s="180">
        <f>SUMIF(Equipt_Data_Import[#Headers],Denominator_tbl[[#This Row],[SAPN_]],Equipt_Data_Import[#Totals])</f>
        <v>24879</v>
      </c>
      <c r="I19" s="180">
        <f>SUMIF(Equipt_Data_Import[#Headers],Denominator_tbl[[#This Row],[SLUOS_]],Equipt_Data_Import[#Totals])</f>
        <v>159888</v>
      </c>
      <c r="J19" s="180">
        <f>SUMIF(Equipt_Data_Import[#Headers],Denominator_tbl[[#This Row],[METERED_]],Equipt_Data_Import[#Totals])</f>
        <v>0</v>
      </c>
      <c r="K19" s="9" t="s">
        <v>78</v>
      </c>
      <c r="L19" s="9" t="s">
        <v>52</v>
      </c>
      <c r="M19" s="9" t="s">
        <v>51</v>
      </c>
      <c r="N19" s="9" t="s">
        <v>53</v>
      </c>
      <c r="O19" s="9" t="s">
        <v>54</v>
      </c>
      <c r="P19" s="9" t="s">
        <v>49</v>
      </c>
      <c r="Q19" s="9"/>
    </row>
    <row r="20" spans="2:17" s="58" customFormat="1" x14ac:dyDescent="0.2">
      <c r="B20" s="145" t="s">
        <v>237</v>
      </c>
      <c r="C20" s="180">
        <f>SUM(Denominator_tbl[[#This Row],[ENERGY]:[METERED]])</f>
        <v>226795</v>
      </c>
      <c r="D20" s="180">
        <f>SUMIF(Equipt_Data_Import[#Headers],Denominator_tbl[[#This Row],[ENERGY_]],Equipt_Data_Import[#Totals])</f>
        <v>8492</v>
      </c>
      <c r="E20" s="180">
        <f>SUMIF(Equipt_Data_Import[#Headers],Denominator_tbl[[#This Row],[CLER_]],Equipt_Data_Import[#Totals])</f>
        <v>25531</v>
      </c>
      <c r="F20" s="180">
        <f>SUMIF(Equipt_Data_Import[#Headers],Denominator_tbl[[#This Row],[PLC_]],Equipt_Data_Import[#Totals])</f>
        <v>7531</v>
      </c>
      <c r="G20" s="180">
        <f>SUMIF(Equipt_Data_Import[#Headers],Denominator_tbl[[#This Row],[TFI_]],Equipt_Data_Import[#Totals])</f>
        <v>474</v>
      </c>
      <c r="H20" s="180">
        <f>SUMIF(Equipt_Data_Import[#Headers],Denominator_tbl[[#This Row],[SAPN_]],Equipt_Data_Import[#Totals])</f>
        <v>24879</v>
      </c>
      <c r="I20" s="180">
        <f>SUMIF(Equipt_Data_Import[#Headers],Denominator_tbl[[#This Row],[SLUOS_]],Equipt_Data_Import[#Totals])</f>
        <v>159888</v>
      </c>
      <c r="J20" s="180">
        <f>SUMIF(Equipt_Data_Import[#Headers],Denominator_tbl[[#This Row],[METERED_]],Equipt_Data_Import[#Totals])</f>
        <v>0</v>
      </c>
      <c r="K20" s="9" t="s">
        <v>78</v>
      </c>
      <c r="L20" s="9" t="s">
        <v>52</v>
      </c>
      <c r="M20" s="9" t="s">
        <v>51</v>
      </c>
      <c r="N20" s="9" t="s">
        <v>53</v>
      </c>
      <c r="O20" s="9" t="s">
        <v>54</v>
      </c>
      <c r="P20" s="9" t="s">
        <v>49</v>
      </c>
      <c r="Q20" s="9"/>
    </row>
    <row r="21" spans="2:17" s="558" customFormat="1" x14ac:dyDescent="0.2">
      <c r="B21" s="145" t="s">
        <v>974</v>
      </c>
      <c r="C21" s="180">
        <f>SUM(Denominator_tbl[[#This Row],[ENERGY]:[METERED]])</f>
        <v>226795</v>
      </c>
      <c r="D21" s="180">
        <f>SUMIF(Equipt_Data_Import[#Headers],Denominator_tbl[[#This Row],[ENERGY_]],Equipt_Data_Import[#Totals])</f>
        <v>8492</v>
      </c>
      <c r="E21" s="180">
        <f>SUMIF(Equipt_Data_Import[#Headers],Denominator_tbl[[#This Row],[CLER_]],Equipt_Data_Import[#Totals])</f>
        <v>25531</v>
      </c>
      <c r="F21" s="499">
        <f>SUMIF(Equipt_Data_Import[#Headers],Denominator_tbl[[#This Row],[PLC_]],Equipt_Data_Import[#Totals])</f>
        <v>7531</v>
      </c>
      <c r="G21" s="499">
        <f>SUMIF(Equipt_Data_Import[#Headers],Denominator_tbl[[#This Row],[TFI_]],Equipt_Data_Import[#Totals])</f>
        <v>474</v>
      </c>
      <c r="H21" s="499">
        <f>SUMIF(Equipt_Data_Import[#Headers],Denominator_tbl[[#This Row],[SAPN_]],Equipt_Data_Import[#Totals])</f>
        <v>24879</v>
      </c>
      <c r="I21" s="499">
        <f>SUMIF(Equipt_Data_Import[#Headers],Denominator_tbl[[#This Row],[SLUOS_]],Equipt_Data_Import[#Totals])</f>
        <v>159888</v>
      </c>
      <c r="J21" s="499">
        <f>SUMIF(Equipt_Data_Import[#Headers],Denominator_tbl[[#This Row],[METERED_]],Equipt_Data_Import[#Totals])</f>
        <v>0</v>
      </c>
      <c r="K21" s="9" t="s">
        <v>78</v>
      </c>
      <c r="L21" s="9" t="s">
        <v>52</v>
      </c>
      <c r="M21" s="9" t="s">
        <v>51</v>
      </c>
      <c r="N21" s="9" t="s">
        <v>53</v>
      </c>
      <c r="O21" s="9" t="s">
        <v>54</v>
      </c>
      <c r="P21" s="9" t="s">
        <v>49</v>
      </c>
      <c r="Q21" s="9"/>
    </row>
    <row r="22" spans="2:17" s="58" customFormat="1" x14ac:dyDescent="0.2">
      <c r="B22" s="145" t="s">
        <v>26</v>
      </c>
      <c r="C22" s="180">
        <f>SUM(Denominator_tbl[[#This Row],[ENERGY]:[METERED]])</f>
        <v>192772</v>
      </c>
      <c r="D22" s="180">
        <f>SUMIF(Equipt_Data_Import[#Headers],Denominator_tbl[[#This Row],[ENERGY_]],Equipt_Data_Import[#Totals])</f>
        <v>0</v>
      </c>
      <c r="E22" s="180">
        <f>SUMIF(Equipt_Data_Import[#Headers],Denominator_tbl[[#This Row],[CLER_]],Equipt_Data_Import[#Totals])</f>
        <v>0</v>
      </c>
      <c r="F22" s="180">
        <f>SUMIF(Equipt_Data_Import[#Headers],Denominator_tbl[[#This Row],[PLC_]],Equipt_Data_Import[#Totals])</f>
        <v>7531</v>
      </c>
      <c r="G22" s="180">
        <f>SUMIF(Equipt_Data_Import[#Headers],Denominator_tbl[[#This Row],[TFI_]],Equipt_Data_Import[#Totals])</f>
        <v>474</v>
      </c>
      <c r="H22" s="180">
        <f>SUMIF(Equipt_Data_Import[#Headers],Denominator_tbl[[#This Row],[SAPN_]],Equipt_Data_Import[#Totals])</f>
        <v>24879</v>
      </c>
      <c r="I22" s="180">
        <f>SUMIF(Equipt_Data_Import[#Headers],Denominator_tbl[[#This Row],[SLUOS_]],Equipt_Data_Import[#Totals])</f>
        <v>159888</v>
      </c>
      <c r="J22" s="180">
        <f>SUMIF(Equipt_Data_Import[#Headers],Denominator_tbl[[#This Row],[METERED_]],Equipt_Data_Import[#Totals])</f>
        <v>0</v>
      </c>
      <c r="K22" s="9"/>
      <c r="L22" s="9"/>
      <c r="M22" s="9" t="s">
        <v>51</v>
      </c>
      <c r="N22" s="9" t="s">
        <v>53</v>
      </c>
      <c r="O22" s="9" t="s">
        <v>54</v>
      </c>
      <c r="P22" s="9" t="s">
        <v>49</v>
      </c>
      <c r="Q22" s="9"/>
    </row>
    <row r="23" spans="2:17" s="58" customFormat="1" x14ac:dyDescent="0.2">
      <c r="B23" s="456" t="s">
        <v>626</v>
      </c>
      <c r="C23" s="457">
        <f>SUM(Denominator_tbl[[#This Row],[ENERGY]:[METERED]])</f>
        <v>0</v>
      </c>
      <c r="D23" s="457">
        <f>SUMIF(Equipt_Data_Import[#Headers],Denominator_tbl[[#This Row],[ENERGY_]],Equipt_Data_Import[#Totals])</f>
        <v>0</v>
      </c>
      <c r="E23" s="457">
        <f>SUMIF(Equipt_Data_Import[#Headers],Denominator_tbl[[#This Row],[CLER_]],Equipt_Data_Import[#Totals])</f>
        <v>0</v>
      </c>
      <c r="F23" s="458">
        <f>SUMIF(Equipt_Data_Import[#Headers],Denominator_tbl[[#This Row],[PLC_]],Equipt_Data_Import[#Totals])</f>
        <v>0</v>
      </c>
      <c r="G23" s="458">
        <f>SUMIF(Equipt_Data_Import[#Headers],Denominator_tbl[[#This Row],[TFI_]],Equipt_Data_Import[#Totals])</f>
        <v>0</v>
      </c>
      <c r="H23" s="458">
        <f>SUMIF(Equipt_Data_Import[#Headers],Denominator_tbl[[#This Row],[SAPN_]],Equipt_Data_Import[#Totals])</f>
        <v>0</v>
      </c>
      <c r="I23" s="458">
        <f>SUMIF(Equipt_Data_Import[#Headers],Denominator_tbl[[#This Row],[SLUOS_]],Equipt_Data_Import[#Totals])</f>
        <v>0</v>
      </c>
      <c r="J23" s="458">
        <f>SUMIF(Equipt_Data_Import[#Headers],Denominator_tbl[[#This Row],[METERED_]],Equipt_Data_Import[#Totals])</f>
        <v>0</v>
      </c>
      <c r="K23" s="459"/>
      <c r="L23" s="459"/>
      <c r="M23" s="459"/>
      <c r="N23" s="459"/>
      <c r="O23" s="459"/>
      <c r="P23" s="459"/>
      <c r="Q23" s="459"/>
    </row>
    <row r="24" spans="2:17" s="58" customFormat="1" x14ac:dyDescent="0.2">
      <c r="B24" s="456" t="s">
        <v>419</v>
      </c>
      <c r="C24" s="457">
        <f>SUM(Denominator_tbl[[#This Row],[ENERGY]:[METERED]])</f>
        <v>0</v>
      </c>
      <c r="D24" s="457">
        <f>SUMIF(Equipt_Data_Import[#Headers],Denominator_tbl[[#This Row],[ENERGY_]],Equipt_Data_Import[#Totals])</f>
        <v>0</v>
      </c>
      <c r="E24" s="457">
        <f>SUMIF(Equipt_Data_Import[#Headers],Denominator_tbl[[#This Row],[CLER_]],Equipt_Data_Import[#Totals])</f>
        <v>0</v>
      </c>
      <c r="F24" s="458">
        <f>SUMIF(Equipt_Data_Import[#Headers],Denominator_tbl[[#This Row],[PLC_]],Equipt_Data_Import[#Totals])</f>
        <v>0</v>
      </c>
      <c r="G24" s="458">
        <f>SUMIF(Equipt_Data_Import[#Headers],Denominator_tbl[[#This Row],[TFI_]],Equipt_Data_Import[#Totals])</f>
        <v>0</v>
      </c>
      <c r="H24" s="458">
        <f>SUMIF(Equipt_Data_Import[#Headers],Denominator_tbl[[#This Row],[SAPN_]],Equipt_Data_Import[#Totals])</f>
        <v>0</v>
      </c>
      <c r="I24" s="458">
        <f>SUMIF(Equipt_Data_Import[#Headers],Denominator_tbl[[#This Row],[SLUOS_]],Equipt_Data_Import[#Totals])</f>
        <v>0</v>
      </c>
      <c r="J24" s="458">
        <f>SUMIF(Equipt_Data_Import[#Headers],Denominator_tbl[[#This Row],[METERED_]],Equipt_Data_Import[#Totals])</f>
        <v>0</v>
      </c>
      <c r="K24" s="459"/>
      <c r="L24" s="459"/>
      <c r="M24" s="459"/>
      <c r="N24" s="459"/>
      <c r="O24" s="459"/>
      <c r="P24" s="459"/>
      <c r="Q24" s="459"/>
    </row>
    <row r="25" spans="2:17" s="58" customFormat="1" x14ac:dyDescent="0.2">
      <c r="B25" s="456" t="s">
        <v>783</v>
      </c>
      <c r="C25" s="457">
        <f>SUM(Denominator_tbl[[#This Row],[ENERGY]:[METERED]])</f>
        <v>34023</v>
      </c>
      <c r="D25" s="457">
        <f>SUMIF(Equipt_Data_Import[#Headers],Denominator_tbl[[#This Row],[ENERGY_]],Equipt_Data_Import[#Totals])</f>
        <v>8492</v>
      </c>
      <c r="E25" s="457">
        <f>SUMIF(Equipt_Data_Import[#Headers],Denominator_tbl[[#This Row],[CLER_]],Equipt_Data_Import[#Totals])</f>
        <v>25531</v>
      </c>
      <c r="F25" s="458">
        <f>SUMIF(Equipt_Data_Import[#Headers],Denominator_tbl[[#This Row],[PLC_]],Equipt_Data_Import[#Totals])</f>
        <v>0</v>
      </c>
      <c r="G25" s="458">
        <f>SUMIF(Equipt_Data_Import[#Headers],Denominator_tbl[[#This Row],[TFI_]],Equipt_Data_Import[#Totals])</f>
        <v>0</v>
      </c>
      <c r="H25" s="458">
        <f>SUMIF(Equipt_Data_Import[#Headers],Denominator_tbl[[#This Row],[SAPN_]],Equipt_Data_Import[#Totals])</f>
        <v>0</v>
      </c>
      <c r="I25" s="458">
        <f>SUMIF(Equipt_Data_Import[#Headers],Denominator_tbl[[#This Row],[SLUOS_]],Equipt_Data_Import[#Totals])</f>
        <v>0</v>
      </c>
      <c r="J25" s="458">
        <f>SUMIF(Equipt_Data_Import[#Headers],Denominator_tbl[[#This Row],[METERED_]],Equipt_Data_Import[#Totals])</f>
        <v>0</v>
      </c>
      <c r="K25" s="459" t="s">
        <v>78</v>
      </c>
      <c r="L25" s="459" t="s">
        <v>52</v>
      </c>
      <c r="M25" s="459"/>
      <c r="N25" s="459"/>
      <c r="O25" s="459"/>
      <c r="P25" s="459"/>
      <c r="Q25" s="459"/>
    </row>
    <row r="26" spans="2:17" s="58" customFormat="1" x14ac:dyDescent="0.2">
      <c r="B26" s="456" t="s">
        <v>1254</v>
      </c>
      <c r="C26" s="457">
        <f>SUM(Denominator_tbl[[#This Row],[ENERGY]:[METERED]])</f>
        <v>192772</v>
      </c>
      <c r="D26" s="457">
        <f>SUMIF(Equipt_Data_Import[#Headers],Denominator_tbl[[#This Row],[ENERGY_]],Equipt_Data_Import[#Totals])</f>
        <v>0</v>
      </c>
      <c r="E26" s="457">
        <f>SUMIF(Equipt_Data_Import[#Headers],Denominator_tbl[[#This Row],[CLER_]],Equipt_Data_Import[#Totals])</f>
        <v>0</v>
      </c>
      <c r="F26" s="458">
        <f>SUMIF(Equipt_Data_Import[#Headers],Denominator_tbl[[#This Row],[PLC_]],Equipt_Data_Import[#Totals])</f>
        <v>7531</v>
      </c>
      <c r="G26" s="458">
        <f>SUMIF(Equipt_Data_Import[#Headers],Denominator_tbl[[#This Row],[TFI_]],Equipt_Data_Import[#Totals])</f>
        <v>474</v>
      </c>
      <c r="H26" s="458">
        <f>SUMIF(Equipt_Data_Import[#Headers],Denominator_tbl[[#This Row],[SAPN_]],Equipt_Data_Import[#Totals])</f>
        <v>24879</v>
      </c>
      <c r="I26" s="458">
        <f>SUMIF(Equipt_Data_Import[#Headers],Denominator_tbl[[#This Row],[SLUOS_]],Equipt_Data_Import[#Totals])</f>
        <v>159888</v>
      </c>
      <c r="J26" s="458">
        <f>SUMIF(Equipt_Data_Import[#Headers],Denominator_tbl[[#This Row],[METERED_]],Equipt_Data_Import[#Totals])</f>
        <v>0</v>
      </c>
      <c r="K26" s="9"/>
      <c r="L26" s="9"/>
      <c r="M26" s="9" t="s">
        <v>51</v>
      </c>
      <c r="N26" s="9" t="s">
        <v>53</v>
      </c>
      <c r="O26" s="9" t="s">
        <v>54</v>
      </c>
      <c r="P26" s="9" t="s">
        <v>49</v>
      </c>
      <c r="Q26" s="9"/>
    </row>
    <row r="27" spans="2:17" s="58" customFormat="1" x14ac:dyDescent="0.2">
      <c r="B27" s="48" t="s">
        <v>765</v>
      </c>
      <c r="C27" s="386"/>
      <c r="D27" s="386"/>
      <c r="E27" s="386"/>
      <c r="F27" s="386"/>
      <c r="G27" s="386"/>
      <c r="H27" s="386"/>
      <c r="I27" s="386"/>
      <c r="J27" s="386"/>
      <c r="K27" s="48" t="s">
        <v>765</v>
      </c>
      <c r="L27" s="48" t="s">
        <v>765</v>
      </c>
      <c r="M27" s="48" t="s">
        <v>765</v>
      </c>
      <c r="N27" s="48" t="s">
        <v>765</v>
      </c>
      <c r="O27" s="48" t="s">
        <v>765</v>
      </c>
      <c r="P27" s="48" t="s">
        <v>765</v>
      </c>
      <c r="Q27" s="48" t="s">
        <v>765</v>
      </c>
    </row>
    <row r="28" spans="2:17" s="58" customFormat="1" x14ac:dyDescent="0.2"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</row>
    <row r="29" spans="2:17" s="386" customFormat="1" ht="12.75" x14ac:dyDescent="0.2">
      <c r="B29" s="5" t="s">
        <v>407</v>
      </c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2:17" s="386" customFormat="1" x14ac:dyDescent="0.2">
      <c r="B30" s="62" t="s">
        <v>1101</v>
      </c>
      <c r="C30" t="s">
        <v>221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s="58" customFormat="1" x14ac:dyDescent="0.2">
      <c r="B31" s="62" t="s">
        <v>72</v>
      </c>
      <c r="C31" t="s">
        <v>222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s="58" customFormat="1" x14ac:dyDescent="0.2">
      <c r="B32" s="62" t="s">
        <v>71</v>
      </c>
      <c r="C32" t="s">
        <v>223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2:17" s="58" customFormat="1" x14ac:dyDescent="0.2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2:17" s="58" customFormat="1" ht="36" x14ac:dyDescent="0.2">
      <c r="B34" s="71" t="s">
        <v>219</v>
      </c>
      <c r="C34" s="72" t="s">
        <v>52</v>
      </c>
      <c r="D34" s="72" t="s">
        <v>83</v>
      </c>
      <c r="E34" s="72" t="s">
        <v>89</v>
      </c>
      <c r="F34" s="72" t="s">
        <v>78</v>
      </c>
      <c r="G34" s="72" t="s">
        <v>104</v>
      </c>
      <c r="H34" s="72" t="s">
        <v>119</v>
      </c>
      <c r="I34" s="72" t="s">
        <v>51</v>
      </c>
      <c r="J34" s="72" t="s">
        <v>54</v>
      </c>
      <c r="K34" s="72" t="s">
        <v>103</v>
      </c>
      <c r="L34" s="72" t="s">
        <v>49</v>
      </c>
      <c r="M34" s="72" t="s">
        <v>53</v>
      </c>
      <c r="N34"/>
      <c r="O34"/>
      <c r="P34"/>
      <c r="Q34"/>
    </row>
    <row r="35" spans="2:17" s="58" customFormat="1" x14ac:dyDescent="0.2">
      <c r="B35" t="s">
        <v>164</v>
      </c>
      <c r="C35" s="37">
        <v>414</v>
      </c>
      <c r="D35" s="37">
        <v>4</v>
      </c>
      <c r="E35" s="37">
        <v>4</v>
      </c>
      <c r="F35" s="37">
        <v>363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8524</v>
      </c>
      <c r="M35" s="37">
        <v>0</v>
      </c>
      <c r="N35"/>
      <c r="O35"/>
      <c r="P35"/>
      <c r="Q35"/>
    </row>
    <row r="36" spans="2:17" s="58" customFormat="1" x14ac:dyDescent="0.2">
      <c r="B36" t="s">
        <v>489</v>
      </c>
      <c r="C36" s="37">
        <v>1</v>
      </c>
      <c r="D36" s="37">
        <v>0</v>
      </c>
      <c r="E36" s="37">
        <v>0</v>
      </c>
      <c r="F36" s="37">
        <v>21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  <c r="L36" s="37">
        <v>265</v>
      </c>
      <c r="M36" s="37">
        <v>0</v>
      </c>
      <c r="N36"/>
      <c r="O36"/>
      <c r="P36"/>
      <c r="Q36"/>
    </row>
    <row r="37" spans="2:17" s="58" customFormat="1" x14ac:dyDescent="0.2">
      <c r="B37" t="s">
        <v>172</v>
      </c>
      <c r="C37" s="37">
        <v>266</v>
      </c>
      <c r="D37" s="37">
        <v>83</v>
      </c>
      <c r="E37" s="37">
        <v>10</v>
      </c>
      <c r="F37" s="37">
        <v>144</v>
      </c>
      <c r="G37" s="37">
        <v>0</v>
      </c>
      <c r="H37" s="37">
        <v>21</v>
      </c>
      <c r="I37" s="37">
        <v>0</v>
      </c>
      <c r="J37" s="37">
        <v>0</v>
      </c>
      <c r="K37" s="37">
        <v>178</v>
      </c>
      <c r="L37" s="37">
        <v>13561</v>
      </c>
      <c r="M37" s="37">
        <v>0</v>
      </c>
      <c r="N37"/>
      <c r="O37"/>
      <c r="P37"/>
      <c r="Q37"/>
    </row>
    <row r="38" spans="2:17" s="58" customFormat="1" x14ac:dyDescent="0.2">
      <c r="B38" t="s">
        <v>161</v>
      </c>
      <c r="C38" s="37">
        <v>0</v>
      </c>
      <c r="D38" s="37">
        <v>8</v>
      </c>
      <c r="E38" s="37">
        <v>3</v>
      </c>
      <c r="F38" s="37">
        <v>1248</v>
      </c>
      <c r="G38" s="37">
        <v>0</v>
      </c>
      <c r="H38" s="37">
        <v>0</v>
      </c>
      <c r="I38" s="37">
        <v>7305</v>
      </c>
      <c r="J38" s="37">
        <v>24733</v>
      </c>
      <c r="K38" s="37">
        <v>2</v>
      </c>
      <c r="L38" s="37">
        <v>0</v>
      </c>
      <c r="M38" s="37">
        <v>390</v>
      </c>
      <c r="N38"/>
      <c r="O38"/>
      <c r="P38"/>
      <c r="Q38"/>
    </row>
    <row r="39" spans="2:17" s="58" customFormat="1" x14ac:dyDescent="0.2">
      <c r="B39" t="s">
        <v>188</v>
      </c>
      <c r="C39" s="37">
        <v>2</v>
      </c>
      <c r="D39" s="37">
        <v>0</v>
      </c>
      <c r="E39" s="37">
        <v>0</v>
      </c>
      <c r="F39" s="37">
        <v>1902</v>
      </c>
      <c r="G39" s="37">
        <v>0</v>
      </c>
      <c r="H39" s="37">
        <v>0</v>
      </c>
      <c r="I39" s="37">
        <v>226</v>
      </c>
      <c r="J39" s="37">
        <v>145</v>
      </c>
      <c r="K39" s="37">
        <v>63</v>
      </c>
      <c r="L39" s="37">
        <v>0</v>
      </c>
      <c r="M39" s="37">
        <v>84</v>
      </c>
      <c r="N39"/>
      <c r="O39"/>
      <c r="P39"/>
      <c r="Q39"/>
    </row>
    <row r="40" spans="2:17" s="58" customFormat="1" x14ac:dyDescent="0.2">
      <c r="B40" t="s">
        <v>173</v>
      </c>
      <c r="C40" s="37">
        <v>3143</v>
      </c>
      <c r="D40" s="37">
        <v>20</v>
      </c>
      <c r="E40" s="37">
        <v>64</v>
      </c>
      <c r="F40" s="37">
        <v>631</v>
      </c>
      <c r="G40" s="37">
        <v>0</v>
      </c>
      <c r="H40" s="37">
        <v>10</v>
      </c>
      <c r="I40" s="37">
        <v>0</v>
      </c>
      <c r="J40" s="37">
        <v>0</v>
      </c>
      <c r="K40" s="37">
        <v>22</v>
      </c>
      <c r="L40" s="37">
        <v>59310</v>
      </c>
      <c r="M40" s="37">
        <v>0</v>
      </c>
      <c r="N40"/>
      <c r="O40"/>
      <c r="P40"/>
      <c r="Q40"/>
    </row>
    <row r="41" spans="2:17" s="58" customFormat="1" x14ac:dyDescent="0.2">
      <c r="B41" t="s">
        <v>486</v>
      </c>
      <c r="C41" s="37">
        <v>23</v>
      </c>
      <c r="D41" s="37">
        <v>2</v>
      </c>
      <c r="E41" s="37">
        <v>0</v>
      </c>
      <c r="F41" s="37">
        <v>4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4299</v>
      </c>
      <c r="M41" s="37">
        <v>0</v>
      </c>
      <c r="N41"/>
      <c r="O41"/>
      <c r="P41"/>
      <c r="Q41"/>
    </row>
    <row r="42" spans="2:17" s="58" customFormat="1" x14ac:dyDescent="0.2">
      <c r="B42" t="s">
        <v>193</v>
      </c>
      <c r="C42" s="37">
        <v>646</v>
      </c>
      <c r="D42" s="37">
        <v>21</v>
      </c>
      <c r="E42" s="37">
        <v>10</v>
      </c>
      <c r="F42" s="37">
        <v>46</v>
      </c>
      <c r="G42" s="37">
        <v>0</v>
      </c>
      <c r="H42" s="37">
        <v>0</v>
      </c>
      <c r="I42" s="37">
        <v>0</v>
      </c>
      <c r="J42" s="37">
        <v>1</v>
      </c>
      <c r="K42" s="37">
        <v>2</v>
      </c>
      <c r="L42" s="37">
        <v>4444</v>
      </c>
      <c r="M42" s="37">
        <v>0</v>
      </c>
      <c r="N42"/>
      <c r="O42"/>
      <c r="P42"/>
      <c r="Q42"/>
    </row>
    <row r="43" spans="2:17" x14ac:dyDescent="0.2">
      <c r="B43" t="s">
        <v>488</v>
      </c>
      <c r="C43" s="37">
        <v>2675</v>
      </c>
      <c r="D43" s="37">
        <v>24</v>
      </c>
      <c r="E43" s="37">
        <v>18</v>
      </c>
      <c r="F43" s="37">
        <v>366</v>
      </c>
      <c r="G43" s="37">
        <v>0</v>
      </c>
      <c r="H43" s="37">
        <v>0</v>
      </c>
      <c r="I43" s="37">
        <v>0</v>
      </c>
      <c r="J43" s="37">
        <v>0</v>
      </c>
      <c r="K43" s="37">
        <v>155</v>
      </c>
      <c r="L43" s="37">
        <v>347</v>
      </c>
      <c r="M43" s="37">
        <v>0</v>
      </c>
    </row>
    <row r="44" spans="2:17" x14ac:dyDescent="0.2">
      <c r="B44" t="s">
        <v>167</v>
      </c>
      <c r="C44" s="37">
        <v>3182</v>
      </c>
      <c r="D44" s="37">
        <v>15</v>
      </c>
      <c r="E44" s="37">
        <v>7</v>
      </c>
      <c r="F44" s="37">
        <v>679</v>
      </c>
      <c r="G44" s="37">
        <v>0</v>
      </c>
      <c r="H44" s="37">
        <v>0</v>
      </c>
      <c r="I44" s="37">
        <v>0</v>
      </c>
      <c r="J44" s="37">
        <v>0</v>
      </c>
      <c r="K44" s="37">
        <v>419</v>
      </c>
      <c r="L44" s="37">
        <v>13464</v>
      </c>
      <c r="M44" s="37">
        <v>0</v>
      </c>
    </row>
    <row r="45" spans="2:17" x14ac:dyDescent="0.2">
      <c r="B45" t="s">
        <v>168</v>
      </c>
      <c r="C45" s="37">
        <v>4320</v>
      </c>
      <c r="D45" s="37">
        <v>6</v>
      </c>
      <c r="E45" s="37">
        <v>24</v>
      </c>
      <c r="F45" s="37">
        <v>133</v>
      </c>
      <c r="G45" s="37">
        <v>0</v>
      </c>
      <c r="H45" s="37">
        <v>0</v>
      </c>
      <c r="I45" s="37">
        <v>0</v>
      </c>
      <c r="J45" s="37">
        <v>0</v>
      </c>
      <c r="K45" s="37">
        <v>510</v>
      </c>
      <c r="L45" s="37">
        <v>8466</v>
      </c>
      <c r="M45" s="37">
        <v>0</v>
      </c>
    </row>
    <row r="46" spans="2:17" x14ac:dyDescent="0.2">
      <c r="B46" t="s">
        <v>169</v>
      </c>
      <c r="C46" s="37">
        <v>9936</v>
      </c>
      <c r="D46" s="37">
        <v>13</v>
      </c>
      <c r="E46" s="37">
        <v>59</v>
      </c>
      <c r="F46" s="37">
        <v>453</v>
      </c>
      <c r="G46" s="37">
        <v>1</v>
      </c>
      <c r="H46" s="37">
        <v>0</v>
      </c>
      <c r="I46" s="37">
        <v>0</v>
      </c>
      <c r="J46" s="37">
        <v>0</v>
      </c>
      <c r="K46" s="37">
        <v>1243</v>
      </c>
      <c r="L46" s="37">
        <v>2583</v>
      </c>
      <c r="M46" s="37">
        <v>0</v>
      </c>
    </row>
    <row r="47" spans="2:17" x14ac:dyDescent="0.2">
      <c r="B47" t="s">
        <v>170</v>
      </c>
      <c r="C47" s="37">
        <v>72</v>
      </c>
      <c r="D47" s="37">
        <v>1</v>
      </c>
      <c r="E47" s="37">
        <v>55</v>
      </c>
      <c r="F47" s="37">
        <v>8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1068</v>
      </c>
      <c r="M47" s="37">
        <v>0</v>
      </c>
    </row>
    <row r="48" spans="2:17" x14ac:dyDescent="0.2">
      <c r="B48" t="s">
        <v>171</v>
      </c>
      <c r="C48" s="37">
        <v>330</v>
      </c>
      <c r="D48" s="37">
        <v>2</v>
      </c>
      <c r="E48" s="37">
        <v>8</v>
      </c>
      <c r="F48" s="37">
        <v>2177</v>
      </c>
      <c r="G48" s="37">
        <v>0</v>
      </c>
      <c r="H48" s="37">
        <v>0</v>
      </c>
      <c r="I48" s="37">
        <v>0</v>
      </c>
      <c r="J48" s="37">
        <v>0</v>
      </c>
      <c r="K48" s="37">
        <v>8</v>
      </c>
      <c r="L48" s="37">
        <v>20032</v>
      </c>
      <c r="M48" s="37">
        <v>0</v>
      </c>
    </row>
    <row r="49" spans="2:17" x14ac:dyDescent="0.2">
      <c r="B49" t="s">
        <v>487</v>
      </c>
      <c r="C49" s="37">
        <v>30</v>
      </c>
      <c r="D49" s="37">
        <v>1</v>
      </c>
      <c r="E49" s="37">
        <v>3</v>
      </c>
      <c r="F49" s="37">
        <v>64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1335</v>
      </c>
      <c r="M49" s="37">
        <v>0</v>
      </c>
    </row>
    <row r="50" spans="2:17" x14ac:dyDescent="0.2">
      <c r="B50" t="s">
        <v>165</v>
      </c>
      <c r="C50" s="37">
        <v>255</v>
      </c>
      <c r="D50" s="37">
        <v>3</v>
      </c>
      <c r="E50" s="37">
        <v>28</v>
      </c>
      <c r="F50" s="37">
        <v>250</v>
      </c>
      <c r="G50" s="37">
        <v>0</v>
      </c>
      <c r="H50" s="37">
        <v>1</v>
      </c>
      <c r="I50" s="37">
        <v>0</v>
      </c>
      <c r="J50" s="37">
        <v>0</v>
      </c>
      <c r="K50" s="37">
        <v>38</v>
      </c>
      <c r="L50" s="37">
        <v>10860</v>
      </c>
      <c r="M50" s="37">
        <v>0</v>
      </c>
    </row>
    <row r="51" spans="2:17" x14ac:dyDescent="0.2">
      <c r="B51" t="s">
        <v>166</v>
      </c>
      <c r="C51" s="37">
        <v>236</v>
      </c>
      <c r="D51" s="37">
        <v>15</v>
      </c>
      <c r="E51" s="37">
        <v>7</v>
      </c>
      <c r="F51" s="37">
        <v>3</v>
      </c>
      <c r="G51" s="37">
        <v>0</v>
      </c>
      <c r="H51" s="37">
        <v>0</v>
      </c>
      <c r="I51" s="37">
        <v>0</v>
      </c>
      <c r="J51" s="37">
        <v>0</v>
      </c>
      <c r="K51" s="37">
        <v>3</v>
      </c>
      <c r="L51" s="37">
        <v>11330</v>
      </c>
      <c r="M51" s="37">
        <v>0</v>
      </c>
    </row>
    <row r="52" spans="2:17" x14ac:dyDescent="0.2">
      <c r="B52" t="s">
        <v>216</v>
      </c>
      <c r="C52" s="41">
        <f>SUBTOTAL(109,Equipt_Data_Import[CLER])</f>
        <v>25531</v>
      </c>
      <c r="D52" s="41">
        <f>SUBTOTAL(109,Equipt_Data_Import[DO NOT BILL])</f>
        <v>218</v>
      </c>
      <c r="E52" s="41">
        <f>SUBTOTAL(109,Equipt_Data_Import[DO NOT BILL - TBC])</f>
        <v>300</v>
      </c>
      <c r="F52" s="41">
        <f>SUBTOTAL(109,Equipt_Data_Import[ENERGY])</f>
        <v>8492</v>
      </c>
      <c r="G52" s="41">
        <f>SUBTOTAL(109,Equipt_Data_Import[METERED])</f>
        <v>1</v>
      </c>
      <c r="H52" s="41">
        <f>SUBTOTAL(109,Equipt_Data_Import[Not SAPN Responsibilty])</f>
        <v>32</v>
      </c>
      <c r="I52" s="41">
        <f>SUBTOTAL(109,Equipt_Data_Import[PLC])</f>
        <v>7531</v>
      </c>
      <c r="J52" s="41">
        <f>SUBTOTAL(109,Equipt_Data_Import[SAPN])</f>
        <v>24879</v>
      </c>
      <c r="K52" s="41">
        <f>SUBTOTAL(109,Equipt_Data_Import[SLO REPORTING])</f>
        <v>2643</v>
      </c>
      <c r="L52" s="41">
        <f>SUBTOTAL(109,Equipt_Data_Import[SLUOS])</f>
        <v>159888</v>
      </c>
      <c r="M52" s="41">
        <f>SUBTOTAL(109,Equipt_Data_Import[TFI])</f>
        <v>474</v>
      </c>
      <c r="N52" s="58"/>
      <c r="O52" s="58"/>
      <c r="P52" s="58"/>
      <c r="Q52" s="58"/>
    </row>
    <row r="53" spans="2:17" x14ac:dyDescent="0.2"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</row>
    <row r="54" spans="2:17" x14ac:dyDescent="0.2"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</row>
    <row r="55" spans="2:17" ht="12.75" x14ac:dyDescent="0.2">
      <c r="B55" s="5" t="s">
        <v>771</v>
      </c>
    </row>
    <row r="56" spans="2:17" x14ac:dyDescent="0.2">
      <c r="B56" s="62" t="s">
        <v>198</v>
      </c>
      <c r="C56" s="58" t="s">
        <v>221</v>
      </c>
    </row>
    <row r="57" spans="2:17" x14ac:dyDescent="0.2">
      <c r="B57" s="62" t="s">
        <v>72</v>
      </c>
      <c r="C57" s="58" t="s">
        <v>222</v>
      </c>
    </row>
    <row r="58" spans="2:17" x14ac:dyDescent="0.2">
      <c r="B58" s="72" t="s">
        <v>70</v>
      </c>
      <c r="C58" s="72" t="s">
        <v>408</v>
      </c>
      <c r="D58" s="72" t="s">
        <v>409</v>
      </c>
      <c r="E58" s="72" t="s">
        <v>410</v>
      </c>
      <c r="F58" s="72" t="s">
        <v>411</v>
      </c>
      <c r="H58" s="386"/>
    </row>
    <row r="59" spans="2:17" x14ac:dyDescent="0.2">
      <c r="B59" s="37" t="s">
        <v>51</v>
      </c>
      <c r="C59" s="37">
        <v>297</v>
      </c>
      <c r="D59" s="37">
        <v>2</v>
      </c>
      <c r="E59" s="37">
        <v>7232</v>
      </c>
      <c r="F59" s="37">
        <f>SUM(Table4[[#This Row],[Light Column]:[Stobie]])</f>
        <v>7531</v>
      </c>
      <c r="H59" s="386"/>
    </row>
    <row r="60" spans="2:17" x14ac:dyDescent="0.2">
      <c r="B60" s="37" t="s">
        <v>54</v>
      </c>
      <c r="C60" s="37">
        <v>12090</v>
      </c>
      <c r="D60" s="37">
        <v>56</v>
      </c>
      <c r="E60" s="37">
        <v>12733</v>
      </c>
      <c r="F60" s="37">
        <f>SUM(Table4[[#This Row],[Light Column]:[Stobie]])</f>
        <v>24879</v>
      </c>
      <c r="H60" s="386"/>
      <c r="I60" s="386"/>
    </row>
    <row r="61" spans="2:17" x14ac:dyDescent="0.2">
      <c r="B61" s="37" t="s">
        <v>49</v>
      </c>
      <c r="C61" s="37">
        <v>50757</v>
      </c>
      <c r="D61" s="37">
        <v>5905</v>
      </c>
      <c r="E61" s="37">
        <v>103226</v>
      </c>
      <c r="F61" s="37">
        <f>SUM(Table4[[#This Row],[Light Column]:[Stobie]])</f>
        <v>159888</v>
      </c>
      <c r="H61" s="386"/>
    </row>
    <row r="62" spans="2:17" x14ac:dyDescent="0.2">
      <c r="B62" s="37" t="s">
        <v>53</v>
      </c>
      <c r="C62" s="37">
        <v>433</v>
      </c>
      <c r="D62" s="37">
        <v>0</v>
      </c>
      <c r="E62" s="37">
        <v>41</v>
      </c>
      <c r="F62" s="37">
        <f>SUM(Table4[[#This Row],[Light Column]:[Stobie]])</f>
        <v>474</v>
      </c>
      <c r="H62" s="386"/>
      <c r="I62" s="386"/>
    </row>
    <row r="63" spans="2:17" x14ac:dyDescent="0.2">
      <c r="B63" s="41" t="s">
        <v>216</v>
      </c>
      <c r="C63" s="41">
        <f>SUBTOTAL(109,Table4[Light Column])</f>
        <v>63577</v>
      </c>
      <c r="D63" s="41">
        <f>SUBTOTAL(109,Table4[Post Top])</f>
        <v>5963</v>
      </c>
      <c r="E63" s="41">
        <f>SUBTOTAL(109,Table4[Stobie])</f>
        <v>123232</v>
      </c>
      <c r="F63" s="41">
        <f>SUBTOTAL(109,Table4[Grand Total])</f>
        <v>192772</v>
      </c>
      <c r="H63" s="386"/>
      <c r="I63" s="386"/>
    </row>
    <row r="65" spans="2:17" s="58" customFormat="1" x14ac:dyDescent="0.2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pans="2:17" s="58" customFormat="1" x14ac:dyDescent="0.2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2:17" s="58" customFormat="1" x14ac:dyDescent="0.2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</sheetData>
  <pageMargins left="0.7" right="0.7" top="0.75" bottom="0.75" header="0.3" footer="0.3"/>
  <pageSetup paperSize="9" orientation="portrait" horizontalDpi="300" verticalDpi="300"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7">
    <tabColor theme="6" tint="0.39997558519241921"/>
  </sheetPr>
  <dimension ref="A1:K93"/>
  <sheetViews>
    <sheetView showGridLines="0" zoomScale="115" zoomScaleNormal="115" workbookViewId="0"/>
  </sheetViews>
  <sheetFormatPr defaultRowHeight="12" x14ac:dyDescent="0.2"/>
  <cols>
    <col min="2" max="2" width="37.5" bestFit="1" customWidth="1"/>
    <col min="3" max="3" width="14.83203125" bestFit="1" customWidth="1"/>
    <col min="4" max="6" width="16.5" customWidth="1"/>
    <col min="7" max="7" width="13.1640625" bestFit="1" customWidth="1"/>
    <col min="8" max="8" width="13.83203125" bestFit="1" customWidth="1"/>
    <col min="9" max="9" width="4.6640625" customWidth="1"/>
    <col min="10" max="10" width="14.5" customWidth="1"/>
    <col min="11" max="11" width="27.83203125" customWidth="1"/>
  </cols>
  <sheetData>
    <row r="1" spans="1:11" ht="18.75" x14ac:dyDescent="0.3">
      <c r="A1" s="31" t="s">
        <v>19</v>
      </c>
      <c r="B1" s="31"/>
      <c r="C1" s="31"/>
      <c r="D1" s="33"/>
      <c r="E1" s="31"/>
      <c r="F1" s="32"/>
      <c r="G1" s="32"/>
      <c r="H1" s="558"/>
      <c r="I1" s="558"/>
    </row>
    <row r="2" spans="1:11" ht="16.5" thickBot="1" x14ac:dyDescent="0.3">
      <c r="A2" s="4" t="s">
        <v>1331</v>
      </c>
      <c r="B2" s="4"/>
      <c r="C2" s="60"/>
      <c r="D2" s="60" t="s">
        <v>1087</v>
      </c>
      <c r="E2" s="4"/>
      <c r="F2" s="4"/>
      <c r="G2" s="4"/>
      <c r="H2" s="4"/>
      <c r="I2" s="4"/>
      <c r="J2" s="4"/>
      <c r="K2" s="4"/>
    </row>
    <row r="3" spans="1:11" ht="12.75" thickTop="1" x14ac:dyDescent="0.2"/>
    <row r="4" spans="1:11" s="558" customFormat="1" ht="12.75" x14ac:dyDescent="0.2">
      <c r="B4" s="5" t="s">
        <v>1091</v>
      </c>
    </row>
    <row r="5" spans="1:11" s="558" customFormat="1" ht="12.75" x14ac:dyDescent="0.2">
      <c r="B5" s="5"/>
      <c r="C5" s="559" t="s">
        <v>1107</v>
      </c>
      <c r="D5" s="559" t="s">
        <v>1090</v>
      </c>
      <c r="E5" s="559" t="s">
        <v>335</v>
      </c>
    </row>
    <row r="6" spans="1:11" s="558" customFormat="1" x14ac:dyDescent="0.2">
      <c r="B6" s="558" t="s">
        <v>121</v>
      </c>
      <c r="C6" s="779"/>
      <c r="D6" s="770">
        <v>38</v>
      </c>
      <c r="E6" s="825"/>
      <c r="F6" s="48"/>
    </row>
    <row r="7" spans="1:11" s="558" customFormat="1" x14ac:dyDescent="0.2">
      <c r="B7" s="558" t="s">
        <v>76</v>
      </c>
      <c r="C7" s="779"/>
      <c r="D7" s="770">
        <v>61200</v>
      </c>
      <c r="E7" s="825"/>
      <c r="F7" s="48"/>
      <c r="J7" s="7" t="s">
        <v>285</v>
      </c>
      <c r="K7" s="657" t="s">
        <v>1102</v>
      </c>
    </row>
    <row r="8" spans="1:11" s="558" customFormat="1" x14ac:dyDescent="0.2">
      <c r="B8" s="558" t="s">
        <v>97</v>
      </c>
      <c r="C8" s="779"/>
      <c r="D8" s="770">
        <v>2412</v>
      </c>
      <c r="E8" s="825"/>
      <c r="F8" s="48"/>
      <c r="J8" s="7" t="s">
        <v>285</v>
      </c>
      <c r="K8" s="657" t="s">
        <v>1103</v>
      </c>
    </row>
    <row r="9" spans="1:11" s="558" customFormat="1" x14ac:dyDescent="0.2">
      <c r="B9" s="558" t="s">
        <v>86</v>
      </c>
      <c r="C9" s="779"/>
      <c r="D9" s="770">
        <v>1133</v>
      </c>
      <c r="E9" s="825"/>
      <c r="F9" s="48"/>
      <c r="J9" s="7" t="s">
        <v>285</v>
      </c>
      <c r="K9" s="657" t="s">
        <v>1104</v>
      </c>
    </row>
    <row r="10" spans="1:11" s="558" customFormat="1" x14ac:dyDescent="0.2">
      <c r="B10" s="558" t="s">
        <v>1089</v>
      </c>
      <c r="C10" s="779"/>
      <c r="D10" s="770">
        <v>7</v>
      </c>
      <c r="E10" s="825"/>
      <c r="F10" s="48"/>
    </row>
    <row r="11" spans="1:11" s="558" customFormat="1" x14ac:dyDescent="0.2">
      <c r="B11" s="558" t="s">
        <v>160</v>
      </c>
      <c r="C11" s="779"/>
      <c r="D11" s="770">
        <v>1023</v>
      </c>
      <c r="E11" s="825"/>
      <c r="F11" s="48"/>
      <c r="I11"/>
      <c r="J11"/>
    </row>
    <row r="12" spans="1:11" s="558" customFormat="1" x14ac:dyDescent="0.2">
      <c r="B12" s="558" t="s">
        <v>477</v>
      </c>
      <c r="C12" s="779"/>
      <c r="D12" s="770">
        <v>608</v>
      </c>
      <c r="E12" s="825"/>
      <c r="F12" s="48"/>
    </row>
    <row r="13" spans="1:11" s="558" customFormat="1" x14ac:dyDescent="0.2"/>
    <row r="14" spans="1:11" s="558" customFormat="1" x14ac:dyDescent="0.2"/>
    <row r="15" spans="1:11" s="558" customFormat="1" x14ac:dyDescent="0.2">
      <c r="B15" s="558" t="s">
        <v>161</v>
      </c>
      <c r="C15" s="61" t="s">
        <v>1084</v>
      </c>
      <c r="D15" s="61" t="s">
        <v>44</v>
      </c>
      <c r="E15" s="61" t="s">
        <v>1088</v>
      </c>
      <c r="F15" s="61" t="s">
        <v>1108</v>
      </c>
      <c r="G15" s="559" t="s">
        <v>1086</v>
      </c>
      <c r="H15" s="559" t="s">
        <v>231</v>
      </c>
    </row>
    <row r="16" spans="1:11" s="558" customFormat="1" x14ac:dyDescent="0.2">
      <c r="B16" s="53" t="s">
        <v>121</v>
      </c>
      <c r="C16" s="778"/>
      <c r="D16" s="153" t="s">
        <v>251</v>
      </c>
      <c r="E16" s="61">
        <v>0.99203539823008846</v>
      </c>
      <c r="F16" s="778"/>
      <c r="G16" s="37">
        <v>38</v>
      </c>
      <c r="H16" s="775"/>
    </row>
    <row r="17" spans="2:10" s="558" customFormat="1" x14ac:dyDescent="0.2">
      <c r="B17" s="53" t="s">
        <v>76</v>
      </c>
      <c r="C17" s="778"/>
      <c r="D17" s="153" t="s">
        <v>861</v>
      </c>
      <c r="E17" s="61">
        <v>1.0126467931345979</v>
      </c>
      <c r="F17" s="778"/>
      <c r="G17" s="37">
        <v>6710</v>
      </c>
      <c r="H17" s="775"/>
    </row>
    <row r="18" spans="2:10" s="558" customFormat="1" x14ac:dyDescent="0.2">
      <c r="B18" s="53" t="s">
        <v>76</v>
      </c>
      <c r="C18" s="778"/>
      <c r="D18" s="153" t="s">
        <v>251</v>
      </c>
      <c r="E18" s="61">
        <v>0.99203539823008846</v>
      </c>
      <c r="F18" s="778"/>
      <c r="G18" s="37">
        <v>5076</v>
      </c>
      <c r="H18" s="775"/>
    </row>
    <row r="19" spans="2:10" s="558" customFormat="1" x14ac:dyDescent="0.2">
      <c r="B19" s="53" t="s">
        <v>76</v>
      </c>
      <c r="C19" s="778"/>
      <c r="D19" s="153" t="s">
        <v>861</v>
      </c>
      <c r="E19" s="61">
        <v>1.0126467931345979</v>
      </c>
      <c r="F19" s="778"/>
      <c r="G19" s="37">
        <v>5400</v>
      </c>
      <c r="H19" s="775"/>
    </row>
    <row r="20" spans="2:10" s="558" customFormat="1" x14ac:dyDescent="0.2">
      <c r="B20" s="53" t="s">
        <v>76</v>
      </c>
      <c r="C20" s="778"/>
      <c r="D20" s="153" t="s">
        <v>861</v>
      </c>
      <c r="E20" s="61">
        <v>1.0126467931345979</v>
      </c>
      <c r="F20" s="778"/>
      <c r="G20" s="37">
        <v>14700</v>
      </c>
      <c r="H20" s="775"/>
    </row>
    <row r="21" spans="2:10" s="558" customFormat="1" x14ac:dyDescent="0.2">
      <c r="B21" s="53" t="s">
        <v>76</v>
      </c>
      <c r="C21" s="778"/>
      <c r="D21" s="153" t="s">
        <v>860</v>
      </c>
      <c r="E21" s="61">
        <v>1.0322283609576428</v>
      </c>
      <c r="F21" s="778"/>
      <c r="G21" s="37">
        <v>10000</v>
      </c>
      <c r="H21" s="775"/>
    </row>
    <row r="22" spans="2:10" s="558" customFormat="1" x14ac:dyDescent="0.2">
      <c r="B22" s="53" t="s">
        <v>76</v>
      </c>
      <c r="C22" s="778"/>
      <c r="D22" s="153" t="s">
        <v>251</v>
      </c>
      <c r="E22" s="61">
        <v>0.99203539823008846</v>
      </c>
      <c r="F22" s="778"/>
      <c r="G22" s="37">
        <v>11810</v>
      </c>
      <c r="H22" s="775"/>
    </row>
    <row r="23" spans="2:10" s="558" customFormat="1" x14ac:dyDescent="0.2">
      <c r="B23" s="53" t="s">
        <v>76</v>
      </c>
      <c r="C23" s="778"/>
      <c r="D23" s="153" t="s">
        <v>861</v>
      </c>
      <c r="E23" s="61">
        <v>1.0126467931345979</v>
      </c>
      <c r="F23" s="778"/>
      <c r="G23" s="37">
        <v>336</v>
      </c>
      <c r="H23" s="775"/>
      <c r="J23"/>
    </row>
    <row r="24" spans="2:10" s="558" customFormat="1" x14ac:dyDescent="0.2">
      <c r="B24" s="53" t="s">
        <v>76</v>
      </c>
      <c r="C24" s="778"/>
      <c r="D24" s="153" t="s">
        <v>860</v>
      </c>
      <c r="E24" s="61">
        <v>1.0322283609576428</v>
      </c>
      <c r="F24" s="778"/>
      <c r="G24" s="37">
        <v>5824</v>
      </c>
      <c r="H24" s="775"/>
      <c r="J24"/>
    </row>
    <row r="25" spans="2:10" s="558" customFormat="1" x14ac:dyDescent="0.2">
      <c r="B25" s="53" t="s">
        <v>76</v>
      </c>
      <c r="C25" s="778"/>
      <c r="D25" s="153" t="s">
        <v>861</v>
      </c>
      <c r="E25" s="641">
        <v>1.0126467931345979</v>
      </c>
      <c r="F25" s="778"/>
      <c r="G25" s="37">
        <v>144</v>
      </c>
      <c r="H25" s="775"/>
      <c r="J25"/>
    </row>
    <row r="26" spans="2:10" s="558" customFormat="1" x14ac:dyDescent="0.2">
      <c r="B26" s="53" t="s">
        <v>76</v>
      </c>
      <c r="C26" s="778"/>
      <c r="D26" s="153" t="s">
        <v>860</v>
      </c>
      <c r="E26" s="641">
        <v>1.0322283609576428</v>
      </c>
      <c r="F26" s="778"/>
      <c r="G26" s="37">
        <v>96</v>
      </c>
      <c r="H26" s="775"/>
      <c r="J26"/>
    </row>
    <row r="27" spans="2:10" s="558" customFormat="1" x14ac:dyDescent="0.2">
      <c r="B27" s="53" t="s">
        <v>76</v>
      </c>
      <c r="C27" s="778"/>
      <c r="D27" s="153" t="s">
        <v>251</v>
      </c>
      <c r="E27" s="641">
        <v>0.99203539823008846</v>
      </c>
      <c r="F27" s="778"/>
      <c r="G27" s="37">
        <v>48</v>
      </c>
      <c r="H27" s="775"/>
      <c r="J27"/>
    </row>
    <row r="28" spans="2:10" s="558" customFormat="1" x14ac:dyDescent="0.2">
      <c r="B28" s="53" t="s">
        <v>76</v>
      </c>
      <c r="C28" s="778"/>
      <c r="D28" s="153" t="s">
        <v>860</v>
      </c>
      <c r="E28" s="641">
        <v>1.0322283609576428</v>
      </c>
      <c r="F28" s="778"/>
      <c r="G28" s="37">
        <v>144</v>
      </c>
      <c r="H28" s="775"/>
      <c r="J28"/>
    </row>
    <row r="29" spans="2:10" s="558" customFormat="1" x14ac:dyDescent="0.2">
      <c r="B29" s="53" t="s">
        <v>76</v>
      </c>
      <c r="C29" s="778"/>
      <c r="D29" s="153" t="s">
        <v>860</v>
      </c>
      <c r="E29" s="641">
        <v>1.0322283609576428</v>
      </c>
      <c r="F29" s="778"/>
      <c r="G29" s="37">
        <v>384</v>
      </c>
      <c r="H29" s="775"/>
      <c r="J29"/>
    </row>
    <row r="30" spans="2:10" s="558" customFormat="1" x14ac:dyDescent="0.2">
      <c r="B30" s="53" t="s">
        <v>76</v>
      </c>
      <c r="C30" s="778"/>
      <c r="D30" s="153" t="s">
        <v>860</v>
      </c>
      <c r="E30" s="61">
        <v>1.0322283609576428</v>
      </c>
      <c r="F30" s="778"/>
      <c r="G30" s="37">
        <v>48</v>
      </c>
      <c r="H30" s="775"/>
      <c r="J30"/>
    </row>
    <row r="31" spans="2:10" s="558" customFormat="1" x14ac:dyDescent="0.2">
      <c r="B31" s="53" t="s">
        <v>76</v>
      </c>
      <c r="C31" s="778"/>
      <c r="D31" s="153" t="s">
        <v>859</v>
      </c>
      <c r="E31" s="61">
        <v>1.0427906976744186</v>
      </c>
      <c r="F31" s="778"/>
      <c r="G31" s="37">
        <v>384</v>
      </c>
      <c r="H31" s="775"/>
      <c r="J31"/>
    </row>
    <row r="32" spans="2:10" s="558" customFormat="1" x14ac:dyDescent="0.2">
      <c r="B32" s="53" t="s">
        <v>76</v>
      </c>
      <c r="C32" s="778"/>
      <c r="D32" s="153" t="s">
        <v>859</v>
      </c>
      <c r="E32" s="641">
        <v>1.0427906976744186</v>
      </c>
      <c r="F32" s="778"/>
      <c r="G32" s="37">
        <v>96</v>
      </c>
      <c r="H32" s="775"/>
      <c r="J32"/>
    </row>
    <row r="33" spans="2:10" s="558" customFormat="1" x14ac:dyDescent="0.2">
      <c r="B33" s="53" t="s">
        <v>1089</v>
      </c>
      <c r="C33" s="778"/>
      <c r="D33" s="153" t="s">
        <v>251</v>
      </c>
      <c r="E33" s="641">
        <v>0.99203539823008846</v>
      </c>
      <c r="F33" s="778"/>
      <c r="G33" s="37">
        <v>7</v>
      </c>
      <c r="H33" s="775"/>
      <c r="J33"/>
    </row>
    <row r="34" spans="2:10" s="558" customFormat="1" x14ac:dyDescent="0.2">
      <c r="B34" s="53" t="s">
        <v>160</v>
      </c>
      <c r="C34" s="778"/>
      <c r="D34" s="153" t="s">
        <v>251</v>
      </c>
      <c r="E34" s="61">
        <v>0.99203539823008846</v>
      </c>
      <c r="F34" s="778"/>
      <c r="G34" s="37">
        <v>23</v>
      </c>
      <c r="H34" s="775"/>
      <c r="J34"/>
    </row>
    <row r="35" spans="2:10" s="558" customFormat="1" x14ac:dyDescent="0.2">
      <c r="B35" s="53" t="s">
        <v>160</v>
      </c>
      <c r="C35" s="778"/>
      <c r="D35" s="153" t="s">
        <v>861</v>
      </c>
      <c r="E35" s="61">
        <v>1.0126467931345979</v>
      </c>
      <c r="F35" s="778"/>
      <c r="G35" s="37">
        <v>1000</v>
      </c>
      <c r="H35" s="775"/>
      <c r="J35"/>
    </row>
    <row r="36" spans="2:10" s="558" customFormat="1" x14ac:dyDescent="0.2">
      <c r="B36" s="53" t="s">
        <v>477</v>
      </c>
      <c r="C36" s="778"/>
      <c r="D36" s="153" t="s">
        <v>251</v>
      </c>
      <c r="E36" s="61">
        <v>0.99203539823008846</v>
      </c>
      <c r="F36" s="778"/>
      <c r="G36" s="37">
        <v>16</v>
      </c>
      <c r="H36" s="775"/>
      <c r="J36"/>
    </row>
    <row r="37" spans="2:10" s="558" customFormat="1" x14ac:dyDescent="0.2">
      <c r="B37" s="53" t="s">
        <v>477</v>
      </c>
      <c r="C37" s="778"/>
      <c r="D37" s="153" t="s">
        <v>861</v>
      </c>
      <c r="E37" s="641">
        <v>1.0126467931345979</v>
      </c>
      <c r="F37" s="778"/>
      <c r="G37" s="37">
        <v>176</v>
      </c>
      <c r="H37" s="775"/>
      <c r="J37"/>
    </row>
    <row r="38" spans="2:10" s="558" customFormat="1" x14ac:dyDescent="0.2">
      <c r="B38" s="53" t="s">
        <v>477</v>
      </c>
      <c r="C38" s="778"/>
      <c r="D38" s="153" t="s">
        <v>251</v>
      </c>
      <c r="E38" s="641">
        <v>0.99203539823008846</v>
      </c>
      <c r="F38" s="778"/>
      <c r="G38" s="37">
        <v>112</v>
      </c>
      <c r="H38" s="775"/>
      <c r="J38"/>
    </row>
    <row r="39" spans="2:10" s="558" customFormat="1" x14ac:dyDescent="0.2">
      <c r="B39" s="53" t="s">
        <v>477</v>
      </c>
      <c r="C39" s="778"/>
      <c r="D39" s="153" t="s">
        <v>860</v>
      </c>
      <c r="E39" s="61">
        <v>1.0322283609576428</v>
      </c>
      <c r="F39" s="778"/>
      <c r="G39" s="37">
        <v>140</v>
      </c>
      <c r="H39" s="775"/>
      <c r="J39"/>
    </row>
    <row r="40" spans="2:10" s="558" customFormat="1" x14ac:dyDescent="0.2">
      <c r="B40" s="53" t="s">
        <v>477</v>
      </c>
      <c r="C40" s="778"/>
      <c r="D40" s="153" t="s">
        <v>860</v>
      </c>
      <c r="E40" s="641">
        <v>1.0322283609576428</v>
      </c>
      <c r="F40" s="778"/>
      <c r="G40" s="37">
        <v>148</v>
      </c>
      <c r="H40" s="775"/>
      <c r="J40"/>
    </row>
    <row r="41" spans="2:10" s="558" customFormat="1" x14ac:dyDescent="0.2">
      <c r="B41" s="53" t="s">
        <v>477</v>
      </c>
      <c r="C41" s="778"/>
      <c r="D41" s="153" t="s">
        <v>861</v>
      </c>
      <c r="E41" s="641">
        <v>1.0126467931345979</v>
      </c>
      <c r="F41" s="778"/>
      <c r="G41" s="37">
        <v>16</v>
      </c>
      <c r="H41" s="775"/>
      <c r="J41"/>
    </row>
    <row r="42" spans="2:10" s="558" customFormat="1" x14ac:dyDescent="0.2">
      <c r="B42" s="53" t="s">
        <v>86</v>
      </c>
      <c r="C42" s="778"/>
      <c r="D42" s="153" t="s">
        <v>251</v>
      </c>
      <c r="E42" s="61">
        <v>0.99203539823008846</v>
      </c>
      <c r="F42" s="778"/>
      <c r="G42" s="37">
        <v>300</v>
      </c>
      <c r="H42" s="775"/>
      <c r="J42"/>
    </row>
    <row r="43" spans="2:10" s="558" customFormat="1" x14ac:dyDescent="0.2">
      <c r="B43" s="53" t="s">
        <v>86</v>
      </c>
      <c r="C43" s="778"/>
      <c r="D43" s="153" t="s">
        <v>859</v>
      </c>
      <c r="E43" s="61">
        <v>1.0427906976744186</v>
      </c>
      <c r="F43" s="778"/>
      <c r="G43" s="37">
        <v>288</v>
      </c>
      <c r="H43" s="775"/>
      <c r="J43"/>
    </row>
    <row r="44" spans="2:10" s="558" customFormat="1" x14ac:dyDescent="0.2">
      <c r="B44" s="53" t="s">
        <v>86</v>
      </c>
      <c r="C44" s="778"/>
      <c r="D44" s="153" t="s">
        <v>860</v>
      </c>
      <c r="E44" s="641">
        <v>1.0322283609576428</v>
      </c>
      <c r="F44" s="778"/>
      <c r="G44" s="37">
        <v>240</v>
      </c>
      <c r="H44" s="775"/>
      <c r="J44"/>
    </row>
    <row r="45" spans="2:10" s="558" customFormat="1" x14ac:dyDescent="0.2">
      <c r="B45" s="53" t="s">
        <v>86</v>
      </c>
      <c r="C45" s="778"/>
      <c r="D45" s="153" t="s">
        <v>859</v>
      </c>
      <c r="E45" s="641">
        <v>1.0427906976744186</v>
      </c>
      <c r="F45" s="778"/>
      <c r="G45" s="37">
        <v>292</v>
      </c>
      <c r="H45" s="775"/>
      <c r="J45"/>
    </row>
    <row r="46" spans="2:10" s="558" customFormat="1" x14ac:dyDescent="0.2">
      <c r="B46" s="53" t="s">
        <v>86</v>
      </c>
      <c r="C46" s="778"/>
      <c r="D46" s="153" t="s">
        <v>859</v>
      </c>
      <c r="E46" s="641">
        <v>1.0427906976744186</v>
      </c>
      <c r="F46" s="778"/>
      <c r="G46" s="37">
        <v>13</v>
      </c>
      <c r="H46" s="775"/>
      <c r="J46"/>
    </row>
    <row r="47" spans="2:10" s="558" customFormat="1" x14ac:dyDescent="0.2">
      <c r="B47" s="53" t="s">
        <v>97</v>
      </c>
      <c r="C47" s="778"/>
      <c r="D47" s="153" t="s">
        <v>859</v>
      </c>
      <c r="E47" s="61">
        <v>1.0427906976744186</v>
      </c>
      <c r="F47" s="778"/>
      <c r="G47" s="37">
        <v>816</v>
      </c>
      <c r="H47" s="775"/>
      <c r="J47"/>
    </row>
    <row r="48" spans="2:10" s="558" customFormat="1" x14ac:dyDescent="0.2">
      <c r="B48" s="53" t="s">
        <v>97</v>
      </c>
      <c r="C48" s="778"/>
      <c r="D48" s="153" t="s">
        <v>860</v>
      </c>
      <c r="E48" s="61">
        <v>1.0322283609576428</v>
      </c>
      <c r="F48" s="778"/>
      <c r="G48" s="37">
        <v>192</v>
      </c>
      <c r="H48" s="775"/>
      <c r="J48"/>
    </row>
    <row r="49" spans="2:10" s="558" customFormat="1" x14ac:dyDescent="0.2">
      <c r="B49" s="53" t="s">
        <v>97</v>
      </c>
      <c r="C49" s="778"/>
      <c r="D49" s="153" t="s">
        <v>859</v>
      </c>
      <c r="E49" s="61">
        <v>1.0427906976744186</v>
      </c>
      <c r="F49" s="778"/>
      <c r="G49" s="37">
        <v>1220</v>
      </c>
      <c r="H49" s="775"/>
      <c r="J49"/>
    </row>
    <row r="50" spans="2:10" s="558" customFormat="1" x14ac:dyDescent="0.2">
      <c r="B50" s="53" t="s">
        <v>97</v>
      </c>
      <c r="C50" s="778"/>
      <c r="D50" s="153" t="s">
        <v>859</v>
      </c>
      <c r="E50" s="641">
        <v>1.0427906976744186</v>
      </c>
      <c r="F50" s="778"/>
      <c r="G50" s="37">
        <v>164</v>
      </c>
      <c r="H50" s="775"/>
      <c r="J50"/>
    </row>
    <row r="51" spans="2:10" s="558" customFormat="1" x14ac:dyDescent="0.2">
      <c r="B51" s="53" t="s">
        <v>97</v>
      </c>
      <c r="C51" s="778"/>
      <c r="D51" s="153" t="s">
        <v>859</v>
      </c>
      <c r="E51" s="641">
        <v>1.0427906976744186</v>
      </c>
      <c r="F51" s="778"/>
      <c r="G51" s="37">
        <v>20</v>
      </c>
      <c r="H51" s="775"/>
      <c r="J51"/>
    </row>
    <row r="52" spans="2:10" s="558" customFormat="1" x14ac:dyDescent="0.2">
      <c r="B52"/>
      <c r="C52"/>
      <c r="D52"/>
      <c r="E52"/>
      <c r="F52"/>
      <c r="G52"/>
      <c r="H52"/>
    </row>
    <row r="53" spans="2:10" s="558" customFormat="1" x14ac:dyDescent="0.2"/>
    <row r="54" spans="2:10" s="558" customFormat="1" x14ac:dyDescent="0.2"/>
    <row r="55" spans="2:10" s="558" customFormat="1" x14ac:dyDescent="0.2"/>
    <row r="56" spans="2:10" s="558" customFormat="1" x14ac:dyDescent="0.2"/>
    <row r="57" spans="2:10" s="558" customFormat="1" x14ac:dyDescent="0.2">
      <c r="B57" t="s">
        <v>161</v>
      </c>
      <c r="C57" s="61" t="s">
        <v>1084</v>
      </c>
      <c r="D57" s="61" t="s">
        <v>1085</v>
      </c>
      <c r="E57" s="559" t="s">
        <v>1086</v>
      </c>
      <c r="F57"/>
      <c r="G57"/>
      <c r="H57"/>
    </row>
    <row r="58" spans="2:10" x14ac:dyDescent="0.2">
      <c r="B58" t="s">
        <v>121</v>
      </c>
      <c r="C58" s="778"/>
      <c r="D58" s="61" t="s">
        <v>251</v>
      </c>
      <c r="E58" s="640">
        <v>38</v>
      </c>
    </row>
    <row r="59" spans="2:10" x14ac:dyDescent="0.2">
      <c r="B59" t="s">
        <v>76</v>
      </c>
      <c r="C59" s="778"/>
      <c r="D59" s="61" t="s">
        <v>861</v>
      </c>
      <c r="E59" s="640">
        <v>6710</v>
      </c>
    </row>
    <row r="60" spans="2:10" x14ac:dyDescent="0.2">
      <c r="B60" t="s">
        <v>76</v>
      </c>
      <c r="C60" s="778"/>
      <c r="D60" s="61" t="s">
        <v>251</v>
      </c>
      <c r="E60" s="640">
        <v>5076</v>
      </c>
    </row>
    <row r="61" spans="2:10" x14ac:dyDescent="0.2">
      <c r="B61" t="s">
        <v>76</v>
      </c>
      <c r="C61" s="778"/>
      <c r="D61" s="61" t="s">
        <v>861</v>
      </c>
      <c r="E61" s="640">
        <v>5400</v>
      </c>
    </row>
    <row r="62" spans="2:10" x14ac:dyDescent="0.2">
      <c r="B62" t="s">
        <v>76</v>
      </c>
      <c r="C62" s="778"/>
      <c r="D62" s="61" t="s">
        <v>861</v>
      </c>
      <c r="E62" s="640">
        <v>14700</v>
      </c>
    </row>
    <row r="63" spans="2:10" x14ac:dyDescent="0.2">
      <c r="B63" t="s">
        <v>76</v>
      </c>
      <c r="C63" s="778"/>
      <c r="D63" s="61" t="s">
        <v>860</v>
      </c>
      <c r="E63" s="640">
        <v>10000</v>
      </c>
    </row>
    <row r="64" spans="2:10" x14ac:dyDescent="0.2">
      <c r="B64" t="s">
        <v>76</v>
      </c>
      <c r="C64" s="778"/>
      <c r="D64" s="61" t="s">
        <v>251</v>
      </c>
      <c r="E64" s="640">
        <v>11810</v>
      </c>
    </row>
    <row r="65" spans="2:5" x14ac:dyDescent="0.2">
      <c r="B65" t="s">
        <v>76</v>
      </c>
      <c r="C65" s="778"/>
      <c r="D65" s="61" t="s">
        <v>861</v>
      </c>
      <c r="E65" s="640">
        <v>336</v>
      </c>
    </row>
    <row r="66" spans="2:5" x14ac:dyDescent="0.2">
      <c r="B66" t="s">
        <v>76</v>
      </c>
      <c r="C66" s="778"/>
      <c r="D66" s="61" t="s">
        <v>860</v>
      </c>
      <c r="E66" s="640">
        <v>5824</v>
      </c>
    </row>
    <row r="67" spans="2:5" x14ac:dyDescent="0.2">
      <c r="B67" t="s">
        <v>76</v>
      </c>
      <c r="C67" s="778"/>
      <c r="D67" s="61" t="s">
        <v>861</v>
      </c>
      <c r="E67" s="640">
        <v>144</v>
      </c>
    </row>
    <row r="68" spans="2:5" x14ac:dyDescent="0.2">
      <c r="B68" t="s">
        <v>76</v>
      </c>
      <c r="C68" s="778"/>
      <c r="D68" s="61" t="s">
        <v>860</v>
      </c>
      <c r="E68" s="640">
        <v>96</v>
      </c>
    </row>
    <row r="69" spans="2:5" x14ac:dyDescent="0.2">
      <c r="B69" t="s">
        <v>76</v>
      </c>
      <c r="C69" s="778"/>
      <c r="D69" s="61" t="s">
        <v>251</v>
      </c>
      <c r="E69" s="640">
        <v>48</v>
      </c>
    </row>
    <row r="70" spans="2:5" x14ac:dyDescent="0.2">
      <c r="B70" t="s">
        <v>76</v>
      </c>
      <c r="C70" s="778"/>
      <c r="D70" s="61" t="s">
        <v>860</v>
      </c>
      <c r="E70" s="640">
        <v>144</v>
      </c>
    </row>
    <row r="71" spans="2:5" x14ac:dyDescent="0.2">
      <c r="B71" t="s">
        <v>76</v>
      </c>
      <c r="C71" s="778"/>
      <c r="D71" s="61" t="s">
        <v>860</v>
      </c>
      <c r="E71" s="640">
        <v>384</v>
      </c>
    </row>
    <row r="72" spans="2:5" x14ac:dyDescent="0.2">
      <c r="B72" t="s">
        <v>76</v>
      </c>
      <c r="C72" s="778"/>
      <c r="D72" s="61" t="s">
        <v>860</v>
      </c>
      <c r="E72" s="640">
        <v>48</v>
      </c>
    </row>
    <row r="73" spans="2:5" x14ac:dyDescent="0.2">
      <c r="B73" t="s">
        <v>76</v>
      </c>
      <c r="C73" s="778"/>
      <c r="D73" s="61" t="s">
        <v>859</v>
      </c>
      <c r="E73" s="640">
        <v>384</v>
      </c>
    </row>
    <row r="74" spans="2:5" x14ac:dyDescent="0.2">
      <c r="B74" t="s">
        <v>76</v>
      </c>
      <c r="C74" s="778"/>
      <c r="D74" s="61" t="s">
        <v>859</v>
      </c>
      <c r="E74" s="640">
        <v>96</v>
      </c>
    </row>
    <row r="75" spans="2:5" x14ac:dyDescent="0.2">
      <c r="B75" t="s">
        <v>1089</v>
      </c>
      <c r="C75" s="778"/>
      <c r="D75" s="61" t="s">
        <v>251</v>
      </c>
      <c r="E75" s="640">
        <v>7</v>
      </c>
    </row>
    <row r="76" spans="2:5" x14ac:dyDescent="0.2">
      <c r="B76" s="558" t="s">
        <v>160</v>
      </c>
      <c r="C76" s="778"/>
      <c r="D76" s="61" t="s">
        <v>251</v>
      </c>
      <c r="E76" s="640">
        <v>23</v>
      </c>
    </row>
    <row r="77" spans="2:5" x14ac:dyDescent="0.2">
      <c r="B77" t="s">
        <v>160</v>
      </c>
      <c r="C77" s="778"/>
      <c r="D77" s="61" t="s">
        <v>861</v>
      </c>
      <c r="E77" s="640">
        <v>1000</v>
      </c>
    </row>
    <row r="78" spans="2:5" x14ac:dyDescent="0.2">
      <c r="B78" t="s">
        <v>477</v>
      </c>
      <c r="C78" s="778"/>
      <c r="D78" s="61" t="s">
        <v>251</v>
      </c>
      <c r="E78" s="640">
        <v>16</v>
      </c>
    </row>
    <row r="79" spans="2:5" x14ac:dyDescent="0.2">
      <c r="B79" t="s">
        <v>477</v>
      </c>
      <c r="C79" s="778"/>
      <c r="D79" s="61" t="s">
        <v>861</v>
      </c>
      <c r="E79" s="640">
        <v>176</v>
      </c>
    </row>
    <row r="80" spans="2:5" x14ac:dyDescent="0.2">
      <c r="B80" t="s">
        <v>477</v>
      </c>
      <c r="C80" s="778"/>
      <c r="D80" s="61" t="s">
        <v>251</v>
      </c>
      <c r="E80" s="640">
        <v>112</v>
      </c>
    </row>
    <row r="81" spans="2:5" x14ac:dyDescent="0.2">
      <c r="B81" t="s">
        <v>477</v>
      </c>
      <c r="C81" s="778"/>
      <c r="D81" s="61" t="s">
        <v>860</v>
      </c>
      <c r="E81" s="640">
        <v>140</v>
      </c>
    </row>
    <row r="82" spans="2:5" x14ac:dyDescent="0.2">
      <c r="B82" t="s">
        <v>477</v>
      </c>
      <c r="C82" s="778"/>
      <c r="D82" s="61" t="s">
        <v>860</v>
      </c>
      <c r="E82" s="640">
        <v>148</v>
      </c>
    </row>
    <row r="83" spans="2:5" x14ac:dyDescent="0.2">
      <c r="B83" t="s">
        <v>477</v>
      </c>
      <c r="C83" s="778"/>
      <c r="D83" s="61" t="s">
        <v>861</v>
      </c>
      <c r="E83" s="640">
        <v>16</v>
      </c>
    </row>
    <row r="84" spans="2:5" x14ac:dyDescent="0.2">
      <c r="B84" t="s">
        <v>86</v>
      </c>
      <c r="C84" s="778"/>
      <c r="D84" s="61" t="s">
        <v>251</v>
      </c>
      <c r="E84" s="640">
        <v>300</v>
      </c>
    </row>
    <row r="85" spans="2:5" x14ac:dyDescent="0.2">
      <c r="B85" t="s">
        <v>86</v>
      </c>
      <c r="C85" s="778"/>
      <c r="D85" s="61" t="s">
        <v>859</v>
      </c>
      <c r="E85" s="640">
        <v>288</v>
      </c>
    </row>
    <row r="86" spans="2:5" x14ac:dyDescent="0.2">
      <c r="B86" t="s">
        <v>86</v>
      </c>
      <c r="C86" s="778"/>
      <c r="D86" s="61" t="s">
        <v>860</v>
      </c>
      <c r="E86" s="640">
        <v>240</v>
      </c>
    </row>
    <row r="87" spans="2:5" x14ac:dyDescent="0.2">
      <c r="B87" t="s">
        <v>86</v>
      </c>
      <c r="C87" s="778"/>
      <c r="D87" s="61" t="s">
        <v>859</v>
      </c>
      <c r="E87" s="640">
        <v>292</v>
      </c>
    </row>
    <row r="88" spans="2:5" x14ac:dyDescent="0.2">
      <c r="B88" t="s">
        <v>86</v>
      </c>
      <c r="C88" s="778"/>
      <c r="D88" s="61" t="s">
        <v>859</v>
      </c>
      <c r="E88" s="640">
        <v>13</v>
      </c>
    </row>
    <row r="89" spans="2:5" x14ac:dyDescent="0.2">
      <c r="B89" t="s">
        <v>97</v>
      </c>
      <c r="C89" s="778"/>
      <c r="D89" s="61" t="s">
        <v>859</v>
      </c>
      <c r="E89" s="640">
        <v>816</v>
      </c>
    </row>
    <row r="90" spans="2:5" x14ac:dyDescent="0.2">
      <c r="B90" t="s">
        <v>97</v>
      </c>
      <c r="C90" s="778"/>
      <c r="D90" s="61" t="s">
        <v>860</v>
      </c>
      <c r="E90" s="640">
        <v>192</v>
      </c>
    </row>
    <row r="91" spans="2:5" x14ac:dyDescent="0.2">
      <c r="B91" t="s">
        <v>97</v>
      </c>
      <c r="C91" s="778"/>
      <c r="D91" s="61" t="s">
        <v>859</v>
      </c>
      <c r="E91" s="640">
        <v>1220</v>
      </c>
    </row>
    <row r="92" spans="2:5" x14ac:dyDescent="0.2">
      <c r="B92" t="s">
        <v>97</v>
      </c>
      <c r="C92" s="778"/>
      <c r="D92" s="61" t="s">
        <v>859</v>
      </c>
      <c r="E92" s="640">
        <v>164</v>
      </c>
    </row>
    <row r="93" spans="2:5" x14ac:dyDescent="0.2">
      <c r="B93" t="s">
        <v>97</v>
      </c>
      <c r="C93" s="778"/>
      <c r="D93" s="61" t="s">
        <v>859</v>
      </c>
      <c r="E93" s="640">
        <v>20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8">
    <tabColor theme="4"/>
  </sheetPr>
  <dimension ref="A1:AO47"/>
  <sheetViews>
    <sheetView showGridLines="0" zoomScale="110" zoomScaleNormal="110" workbookViewId="0">
      <selection activeCell="J48" sqref="J48"/>
    </sheetView>
  </sheetViews>
  <sheetFormatPr defaultColWidth="9.1640625" defaultRowHeight="12" x14ac:dyDescent="0.2"/>
  <cols>
    <col min="1" max="1" width="4.6640625" style="386" customWidth="1"/>
    <col min="2" max="2" width="14.5" style="386" customWidth="1"/>
    <col min="3" max="3" width="20.6640625" style="386" customWidth="1"/>
    <col min="4" max="8" width="12.33203125" style="386" customWidth="1"/>
    <col min="9" max="9" width="4.6640625" style="386" customWidth="1"/>
    <col min="10" max="10" width="14.5" style="558" customWidth="1"/>
    <col min="11" max="11" width="20.6640625" style="558" customWidth="1"/>
    <col min="12" max="16" width="12.33203125" style="558" customWidth="1"/>
    <col min="17" max="17" width="9.1640625" style="386"/>
    <col min="18" max="18" width="14.5" style="558" customWidth="1"/>
    <col min="19" max="19" width="20.6640625" style="558" customWidth="1"/>
    <col min="20" max="24" width="12.33203125" style="558" customWidth="1"/>
    <col min="25" max="25" width="9.1640625" style="386"/>
    <col min="26" max="26" width="14.5" style="558" customWidth="1"/>
    <col min="27" max="27" width="20.6640625" style="558" customWidth="1"/>
    <col min="28" max="32" width="12.33203125" style="558" customWidth="1"/>
    <col min="33" max="33" width="9.1640625" style="386"/>
    <col min="34" max="34" width="14.5" style="558" customWidth="1"/>
    <col min="35" max="35" width="20.6640625" style="558" customWidth="1"/>
    <col min="36" max="40" width="12.33203125" style="558" customWidth="1"/>
    <col min="41" max="16384" width="9.1640625" style="386"/>
  </cols>
  <sheetData>
    <row r="1" spans="1:40" ht="18.75" x14ac:dyDescent="0.3">
      <c r="A1" s="31" t="str">
        <f>A_Name_Model</f>
        <v>Public Lighting Model</v>
      </c>
      <c r="B1" s="31"/>
      <c r="C1" s="33"/>
      <c r="D1" s="33"/>
      <c r="F1" s="33"/>
      <c r="G1" s="33"/>
      <c r="H1" s="31"/>
      <c r="J1" s="31"/>
      <c r="K1" s="33"/>
      <c r="L1" s="33"/>
      <c r="N1" s="33"/>
      <c r="O1" s="33"/>
      <c r="P1" s="31"/>
      <c r="R1" s="31"/>
      <c r="S1" s="33"/>
      <c r="T1" s="33"/>
      <c r="V1" s="33"/>
      <c r="W1" s="33"/>
      <c r="X1" s="31"/>
      <c r="Z1" s="31"/>
      <c r="AA1" s="33"/>
      <c r="AB1" s="33"/>
      <c r="AD1" s="33"/>
      <c r="AE1" s="33"/>
      <c r="AF1" s="31"/>
      <c r="AH1" s="31"/>
      <c r="AI1" s="33"/>
      <c r="AJ1" s="33"/>
      <c r="AL1" s="33"/>
      <c r="AM1" s="33"/>
      <c r="AN1" s="31"/>
    </row>
    <row r="2" spans="1:40" ht="16.5" thickBot="1" x14ac:dyDescent="0.3">
      <c r="A2" s="4" t="str">
        <f ca="1">RIGHT(CELL("filename",A2),LEN(CELL("filename",A2))-FIND("]",CELL("filename",A2)))</f>
        <v>LED Tariffs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R2" s="4"/>
      <c r="S2" s="4"/>
      <c r="T2" s="4"/>
      <c r="U2" s="4"/>
      <c r="V2" s="4"/>
      <c r="W2" s="4"/>
      <c r="X2" s="4"/>
      <c r="Z2" s="4"/>
      <c r="AA2" s="4"/>
      <c r="AB2" s="4"/>
      <c r="AC2" s="4"/>
      <c r="AD2" s="4"/>
      <c r="AE2" s="4"/>
      <c r="AF2" s="4"/>
      <c r="AH2" s="4"/>
      <c r="AI2" s="4"/>
      <c r="AJ2" s="4"/>
      <c r="AK2" s="4"/>
      <c r="AL2" s="4"/>
      <c r="AM2" s="4"/>
      <c r="AN2" s="4"/>
    </row>
    <row r="3" spans="1:40" ht="16.5" thickTop="1" thickBot="1" x14ac:dyDescent="0.25">
      <c r="F3" s="558" t="s">
        <v>44</v>
      </c>
      <c r="G3" s="626" t="str">
        <f>Tariff_Year</f>
        <v>2020/21</v>
      </c>
      <c r="N3" s="558" t="s">
        <v>44</v>
      </c>
      <c r="O3" s="626" t="s">
        <v>254</v>
      </c>
      <c r="V3" s="558" t="s">
        <v>44</v>
      </c>
      <c r="W3" s="626" t="s">
        <v>255</v>
      </c>
      <c r="AD3" s="558" t="s">
        <v>44</v>
      </c>
      <c r="AE3" s="626" t="s">
        <v>256</v>
      </c>
      <c r="AL3" s="558" t="s">
        <v>44</v>
      </c>
      <c r="AM3" s="626" t="s">
        <v>257</v>
      </c>
    </row>
    <row r="4" spans="1:40" ht="4.1500000000000004" customHeight="1" thickTop="1" x14ac:dyDescent="0.2"/>
    <row r="5" spans="1:40" s="558" customFormat="1" x14ac:dyDescent="0.2">
      <c r="F5" s="558" t="s">
        <v>1144</v>
      </c>
      <c r="G5" s="558" t="str">
        <f>CPI_Year</f>
        <v>$June 2020</v>
      </c>
      <c r="N5" s="558" t="s">
        <v>1144</v>
      </c>
      <c r="O5" s="558" t="s">
        <v>1001</v>
      </c>
      <c r="V5" s="558" t="s">
        <v>1144</v>
      </c>
      <c r="W5" s="558" t="s">
        <v>1001</v>
      </c>
      <c r="AD5" s="558" t="s">
        <v>1144</v>
      </c>
      <c r="AE5" s="558" t="s">
        <v>1001</v>
      </c>
      <c r="AL5" s="558" t="s">
        <v>1144</v>
      </c>
      <c r="AM5" s="558" t="s">
        <v>1001</v>
      </c>
    </row>
    <row r="6" spans="1:40" s="558" customFormat="1" x14ac:dyDescent="0.2"/>
    <row r="7" spans="1:40" ht="12.75" x14ac:dyDescent="0.2">
      <c r="B7" s="78" t="s">
        <v>219</v>
      </c>
      <c r="C7" s="78" t="s">
        <v>71</v>
      </c>
      <c r="D7" s="81" t="s">
        <v>78</v>
      </c>
      <c r="E7" s="81" t="s">
        <v>52</v>
      </c>
      <c r="F7" s="81" t="s">
        <v>51</v>
      </c>
      <c r="G7" s="81" t="s">
        <v>53</v>
      </c>
      <c r="H7" s="81" t="s">
        <v>54</v>
      </c>
      <c r="J7" s="78" t="s">
        <v>219</v>
      </c>
      <c r="K7" s="78" t="s">
        <v>71</v>
      </c>
      <c r="L7" s="81" t="s">
        <v>78</v>
      </c>
      <c r="M7" s="81" t="s">
        <v>52</v>
      </c>
      <c r="N7" s="81" t="s">
        <v>51</v>
      </c>
      <c r="O7" s="81" t="s">
        <v>53</v>
      </c>
      <c r="P7" s="81" t="s">
        <v>54</v>
      </c>
      <c r="R7" s="78" t="s">
        <v>219</v>
      </c>
      <c r="S7" s="78" t="s">
        <v>71</v>
      </c>
      <c r="T7" s="81" t="s">
        <v>78</v>
      </c>
      <c r="U7" s="81" t="s">
        <v>52</v>
      </c>
      <c r="V7" s="81" t="s">
        <v>51</v>
      </c>
      <c r="W7" s="81" t="s">
        <v>53</v>
      </c>
      <c r="X7" s="81" t="s">
        <v>54</v>
      </c>
      <c r="Z7" s="78" t="s">
        <v>219</v>
      </c>
      <c r="AA7" s="78" t="s">
        <v>71</v>
      </c>
      <c r="AB7" s="81" t="s">
        <v>78</v>
      </c>
      <c r="AC7" s="81" t="s">
        <v>52</v>
      </c>
      <c r="AD7" s="81" t="s">
        <v>51</v>
      </c>
      <c r="AE7" s="81" t="s">
        <v>53</v>
      </c>
      <c r="AF7" s="81" t="s">
        <v>54</v>
      </c>
      <c r="AH7" s="78" t="s">
        <v>219</v>
      </c>
      <c r="AI7" s="78" t="s">
        <v>71</v>
      </c>
      <c r="AJ7" s="81" t="s">
        <v>78</v>
      </c>
      <c r="AK7" s="81" t="s">
        <v>52</v>
      </c>
      <c r="AL7" s="81" t="s">
        <v>51</v>
      </c>
      <c r="AM7" s="81" t="s">
        <v>53</v>
      </c>
      <c r="AN7" s="81" t="s">
        <v>54</v>
      </c>
    </row>
    <row r="8" spans="1:40" x14ac:dyDescent="0.2">
      <c r="B8" s="505" t="s">
        <v>202</v>
      </c>
      <c r="D8" s="504"/>
      <c r="E8" s="504"/>
      <c r="F8" s="504"/>
      <c r="G8" s="504"/>
      <c r="H8" s="504"/>
      <c r="J8" s="505" t="s">
        <v>202</v>
      </c>
      <c r="L8" s="504"/>
      <c r="M8" s="504"/>
      <c r="N8" s="504"/>
      <c r="O8" s="504"/>
      <c r="P8" s="504"/>
      <c r="R8" s="505" t="s">
        <v>202</v>
      </c>
      <c r="T8" s="504"/>
      <c r="U8" s="504"/>
      <c r="V8" s="504"/>
      <c r="W8" s="504"/>
      <c r="X8" s="504"/>
      <c r="Z8" s="505" t="s">
        <v>202</v>
      </c>
      <c r="AB8" s="504"/>
      <c r="AC8" s="504"/>
      <c r="AD8" s="504"/>
      <c r="AE8" s="504"/>
      <c r="AF8" s="504"/>
      <c r="AH8" s="505" t="s">
        <v>202</v>
      </c>
      <c r="AJ8" s="504"/>
      <c r="AK8" s="504"/>
      <c r="AL8" s="504"/>
      <c r="AM8" s="504"/>
      <c r="AN8" s="504"/>
    </row>
    <row r="9" spans="1:40" x14ac:dyDescent="0.2">
      <c r="B9" s="505"/>
      <c r="C9" s="386" t="s">
        <v>76</v>
      </c>
      <c r="D9" s="771">
        <f>INDEX(Tariff_LED_Tbl[],MATCH(LED_Tariffs[[#This Row],[Lamp Type]:[Lamp Type]],Tariff_LED_Tbl[[LED]:[LED]],0),MATCH(LED_Tariffs[[#Headers],[ENERGY]],Tariff_LED_Tbl[#Headers],0))</f>
        <v>3.0621988578067763</v>
      </c>
      <c r="E9" s="771">
        <f>INDEX(Tariff_LED_Tbl[],MATCH(LED_Tariffs[[#This Row],[Lamp Type]:[Lamp Type]],Tariff_LED_Tbl[[LED]:[LED]],0),MATCH(LED_Tariffs[[#Headers],[CLER]],Tariff_LED_Tbl[#Headers],0))</f>
        <v>16.167114457625789</v>
      </c>
      <c r="F9" s="771">
        <f>INDEX(Tariff_LED_Tbl[],MATCH(LED_Tariffs[[#This Row],[Lamp Type]:[Lamp Type]],Tariff_LED_Tbl[[LED]:[LED]],0),MATCH(LED_Tariffs[[#Headers],[PLC]],Tariff_LED_Tbl[#Headers],0))</f>
        <v>57.92660522730008</v>
      </c>
      <c r="G9" s="771">
        <f>INDEX(Tariff_LED_Tbl[],MATCH(LED_Tariffs[[#This Row],[Lamp Type]:[Lamp Type]],Tariff_LED_Tbl[[LED]:[LED]],0),MATCH(LED_Tariffs[[#Headers],[TFI]],Tariff_LED_Tbl[#Headers],0))</f>
        <v>74.831729533909879</v>
      </c>
      <c r="H9" s="771">
        <f>INDEX(Tariff_LED_Tbl[],MATCH(LED_Tariffs[[#This Row],[Lamp Type]:[Lamp Type]],Tariff_LED_Tbl[[LED]:[LED]],0),MATCH(LED_Tariffs[[#Headers],[SAPN]],Tariff_LED_Tbl[#Headers],0))</f>
        <v>92.532256820482559</v>
      </c>
      <c r="J9" s="505"/>
      <c r="K9" s="558" t="s">
        <v>76</v>
      </c>
      <c r="L9" s="771">
        <v>3.0946062538521595</v>
      </c>
      <c r="M9" s="771">
        <v>16.282152234604663</v>
      </c>
      <c r="N9" s="771">
        <v>58.74049784234424</v>
      </c>
      <c r="O9" s="771">
        <v>75.753301791132557</v>
      </c>
      <c r="P9" s="771">
        <v>93.566575154576341</v>
      </c>
      <c r="R9" s="505"/>
      <c r="S9" s="558" t="s">
        <v>76</v>
      </c>
      <c r="T9" s="771">
        <v>3.1321148140898711</v>
      </c>
      <c r="U9" s="771">
        <v>16.415297809811687</v>
      </c>
      <c r="V9" s="771">
        <v>59.18785954349471</v>
      </c>
      <c r="W9" s="771">
        <v>76.325292707767389</v>
      </c>
      <c r="X9" s="771">
        <v>94.269059215737926</v>
      </c>
      <c r="Z9" s="505"/>
      <c r="AA9" s="558" t="s">
        <v>76</v>
      </c>
      <c r="AB9" s="771">
        <v>3.1663226210266635</v>
      </c>
      <c r="AC9" s="771">
        <v>16.669117071771783</v>
      </c>
      <c r="AD9" s="771">
        <v>59.838961752032752</v>
      </c>
      <c r="AE9" s="771">
        <v>77.090056760827196</v>
      </c>
      <c r="AF9" s="771">
        <v>95.152833016606152</v>
      </c>
      <c r="AH9" s="505"/>
      <c r="AI9" s="558" t="s">
        <v>76</v>
      </c>
      <c r="AJ9" s="771">
        <v>3.1969296061806358</v>
      </c>
      <c r="AK9" s="771">
        <v>16.77776386114072</v>
      </c>
      <c r="AL9" s="771">
        <v>60.360528562374867</v>
      </c>
      <c r="AM9" s="771">
        <v>77.713321011004496</v>
      </c>
      <c r="AN9" s="771">
        <v>95.882579672717284</v>
      </c>
    </row>
    <row r="10" spans="1:40" x14ac:dyDescent="0.2">
      <c r="B10" s="505"/>
      <c r="C10" s="386" t="s">
        <v>86</v>
      </c>
      <c r="D10" s="771">
        <f>INDEX(Tariff_LED_Tbl[],MATCH(LED_Tariffs[[#This Row],[Lamp Type]:[Lamp Type]],Tariff_LED_Tbl[[LED]:[LED]],0),MATCH(LED_Tariffs[[#Headers],[ENERGY]],Tariff_LED_Tbl[#Headers],0))</f>
        <v>3.0621988578067763</v>
      </c>
      <c r="E10" s="771">
        <f>INDEX(Tariff_LED_Tbl[],MATCH(LED_Tariffs[[#This Row],[Lamp Type]:[Lamp Type]],Tariff_LED_Tbl[[LED]:[LED]],0),MATCH(LED_Tariffs[[#Headers],[CLER]],Tariff_LED_Tbl[#Headers],0))</f>
        <v>16.300481468473372</v>
      </c>
      <c r="F10" s="771">
        <f>INDEX(Tariff_LED_Tbl[],MATCH(LED_Tariffs[[#This Row],[Lamp Type]:[Lamp Type]],Tariff_LED_Tbl[[LED]:[LED]],0),MATCH(LED_Tariffs[[#Headers],[PLC]],Tariff_LED_Tbl[#Headers],0))</f>
        <v>58.052221701678512</v>
      </c>
      <c r="G10" s="771">
        <f>INDEX(Tariff_LED_Tbl[],MATCH(LED_Tariffs[[#This Row],[Lamp Type]:[Lamp Type]],Tariff_LED_Tbl[[LED]:[LED]],0),MATCH(LED_Tariffs[[#Headers],[TFI]],Tariff_LED_Tbl[#Headers],0))</f>
        <v>75.865687780315156</v>
      </c>
      <c r="H10" s="771">
        <f>INDEX(Tariff_LED_Tbl[],MATCH(LED_Tariffs[[#This Row],[Lamp Type]:[Lamp Type]],Tariff_LED_Tbl[[LED]:[LED]],0),MATCH(LED_Tariffs[[#Headers],[SAPN]],Tariff_LED_Tbl[#Headers],0))</f>
        <v>94.731860446259631</v>
      </c>
      <c r="J10" s="505"/>
      <c r="K10" s="558" t="s">
        <v>86</v>
      </c>
      <c r="L10" s="771">
        <v>3.0946062538521595</v>
      </c>
      <c r="M10" s="771">
        <v>16.416344412546152</v>
      </c>
      <c r="N10" s="771">
        <v>58.866891529771465</v>
      </c>
      <c r="O10" s="771">
        <v>76.793823065302547</v>
      </c>
      <c r="P10" s="771">
        <v>95.780166555495398</v>
      </c>
      <c r="R10" s="505"/>
      <c r="S10" s="558" t="s">
        <v>86</v>
      </c>
      <c r="T10" s="771">
        <v>3.1321148140898711</v>
      </c>
      <c r="U10" s="771">
        <v>16.550445042260016</v>
      </c>
      <c r="V10" s="771">
        <v>59.315152783061748</v>
      </c>
      <c r="W10" s="771">
        <v>77.373410078887289</v>
      </c>
      <c r="X10" s="771">
        <v>96.49884017121947</v>
      </c>
      <c r="Z10" s="505"/>
      <c r="AA10" s="558" t="s">
        <v>86</v>
      </c>
      <c r="AB10" s="771">
        <v>3.1663226210266635</v>
      </c>
      <c r="AC10" s="771">
        <v>16.808955531957704</v>
      </c>
      <c r="AD10" s="771">
        <v>59.970673591710558</v>
      </c>
      <c r="AE10" s="771">
        <v>78.148699980924661</v>
      </c>
      <c r="AF10" s="771">
        <v>97.400977054407903</v>
      </c>
      <c r="AH10" s="505"/>
      <c r="AI10" s="558" t="s">
        <v>86</v>
      </c>
      <c r="AJ10" s="771">
        <v>3.1969296061806358</v>
      </c>
      <c r="AK10" s="771">
        <v>16.918381645804221</v>
      </c>
      <c r="AL10" s="771">
        <v>60.492974436598757</v>
      </c>
      <c r="AM10" s="771">
        <v>78.77816264621309</v>
      </c>
      <c r="AN10" s="771">
        <v>98.143934387042023</v>
      </c>
    </row>
    <row r="11" spans="1:40" x14ac:dyDescent="0.2">
      <c r="B11" s="505"/>
      <c r="C11" s="386" t="s">
        <v>97</v>
      </c>
      <c r="D11" s="771">
        <f>INDEX(Tariff_LED_Tbl[],MATCH(LED_Tariffs[[#This Row],[Lamp Type]:[Lamp Type]],Tariff_LED_Tbl[[LED]:[LED]],0),MATCH(LED_Tariffs[[#Headers],[ENERGY]],Tariff_LED_Tbl[#Headers],0))</f>
        <v>3.0621988578067763</v>
      </c>
      <c r="E11" s="771">
        <f>INDEX(Tariff_LED_Tbl[],MATCH(LED_Tariffs[[#This Row],[Lamp Type]:[Lamp Type]],Tariff_LED_Tbl[[LED]:[LED]],0),MATCH(LED_Tariffs[[#Headers],[CLER]],Tariff_LED_Tbl[#Headers],0))</f>
        <v>16.68654386829531</v>
      </c>
      <c r="F11" s="771">
        <f>INDEX(Tariff_LED_Tbl[],MATCH(LED_Tariffs[[#This Row],[Lamp Type]:[Lamp Type]],Tariff_LED_Tbl[[LED]:[LED]],0),MATCH(LED_Tariffs[[#Headers],[PLC]],Tariff_LED_Tbl[#Headers],0))</f>
        <v>58.415848338037122</v>
      </c>
      <c r="G11" s="771">
        <f>INDEX(Tariff_LED_Tbl[],MATCH(LED_Tariffs[[#This Row],[Lamp Type]:[Lamp Type]],Tariff_LED_Tbl[[LED]:[LED]],0),MATCH(LED_Tariffs[[#Headers],[TFI]],Tariff_LED_Tbl[#Headers],0))</f>
        <v>78.858724809383048</v>
      </c>
      <c r="H11" s="771">
        <f>INDEX(Tariff_LED_Tbl[],MATCH(LED_Tariffs[[#This Row],[Lamp Type]:[Lamp Type]],Tariff_LED_Tbl[[LED]:[LED]],0),MATCH(LED_Tariffs[[#Headers],[SAPN]],Tariff_LED_Tbl[#Headers],0))</f>
        <v>101.10363542842255</v>
      </c>
      <c r="J11" s="505"/>
      <c r="K11" s="558" t="s">
        <v>97</v>
      </c>
      <c r="L11" s="771">
        <v>3.0946062538521595</v>
      </c>
      <c r="M11" s="771">
        <v>16.804795453955723</v>
      </c>
      <c r="N11" s="771">
        <v>59.232767993376598</v>
      </c>
      <c r="O11" s="771">
        <v>79.805858332636717</v>
      </c>
      <c r="P11" s="771">
        <v>102.19246113756653</v>
      </c>
      <c r="R11" s="505"/>
      <c r="S11" s="558" t="s">
        <v>97</v>
      </c>
      <c r="T11" s="771">
        <v>3.1321148140898711</v>
      </c>
      <c r="U11" s="771">
        <v>16.941660715136752</v>
      </c>
      <c r="V11" s="771">
        <v>59.683633213387395</v>
      </c>
      <c r="W11" s="771">
        <v>80.407434047918557</v>
      </c>
      <c r="X11" s="771">
        <v>102.95803243836953</v>
      </c>
      <c r="Z11" s="505"/>
      <c r="AA11" s="558" t="s">
        <v>97</v>
      </c>
      <c r="AB11" s="771">
        <v>3.1663226210266635</v>
      </c>
      <c r="AC11" s="771">
        <v>17.213751074601159</v>
      </c>
      <c r="AD11" s="771">
        <v>60.351944706567345</v>
      </c>
      <c r="AE11" s="771">
        <v>81.213193512785708</v>
      </c>
      <c r="AF11" s="771">
        <v>103.91335587723201</v>
      </c>
      <c r="AH11" s="505"/>
      <c r="AI11" s="558" t="s">
        <v>97</v>
      </c>
      <c r="AJ11" s="771">
        <v>3.1969296061806358</v>
      </c>
      <c r="AK11" s="771">
        <v>17.325433127724878</v>
      </c>
      <c r="AL11" s="771">
        <v>60.876370388299478</v>
      </c>
      <c r="AM11" s="771">
        <v>81.860598958658983</v>
      </c>
      <c r="AN11" s="771">
        <v>104.69458172089057</v>
      </c>
    </row>
    <row r="12" spans="1:40" x14ac:dyDescent="0.2">
      <c r="B12" s="505"/>
      <c r="C12" s="386" t="s">
        <v>111</v>
      </c>
      <c r="D12" s="771">
        <f>INDEX(Tariff_LED_Tbl[],MATCH(LED_Tariffs[[#This Row],[Lamp Type]:[Lamp Type]],Tariff_LED_Tbl[[LED]:[LED]],0),MATCH(LED_Tariffs[[#Headers],[ENERGY]],Tariff_LED_Tbl[#Headers],0))</f>
        <v>3.0621988578067763</v>
      </c>
      <c r="E12" s="771">
        <f>INDEX(Tariff_LED_Tbl[],MATCH(LED_Tariffs[[#This Row],[Lamp Type]:[Lamp Type]],Tariff_LED_Tbl[[LED]:[LED]],0),MATCH(LED_Tariffs[[#Headers],[CLER]],Tariff_LED_Tbl[#Headers],0))</f>
        <v>16.195191723067389</v>
      </c>
      <c r="F12" s="771">
        <f>INDEX(Tariff_LED_Tbl[],MATCH(LED_Tariffs[[#This Row],[Lamp Type]:[Lamp Type]],Tariff_LED_Tbl[[LED]:[LED]],0),MATCH(LED_Tariffs[[#Headers],[PLC]],Tariff_LED_Tbl[#Headers],0))</f>
        <v>57.953050800853433</v>
      </c>
      <c r="G12" s="771">
        <f>INDEX(Tariff_LED_Tbl[],MATCH(LED_Tariffs[[#This Row],[Lamp Type]:[Lamp Type]],Tariff_LED_Tbl[[LED]:[LED]],0),MATCH(LED_Tariffs[[#Headers],[TFI]],Tariff_LED_Tbl[#Headers],0))</f>
        <v>75.049404954205727</v>
      </c>
      <c r="H12" s="771">
        <f>INDEX(Tariff_LED_Tbl[],MATCH(LED_Tariffs[[#This Row],[Lamp Type]:[Lamp Type]],Tariff_LED_Tbl[[LED]:[LED]],0),MATCH(LED_Tariffs[[#Headers],[SAPN]],Tariff_LED_Tbl[#Headers],0))</f>
        <v>92.997019266238723</v>
      </c>
      <c r="J12" s="505"/>
      <c r="K12" s="558" t="s">
        <v>111</v>
      </c>
      <c r="L12" s="771">
        <v>3.0946062538521595</v>
      </c>
      <c r="M12" s="771">
        <v>16.310403219434452</v>
      </c>
      <c r="N12" s="771">
        <v>58.767107039697336</v>
      </c>
      <c r="O12" s="771">
        <v>75.972358901484128</v>
      </c>
      <c r="P12" s="771">
        <v>94.034293147048857</v>
      </c>
      <c r="R12" s="505"/>
      <c r="S12" s="558" t="s">
        <v>111</v>
      </c>
      <c r="T12" s="771">
        <v>3.1321148140898711</v>
      </c>
      <c r="U12" s="771">
        <v>16.443749858748181</v>
      </c>
      <c r="V12" s="771">
        <v>59.214658120245666</v>
      </c>
      <c r="W12" s="771">
        <v>76.545948996424201</v>
      </c>
      <c r="X12" s="771">
        <v>94.740197979872889</v>
      </c>
      <c r="Z12" s="505"/>
      <c r="AA12" s="558" t="s">
        <v>111</v>
      </c>
      <c r="AB12" s="771">
        <v>3.1663226210266635</v>
      </c>
      <c r="AC12" s="771">
        <v>16.698556747600403</v>
      </c>
      <c r="AD12" s="771">
        <v>59.866690560385983</v>
      </c>
      <c r="AE12" s="771">
        <v>77.312929017689811</v>
      </c>
      <c r="AF12" s="771">
        <v>95.627849042088641</v>
      </c>
      <c r="AH12" s="505"/>
      <c r="AI12" s="558" t="s">
        <v>111</v>
      </c>
      <c r="AJ12" s="771">
        <v>3.1969296061806358</v>
      </c>
      <c r="AK12" s="771">
        <v>16.807367605280405</v>
      </c>
      <c r="AL12" s="771">
        <v>60.38841190431674</v>
      </c>
      <c r="AM12" s="771">
        <v>77.937498197364206</v>
      </c>
      <c r="AN12" s="771">
        <v>96.360387047876358</v>
      </c>
    </row>
    <row r="13" spans="1:40" x14ac:dyDescent="0.2">
      <c r="B13" s="505"/>
      <c r="C13" s="386" t="s">
        <v>126</v>
      </c>
      <c r="D13" s="771">
        <f>INDEX(Tariff_LED_Tbl[],MATCH(LED_Tariffs[[#This Row],[Lamp Type]:[Lamp Type]],Tariff_LED_Tbl[[LED]:[LED]],0),MATCH(LED_Tariffs[[#Headers],[ENERGY]],Tariff_LED_Tbl[#Headers],0))</f>
        <v>3.0621988578067763</v>
      </c>
      <c r="E13" s="771">
        <f>INDEX(Tariff_LED_Tbl[],MATCH(LED_Tariffs[[#This Row],[Lamp Type]:[Lamp Type]],Tariff_LED_Tbl[[LED]:[LED]],0),MATCH(LED_Tariffs[[#Headers],[CLER]],Tariff_LED_Tbl[#Headers],0))</f>
        <v>16.195191723067389</v>
      </c>
      <c r="F13" s="771">
        <f>INDEX(Tariff_LED_Tbl[],MATCH(LED_Tariffs[[#This Row],[Lamp Type]:[Lamp Type]],Tariff_LED_Tbl[[LED]:[LED]],0),MATCH(LED_Tariffs[[#Headers],[PLC]],Tariff_LED_Tbl[#Headers],0))</f>
        <v>57.953050800853433</v>
      </c>
      <c r="G13" s="771">
        <f>INDEX(Tariff_LED_Tbl[],MATCH(LED_Tariffs[[#This Row],[Lamp Type]:[Lamp Type]],Tariff_LED_Tbl[[LED]:[LED]],0),MATCH(LED_Tariffs[[#Headers],[TFI]],Tariff_LED_Tbl[#Headers],0))</f>
        <v>75.049404954205727</v>
      </c>
      <c r="H13" s="771">
        <f>INDEX(Tariff_LED_Tbl[],MATCH(LED_Tariffs[[#This Row],[Lamp Type]:[Lamp Type]],Tariff_LED_Tbl[[LED]:[LED]],0),MATCH(LED_Tariffs[[#Headers],[SAPN]],Tariff_LED_Tbl[#Headers],0))</f>
        <v>92.997019266238723</v>
      </c>
      <c r="J13" s="505"/>
      <c r="K13" s="558" t="s">
        <v>126</v>
      </c>
      <c r="L13" s="771">
        <v>3.0946062538521595</v>
      </c>
      <c r="M13" s="771">
        <v>16.310403219434452</v>
      </c>
      <c r="N13" s="771">
        <v>58.767107039697336</v>
      </c>
      <c r="O13" s="771">
        <v>75.972358901484128</v>
      </c>
      <c r="P13" s="771">
        <v>94.034293147048857</v>
      </c>
      <c r="R13" s="505"/>
      <c r="S13" s="558" t="s">
        <v>126</v>
      </c>
      <c r="T13" s="771">
        <v>3.1321148140898711</v>
      </c>
      <c r="U13" s="771">
        <v>16.443749858748181</v>
      </c>
      <c r="V13" s="771">
        <v>59.214658120245666</v>
      </c>
      <c r="W13" s="771">
        <v>76.545948996424201</v>
      </c>
      <c r="X13" s="771">
        <v>94.740197979872889</v>
      </c>
      <c r="Z13" s="505"/>
      <c r="AA13" s="558" t="s">
        <v>126</v>
      </c>
      <c r="AB13" s="771">
        <v>3.1663226210266635</v>
      </c>
      <c r="AC13" s="771">
        <v>16.698556747600403</v>
      </c>
      <c r="AD13" s="771">
        <v>59.866690560385983</v>
      </c>
      <c r="AE13" s="771">
        <v>77.312929017689811</v>
      </c>
      <c r="AF13" s="771">
        <v>95.627849042088641</v>
      </c>
      <c r="AH13" s="505"/>
      <c r="AI13" s="558" t="s">
        <v>126</v>
      </c>
      <c r="AJ13" s="771">
        <v>3.1969296061806358</v>
      </c>
      <c r="AK13" s="771">
        <v>16.807367605280405</v>
      </c>
      <c r="AL13" s="771">
        <v>60.38841190431674</v>
      </c>
      <c r="AM13" s="771">
        <v>77.937498197364206</v>
      </c>
      <c r="AN13" s="771">
        <v>96.360387047876358</v>
      </c>
    </row>
    <row r="14" spans="1:40" x14ac:dyDescent="0.2">
      <c r="B14" s="505"/>
      <c r="C14" s="386" t="s">
        <v>477</v>
      </c>
      <c r="D14" s="771">
        <f>INDEX(Tariff_LED_Tbl[],MATCH(LED_Tariffs[[#This Row],[Lamp Type]:[Lamp Type]],Tariff_LED_Tbl[[LED]:[LED]],0),MATCH(LED_Tariffs[[#Headers],[ENERGY]],Tariff_LED_Tbl[#Headers],0))</f>
        <v>3.0621988578067763</v>
      </c>
      <c r="E14" s="771">
        <f>INDEX(Tariff_LED_Tbl[],MATCH(LED_Tariffs[[#This Row],[Lamp Type]:[Lamp Type]],Tariff_LED_Tbl[[LED]:[LED]],0),MATCH(LED_Tariffs[[#Headers],[CLER]],Tariff_LED_Tbl[#Headers],0))</f>
        <v>21.319292666158606</v>
      </c>
      <c r="F14" s="771">
        <f>INDEX(Tariff_LED_Tbl[],MATCH(LED_Tariffs[[#This Row],[Lamp Type]:[Lamp Type]],Tariff_LED_Tbl[[LED]:[LED]],0),MATCH(LED_Tariffs[[#Headers],[PLC]],Tariff_LED_Tbl[#Headers],0))</f>
        <v>62.779367974340502</v>
      </c>
      <c r="G14" s="771">
        <f>INDEX(Tariff_LED_Tbl[],MATCH(LED_Tariffs[[#This Row],[Lamp Type]:[Lamp Type]],Tariff_LED_Tbl[[LED]:[LED]],0),MATCH(LED_Tariffs[[#Headers],[TFI]],Tariff_LED_Tbl[#Headers],0))</f>
        <v>114.77516915819776</v>
      </c>
      <c r="H14" s="771">
        <f>INDEX(Tariff_LED_Tbl[],MATCH(LED_Tariffs[[#This Row],[Lamp Type]:[Lamp Type]],Tariff_LED_Tbl[[LED]:[LED]],0),MATCH(LED_Tariffs[[#Headers],[SAPN]],Tariff_LED_Tbl[#Headers],0))</f>
        <v>177.58631652521677</v>
      </c>
      <c r="J14" s="505"/>
      <c r="K14" s="558" t="s">
        <v>477</v>
      </c>
      <c r="L14" s="771">
        <v>3.0946062538521595</v>
      </c>
      <c r="M14" s="771">
        <v>21.466207950870587</v>
      </c>
      <c r="N14" s="771">
        <v>63.623285556638223</v>
      </c>
      <c r="O14" s="771">
        <v>115.95028154064688</v>
      </c>
      <c r="P14" s="771">
        <v>179.16151362462105</v>
      </c>
      <c r="R14" s="505"/>
      <c r="S14" s="558" t="s">
        <v>477</v>
      </c>
      <c r="T14" s="771">
        <v>3.1321148140898711</v>
      </c>
      <c r="U14" s="771">
        <v>21.636248789657596</v>
      </c>
      <c r="V14" s="771">
        <v>64.105398377295145</v>
      </c>
      <c r="W14" s="771">
        <v>116.81572167629382</v>
      </c>
      <c r="X14" s="771">
        <v>180.49001477526238</v>
      </c>
      <c r="Z14" s="505"/>
      <c r="AA14" s="558" t="s">
        <v>477</v>
      </c>
      <c r="AB14" s="771">
        <v>3.1663226210266635</v>
      </c>
      <c r="AC14" s="771">
        <v>22.071297586322608</v>
      </c>
      <c r="AD14" s="771">
        <v>64.927198084848825</v>
      </c>
      <c r="AE14" s="771">
        <v>117.98711589511844</v>
      </c>
      <c r="AF14" s="771">
        <v>182.08372063976179</v>
      </c>
      <c r="AH14" s="505"/>
      <c r="AI14" s="558" t="s">
        <v>477</v>
      </c>
      <c r="AJ14" s="771">
        <v>3.1969296061806358</v>
      </c>
      <c r="AK14" s="771">
        <v>22.2100509107728</v>
      </c>
      <c r="AL14" s="771">
        <v>65.477121808708191</v>
      </c>
      <c r="AM14" s="771">
        <v>118.84983470800961</v>
      </c>
      <c r="AN14" s="771">
        <v>183.32429724088843</v>
      </c>
    </row>
    <row r="15" spans="1:40" x14ac:dyDescent="0.2">
      <c r="B15" s="505"/>
      <c r="C15" s="386" t="s">
        <v>478</v>
      </c>
      <c r="D15" s="771">
        <f>INDEX(Tariff_LED_Tbl[],MATCH(LED_Tariffs[[#This Row],[Lamp Type]:[Lamp Type]],Tariff_LED_Tbl[[LED]:[LED]],0),MATCH(LED_Tariffs[[#Headers],[ENERGY]],Tariff_LED_Tbl[#Headers],0))</f>
        <v>3.0621988578067763</v>
      </c>
      <c r="E15" s="771">
        <f>INDEX(Tariff_LED_Tbl[],MATCH(LED_Tariffs[[#This Row],[Lamp Type]:[Lamp Type]],Tariff_LED_Tbl[[LED]:[LED]],0),MATCH(LED_Tariffs[[#Headers],[CLER]],Tariff_LED_Tbl[#Headers],0))</f>
        <v>21.319292666158606</v>
      </c>
      <c r="F15" s="771">
        <f>INDEX(Tariff_LED_Tbl[],MATCH(LED_Tariffs[[#This Row],[Lamp Type]:[Lamp Type]],Tariff_LED_Tbl[[LED]:[LED]],0),MATCH(LED_Tariffs[[#Headers],[PLC]],Tariff_LED_Tbl[#Headers],0))</f>
        <v>62.779367974340502</v>
      </c>
      <c r="G15" s="771">
        <f>INDEX(Tariff_LED_Tbl[],MATCH(LED_Tariffs[[#This Row],[Lamp Type]:[Lamp Type]],Tariff_LED_Tbl[[LED]:[LED]],0),MATCH(LED_Tariffs[[#Headers],[TFI]],Tariff_LED_Tbl[#Headers],0))</f>
        <v>114.77516915819776</v>
      </c>
      <c r="H15" s="771">
        <f>INDEX(Tariff_LED_Tbl[],MATCH(LED_Tariffs[[#This Row],[Lamp Type]:[Lamp Type]],Tariff_LED_Tbl[[LED]:[LED]],0),MATCH(LED_Tariffs[[#Headers],[SAPN]],Tariff_LED_Tbl[#Headers],0))</f>
        <v>177.58631652521677</v>
      </c>
      <c r="J15" s="505"/>
      <c r="K15" s="558" t="s">
        <v>478</v>
      </c>
      <c r="L15" s="771">
        <v>3.0946062538521595</v>
      </c>
      <c r="M15" s="771">
        <v>21.466207950870587</v>
      </c>
      <c r="N15" s="771">
        <v>63.623285556638223</v>
      </c>
      <c r="O15" s="771">
        <v>115.95028154064688</v>
      </c>
      <c r="P15" s="771">
        <v>179.16151362462105</v>
      </c>
      <c r="R15" s="505"/>
      <c r="S15" s="558" t="s">
        <v>478</v>
      </c>
      <c r="T15" s="771">
        <v>3.1321148140898711</v>
      </c>
      <c r="U15" s="771">
        <v>21.636248789657596</v>
      </c>
      <c r="V15" s="771">
        <v>64.105398377295145</v>
      </c>
      <c r="W15" s="771">
        <v>116.81572167629382</v>
      </c>
      <c r="X15" s="771">
        <v>180.49001477526238</v>
      </c>
      <c r="Z15" s="505"/>
      <c r="AA15" s="558" t="s">
        <v>478</v>
      </c>
      <c r="AB15" s="771">
        <v>3.1663226210266635</v>
      </c>
      <c r="AC15" s="771">
        <v>22.071297586322608</v>
      </c>
      <c r="AD15" s="771">
        <v>64.927198084848825</v>
      </c>
      <c r="AE15" s="771">
        <v>117.98711589511844</v>
      </c>
      <c r="AF15" s="771">
        <v>182.08372063976179</v>
      </c>
      <c r="AH15" s="505"/>
      <c r="AI15" s="558" t="s">
        <v>478</v>
      </c>
      <c r="AJ15" s="771">
        <v>3.1969296061806358</v>
      </c>
      <c r="AK15" s="771">
        <v>22.2100509107728</v>
      </c>
      <c r="AL15" s="771">
        <v>65.477121808708191</v>
      </c>
      <c r="AM15" s="771">
        <v>118.84983470800961</v>
      </c>
      <c r="AN15" s="771">
        <v>183.32429724088843</v>
      </c>
    </row>
    <row r="16" spans="1:40" x14ac:dyDescent="0.2">
      <c r="B16" s="505"/>
      <c r="C16" s="386" t="s">
        <v>127</v>
      </c>
      <c r="D16" s="771">
        <f>INDEX(Tariff_LED_Tbl[],MATCH(LED_Tariffs[[#This Row],[Lamp Type]:[Lamp Type]],Tariff_LED_Tbl[[LED]:[LED]],0),MATCH(LED_Tariffs[[#Headers],[ENERGY]],Tariff_LED_Tbl[#Headers],0))</f>
        <v>3.0621988578067763</v>
      </c>
      <c r="E16" s="771">
        <f>INDEX(Tariff_LED_Tbl[],MATCH(LED_Tariffs[[#This Row],[Lamp Type]:[Lamp Type]],Tariff_LED_Tbl[[LED]:[LED]],0),MATCH(LED_Tariffs[[#Headers],[CLER]],Tariff_LED_Tbl[#Headers],0))</f>
        <v>16.195191723067389</v>
      </c>
      <c r="F16" s="771">
        <f>INDEX(Tariff_LED_Tbl[],MATCH(LED_Tariffs[[#This Row],[Lamp Type]:[Lamp Type]],Tariff_LED_Tbl[[LED]:[LED]],0),MATCH(LED_Tariffs[[#Headers],[PLC]],Tariff_LED_Tbl[#Headers],0))</f>
        <v>57.953050800853433</v>
      </c>
      <c r="G16" s="771">
        <f>INDEX(Tariff_LED_Tbl[],MATCH(LED_Tariffs[[#This Row],[Lamp Type]:[Lamp Type]],Tariff_LED_Tbl[[LED]:[LED]],0),MATCH(LED_Tariffs[[#Headers],[TFI]],Tariff_LED_Tbl[#Headers],0))</f>
        <v>75.049404954205727</v>
      </c>
      <c r="H16" s="771">
        <f>INDEX(Tariff_LED_Tbl[],MATCH(LED_Tariffs[[#This Row],[Lamp Type]:[Lamp Type]],Tariff_LED_Tbl[[LED]:[LED]],0),MATCH(LED_Tariffs[[#Headers],[SAPN]],Tariff_LED_Tbl[#Headers],0))</f>
        <v>92.997019266238723</v>
      </c>
      <c r="J16" s="505"/>
      <c r="K16" s="558" t="s">
        <v>127</v>
      </c>
      <c r="L16" s="771">
        <v>3.0946062538521595</v>
      </c>
      <c r="M16" s="771">
        <v>16.310403219434452</v>
      </c>
      <c r="N16" s="771">
        <v>58.767107039697336</v>
      </c>
      <c r="O16" s="771">
        <v>75.972358901484128</v>
      </c>
      <c r="P16" s="771">
        <v>94.034293147048857</v>
      </c>
      <c r="R16" s="505"/>
      <c r="S16" s="558" t="s">
        <v>127</v>
      </c>
      <c r="T16" s="771">
        <v>3.1321148140898711</v>
      </c>
      <c r="U16" s="771">
        <v>16.443749858748181</v>
      </c>
      <c r="V16" s="771">
        <v>59.214658120245666</v>
      </c>
      <c r="W16" s="771">
        <v>76.545948996424201</v>
      </c>
      <c r="X16" s="771">
        <v>94.740197979872889</v>
      </c>
      <c r="Z16" s="505"/>
      <c r="AA16" s="558" t="s">
        <v>127</v>
      </c>
      <c r="AB16" s="771">
        <v>3.1663226210266635</v>
      </c>
      <c r="AC16" s="771">
        <v>16.698556747600403</v>
      </c>
      <c r="AD16" s="771">
        <v>59.866690560385983</v>
      </c>
      <c r="AE16" s="771">
        <v>77.312929017689811</v>
      </c>
      <c r="AF16" s="771">
        <v>95.627849042088641</v>
      </c>
      <c r="AH16" s="505"/>
      <c r="AI16" s="558" t="s">
        <v>127</v>
      </c>
      <c r="AJ16" s="771">
        <v>3.1969296061806358</v>
      </c>
      <c r="AK16" s="771">
        <v>16.807367605280405</v>
      </c>
      <c r="AL16" s="771">
        <v>60.38841190431674</v>
      </c>
      <c r="AM16" s="771">
        <v>77.937498197364206</v>
      </c>
      <c r="AN16" s="771">
        <v>96.360387047876358</v>
      </c>
    </row>
    <row r="17" spans="2:41" x14ac:dyDescent="0.2">
      <c r="B17" s="505"/>
      <c r="C17" s="386" t="s">
        <v>207</v>
      </c>
      <c r="D17" s="771">
        <f>INDEX(Tariff_LED_Tbl[],MATCH(LED_Tariffs[[#This Row],[Lamp Type]:[Lamp Type]],Tariff_LED_Tbl[[LED]:[LED]],0),MATCH(LED_Tariffs[[#Headers],[ENERGY]],Tariff_LED_Tbl[#Headers],0))</f>
        <v>3.0621988578067763</v>
      </c>
      <c r="E17" s="771">
        <f>INDEX(Tariff_LED_Tbl[],MATCH(LED_Tariffs[[#This Row],[Lamp Type]:[Lamp Type]],Tariff_LED_Tbl[[LED]:[LED]],0),MATCH(LED_Tariffs[[#Headers],[CLER]],Tariff_LED_Tbl[#Headers],0))</f>
        <v>16.195191723067389</v>
      </c>
      <c r="F17" s="771">
        <f>INDEX(Tariff_LED_Tbl[],MATCH(LED_Tariffs[[#This Row],[Lamp Type]:[Lamp Type]],Tariff_LED_Tbl[[LED]:[LED]],0),MATCH(LED_Tariffs[[#Headers],[PLC]],Tariff_LED_Tbl[#Headers],0))</f>
        <v>57.953050800853433</v>
      </c>
      <c r="G17" s="771">
        <f>INDEX(Tariff_LED_Tbl[],MATCH(LED_Tariffs[[#This Row],[Lamp Type]:[Lamp Type]],Tariff_LED_Tbl[[LED]:[LED]],0),MATCH(LED_Tariffs[[#Headers],[TFI]],Tariff_LED_Tbl[#Headers],0))</f>
        <v>75.049404954205727</v>
      </c>
      <c r="H17" s="771">
        <f>INDEX(Tariff_LED_Tbl[],MATCH(LED_Tariffs[[#This Row],[Lamp Type]:[Lamp Type]],Tariff_LED_Tbl[[LED]:[LED]],0),MATCH(LED_Tariffs[[#Headers],[SAPN]],Tariff_LED_Tbl[#Headers],0))</f>
        <v>92.997019266238723</v>
      </c>
      <c r="J17" s="505"/>
      <c r="K17" s="558" t="s">
        <v>207</v>
      </c>
      <c r="L17" s="771">
        <v>3.0946062538521595</v>
      </c>
      <c r="M17" s="771">
        <v>16.310403219434452</v>
      </c>
      <c r="N17" s="771">
        <v>58.767107039697336</v>
      </c>
      <c r="O17" s="771">
        <v>75.972358901484128</v>
      </c>
      <c r="P17" s="771">
        <v>94.034293147048857</v>
      </c>
      <c r="R17" s="505"/>
      <c r="S17" s="558" t="s">
        <v>207</v>
      </c>
      <c r="T17" s="771">
        <v>3.1321148140898711</v>
      </c>
      <c r="U17" s="771">
        <v>16.443749858748181</v>
      </c>
      <c r="V17" s="771">
        <v>59.214658120245666</v>
      </c>
      <c r="W17" s="771">
        <v>76.545948996424201</v>
      </c>
      <c r="X17" s="771">
        <v>94.740197979872889</v>
      </c>
      <c r="Z17" s="505"/>
      <c r="AA17" s="558" t="s">
        <v>207</v>
      </c>
      <c r="AB17" s="771">
        <v>3.1663226210266635</v>
      </c>
      <c r="AC17" s="771">
        <v>16.698556747600403</v>
      </c>
      <c r="AD17" s="771">
        <v>59.866690560385983</v>
      </c>
      <c r="AE17" s="771">
        <v>77.312929017689811</v>
      </c>
      <c r="AF17" s="771">
        <v>95.627849042088641</v>
      </c>
      <c r="AH17" s="505"/>
      <c r="AI17" s="558" t="s">
        <v>207</v>
      </c>
      <c r="AJ17" s="771">
        <v>3.1969296061806358</v>
      </c>
      <c r="AK17" s="771">
        <v>16.807367605280405</v>
      </c>
      <c r="AL17" s="771">
        <v>60.38841190431674</v>
      </c>
      <c r="AM17" s="771">
        <v>77.937498197364206</v>
      </c>
      <c r="AN17" s="771">
        <v>96.360387047876358</v>
      </c>
    </row>
    <row r="18" spans="2:41" x14ac:dyDescent="0.2">
      <c r="B18" s="505"/>
      <c r="C18" s="386" t="s">
        <v>132</v>
      </c>
      <c r="D18" s="771">
        <f>INDEX(Tariff_LED_Tbl[],MATCH(LED_Tariffs[[#This Row],[Lamp Type]:[Lamp Type]],Tariff_LED_Tbl[[LED]:[LED]],0),MATCH(LED_Tariffs[[#Headers],[ENERGY]],Tariff_LED_Tbl[#Headers],0))</f>
        <v>3.0621988578067763</v>
      </c>
      <c r="E18" s="771">
        <f>INDEX(Tariff_LED_Tbl[],MATCH(LED_Tariffs[[#This Row],[Lamp Type]:[Lamp Type]],Tariff_LED_Tbl[[LED]:[LED]],0),MATCH(LED_Tariffs[[#Headers],[CLER]],Tariff_LED_Tbl[#Headers],0))</f>
        <v>19.543405626977677</v>
      </c>
      <c r="F18" s="771">
        <f>INDEX(Tariff_LED_Tbl[],MATCH(LED_Tariffs[[#This Row],[Lamp Type]:[Lamp Type]],Tariff_LED_Tbl[[LED]:[LED]],0),MATCH(LED_Tariffs[[#Headers],[PLC]],Tariff_LED_Tbl[#Headers],0))</f>
        <v>61.106685447090868</v>
      </c>
      <c r="G18" s="771">
        <f>INDEX(Tariff_LED_Tbl[],MATCH(LED_Tariffs[[#This Row],[Lamp Type]:[Lamp Type]],Tariff_LED_Tbl[[LED]:[LED]],0),MATCH(LED_Tariffs[[#Headers],[TFI]],Tariff_LED_Tbl[#Headers],0))</f>
        <v>101.00719882448546</v>
      </c>
      <c r="H18" s="771">
        <f>INDEX(Tariff_LED_Tbl[],MATCH(LED_Tariffs[[#This Row],[Lamp Type]:[Lamp Type]],Tariff_LED_Tbl[[LED]:[LED]],0),MATCH(LED_Tariffs[[#Headers],[SAPN]],Tariff_LED_Tbl[#Headers],0))</f>
        <v>148.26759908293167</v>
      </c>
      <c r="J18" s="505"/>
      <c r="K18" s="558" t="s">
        <v>132</v>
      </c>
      <c r="L18" s="771">
        <v>3.0946062538521595</v>
      </c>
      <c r="M18" s="771">
        <v>19.679333160386559</v>
      </c>
      <c r="N18" s="771">
        <v>61.940253824054594</v>
      </c>
      <c r="O18" s="771">
        <v>102.09491931090966</v>
      </c>
      <c r="P18" s="771">
        <v>149.65635154621347</v>
      </c>
      <c r="R18" s="505"/>
      <c r="S18" s="558" t="s">
        <v>132</v>
      </c>
      <c r="T18" s="771">
        <v>3.1321148140898711</v>
      </c>
      <c r="U18" s="771">
        <v>19.836656694424608</v>
      </c>
      <c r="V18" s="771">
        <v>62.410388397797171</v>
      </c>
      <c r="W18" s="771">
        <v>102.85921141874998</v>
      </c>
      <c r="X18" s="771">
        <v>150.76906029393527</v>
      </c>
      <c r="Z18" s="505"/>
      <c r="AA18" s="558" t="s">
        <v>132</v>
      </c>
      <c r="AB18" s="771">
        <v>3.1663226210266635</v>
      </c>
      <c r="AC18" s="771">
        <v>20.209238090162721</v>
      </c>
      <c r="AD18" s="771">
        <v>63.173350956507591</v>
      </c>
      <c r="AE18" s="771">
        <v>103.89044564855753</v>
      </c>
      <c r="AF18" s="771">
        <v>152.11805049931465</v>
      </c>
      <c r="AH18" s="505"/>
      <c r="AI18" s="558" t="s">
        <v>132</v>
      </c>
      <c r="AJ18" s="771">
        <v>3.1969296061806358</v>
      </c>
      <c r="AK18" s="771">
        <v>20.337614093937763</v>
      </c>
      <c r="AL18" s="771">
        <v>63.713500430884849</v>
      </c>
      <c r="AM18" s="771">
        <v>104.67062767075853</v>
      </c>
      <c r="AN18" s="771">
        <v>153.18254049965904</v>
      </c>
    </row>
    <row r="19" spans="2:41" x14ac:dyDescent="0.2">
      <c r="B19" s="505"/>
      <c r="C19" s="83" t="s">
        <v>138</v>
      </c>
      <c r="D19" s="771">
        <f>INDEX(Tariff_LED_Tbl[],MATCH(LED_Tariffs[[#This Row],[Lamp Type]:[Lamp Type]],Tariff_LED_Tbl[[LED]:[LED]],0),MATCH(LED_Tariffs[[#Headers],[ENERGY]],Tariff_LED_Tbl[#Headers],0))</f>
        <v>3.0621988578067763</v>
      </c>
      <c r="E19" s="771">
        <f>INDEX(Tariff_LED_Tbl[],MATCH(LED_Tariffs[[#This Row],[Lamp Type]:[Lamp Type]],Tariff_LED_Tbl[[LED]:[LED]],0),MATCH(LED_Tariffs[[#Headers],[CLER]],Tariff_LED_Tbl[#Headers],0))</f>
        <v>16.195191723067389</v>
      </c>
      <c r="F19" s="771">
        <f>INDEX(Tariff_LED_Tbl[],MATCH(LED_Tariffs[[#This Row],[Lamp Type]:[Lamp Type]],Tariff_LED_Tbl[[LED]:[LED]],0),MATCH(LED_Tariffs[[#Headers],[PLC]],Tariff_LED_Tbl[#Headers],0))</f>
        <v>57.953050800853433</v>
      </c>
      <c r="G19" s="771">
        <f>INDEX(Tariff_LED_Tbl[],MATCH(LED_Tariffs[[#This Row],[Lamp Type]:[Lamp Type]],Tariff_LED_Tbl[[LED]:[LED]],0),MATCH(LED_Tariffs[[#Headers],[TFI]],Tariff_LED_Tbl[#Headers],0))</f>
        <v>75.049404954205727</v>
      </c>
      <c r="H19" s="771">
        <f>INDEX(Tariff_LED_Tbl[],MATCH(LED_Tariffs[[#This Row],[Lamp Type]:[Lamp Type]],Tariff_LED_Tbl[[LED]:[LED]],0),MATCH(LED_Tariffs[[#Headers],[SAPN]],Tariff_LED_Tbl[#Headers],0))</f>
        <v>92.997019266238723</v>
      </c>
      <c r="J19" s="505"/>
      <c r="K19" s="83" t="s">
        <v>138</v>
      </c>
      <c r="L19" s="771">
        <v>3.0946062538521595</v>
      </c>
      <c r="M19" s="771">
        <v>16.310403219434452</v>
      </c>
      <c r="N19" s="771">
        <v>58.767107039697336</v>
      </c>
      <c r="O19" s="771">
        <v>75.972358901484128</v>
      </c>
      <c r="P19" s="771">
        <v>94.034293147048857</v>
      </c>
      <c r="R19" s="505"/>
      <c r="S19" s="83" t="s">
        <v>138</v>
      </c>
      <c r="T19" s="771">
        <v>3.1321148140898711</v>
      </c>
      <c r="U19" s="771">
        <v>16.443749858748181</v>
      </c>
      <c r="V19" s="771">
        <v>59.214658120245666</v>
      </c>
      <c r="W19" s="771">
        <v>76.545948996424201</v>
      </c>
      <c r="X19" s="771">
        <v>94.740197979872889</v>
      </c>
      <c r="Z19" s="505"/>
      <c r="AA19" s="83" t="s">
        <v>138</v>
      </c>
      <c r="AB19" s="771">
        <v>3.1663226210266635</v>
      </c>
      <c r="AC19" s="771">
        <v>16.698556747600403</v>
      </c>
      <c r="AD19" s="771">
        <v>59.866690560385983</v>
      </c>
      <c r="AE19" s="771">
        <v>77.312929017689811</v>
      </c>
      <c r="AF19" s="771">
        <v>95.627849042088641</v>
      </c>
      <c r="AH19" s="505"/>
      <c r="AI19" s="83" t="s">
        <v>138</v>
      </c>
      <c r="AJ19" s="771">
        <v>3.1969296061806358</v>
      </c>
      <c r="AK19" s="771">
        <v>16.807367605280405</v>
      </c>
      <c r="AL19" s="771">
        <v>60.38841190431674</v>
      </c>
      <c r="AM19" s="771">
        <v>77.937498197364206</v>
      </c>
      <c r="AN19" s="771">
        <v>96.360387047876358</v>
      </c>
    </row>
    <row r="20" spans="2:41" x14ac:dyDescent="0.2">
      <c r="B20" s="505"/>
      <c r="C20" s="83" t="s">
        <v>139</v>
      </c>
      <c r="D20" s="771">
        <f>INDEX(Tariff_LED_Tbl[],MATCH(LED_Tariffs[[#This Row],[Lamp Type]:[Lamp Type]],Tariff_LED_Tbl[[LED]:[LED]],0),MATCH(LED_Tariffs[[#Headers],[ENERGY]],Tariff_LED_Tbl[#Headers],0))</f>
        <v>3.0621988578067763</v>
      </c>
      <c r="E20" s="771">
        <f>INDEX(Tariff_LED_Tbl[],MATCH(LED_Tariffs[[#This Row],[Lamp Type]:[Lamp Type]],Tariff_LED_Tbl[[LED]:[LED]],0),MATCH(LED_Tariffs[[#Headers],[CLER]],Tariff_LED_Tbl[#Headers],0))</f>
        <v>16.195191723067389</v>
      </c>
      <c r="F20" s="771">
        <f>INDEX(Tariff_LED_Tbl[],MATCH(LED_Tariffs[[#This Row],[Lamp Type]:[Lamp Type]],Tariff_LED_Tbl[[LED]:[LED]],0),MATCH(LED_Tariffs[[#Headers],[PLC]],Tariff_LED_Tbl[#Headers],0))</f>
        <v>57.953050800853433</v>
      </c>
      <c r="G20" s="771">
        <f>INDEX(Tariff_LED_Tbl[],MATCH(LED_Tariffs[[#This Row],[Lamp Type]:[Lamp Type]],Tariff_LED_Tbl[[LED]:[LED]],0),MATCH(LED_Tariffs[[#Headers],[TFI]],Tariff_LED_Tbl[#Headers],0))</f>
        <v>75.049404954205727</v>
      </c>
      <c r="H20" s="771">
        <f>INDEX(Tariff_LED_Tbl[],MATCH(LED_Tariffs[[#This Row],[Lamp Type]:[Lamp Type]],Tariff_LED_Tbl[[LED]:[LED]],0),MATCH(LED_Tariffs[[#Headers],[SAPN]],Tariff_LED_Tbl[#Headers],0))</f>
        <v>92.997019266238723</v>
      </c>
      <c r="J20" s="505"/>
      <c r="K20" s="83" t="s">
        <v>139</v>
      </c>
      <c r="L20" s="771">
        <v>3.0946062538521595</v>
      </c>
      <c r="M20" s="771">
        <v>16.310403219434452</v>
      </c>
      <c r="N20" s="771">
        <v>58.767107039697336</v>
      </c>
      <c r="O20" s="771">
        <v>75.972358901484128</v>
      </c>
      <c r="P20" s="771">
        <v>94.034293147048857</v>
      </c>
      <c r="R20" s="505"/>
      <c r="S20" s="83" t="s">
        <v>139</v>
      </c>
      <c r="T20" s="771">
        <v>3.1321148140898711</v>
      </c>
      <c r="U20" s="771">
        <v>16.443749858748181</v>
      </c>
      <c r="V20" s="771">
        <v>59.214658120245666</v>
      </c>
      <c r="W20" s="771">
        <v>76.545948996424201</v>
      </c>
      <c r="X20" s="771">
        <v>94.740197979872889</v>
      </c>
      <c r="Z20" s="505"/>
      <c r="AA20" s="83" t="s">
        <v>139</v>
      </c>
      <c r="AB20" s="771">
        <v>3.1663226210266635</v>
      </c>
      <c r="AC20" s="771">
        <v>16.698556747600403</v>
      </c>
      <c r="AD20" s="771">
        <v>59.866690560385983</v>
      </c>
      <c r="AE20" s="771">
        <v>77.312929017689811</v>
      </c>
      <c r="AF20" s="771">
        <v>95.627849042088641</v>
      </c>
      <c r="AH20" s="505"/>
      <c r="AI20" s="83" t="s">
        <v>139</v>
      </c>
      <c r="AJ20" s="771">
        <v>3.1969296061806358</v>
      </c>
      <c r="AK20" s="771">
        <v>16.807367605280405</v>
      </c>
      <c r="AL20" s="771">
        <v>60.38841190431674</v>
      </c>
      <c r="AM20" s="771">
        <v>77.937498197364206</v>
      </c>
      <c r="AN20" s="771">
        <v>96.360387047876358</v>
      </c>
    </row>
    <row r="21" spans="2:41" x14ac:dyDescent="0.2">
      <c r="B21" s="505"/>
      <c r="C21" s="83" t="s">
        <v>144</v>
      </c>
      <c r="D21" s="771">
        <f>INDEX(Tariff_LED_Tbl[],MATCH(LED_Tariffs[[#This Row],[Lamp Type]:[Lamp Type]],Tariff_LED_Tbl[[LED]:[LED]],0),MATCH(LED_Tariffs[[#Headers],[ENERGY]],Tariff_LED_Tbl[#Headers],0))</f>
        <v>3.0621988578067763</v>
      </c>
      <c r="E21" s="771">
        <f>INDEX(Tariff_LED_Tbl[],MATCH(LED_Tariffs[[#This Row],[Lamp Type]:[Lamp Type]],Tariff_LED_Tbl[[LED]:[LED]],0),MATCH(LED_Tariffs[[#Headers],[CLER]],Tariff_LED_Tbl[#Headers],0))</f>
        <v>19.543405626977677</v>
      </c>
      <c r="F21" s="771">
        <f>INDEX(Tariff_LED_Tbl[],MATCH(LED_Tariffs[[#This Row],[Lamp Type]:[Lamp Type]],Tariff_LED_Tbl[[LED]:[LED]],0),MATCH(LED_Tariffs[[#Headers],[PLC]],Tariff_LED_Tbl[#Headers],0))</f>
        <v>61.106685447090868</v>
      </c>
      <c r="G21" s="771">
        <f>INDEX(Tariff_LED_Tbl[],MATCH(LED_Tariffs[[#This Row],[Lamp Type]:[Lamp Type]],Tariff_LED_Tbl[[LED]:[LED]],0),MATCH(LED_Tariffs[[#Headers],[TFI]],Tariff_LED_Tbl[#Headers],0))</f>
        <v>101.00719882448546</v>
      </c>
      <c r="H21" s="771">
        <f>INDEX(Tariff_LED_Tbl[],MATCH(LED_Tariffs[[#This Row],[Lamp Type]:[Lamp Type]],Tariff_LED_Tbl[[LED]:[LED]],0),MATCH(LED_Tariffs[[#Headers],[SAPN]],Tariff_LED_Tbl[#Headers],0))</f>
        <v>148.26759908293167</v>
      </c>
      <c r="J21" s="505"/>
      <c r="K21" s="83" t="s">
        <v>144</v>
      </c>
      <c r="L21" s="771">
        <v>3.0946062538521595</v>
      </c>
      <c r="M21" s="771">
        <v>19.679333160386559</v>
      </c>
      <c r="N21" s="771">
        <v>61.940253824054594</v>
      </c>
      <c r="O21" s="771">
        <v>102.09491931090966</v>
      </c>
      <c r="P21" s="771">
        <v>149.65635154621347</v>
      </c>
      <c r="R21" s="505"/>
      <c r="S21" s="83" t="s">
        <v>144</v>
      </c>
      <c r="T21" s="771">
        <v>3.1321148140898711</v>
      </c>
      <c r="U21" s="771">
        <v>19.836656694424608</v>
      </c>
      <c r="V21" s="771">
        <v>62.410388397797171</v>
      </c>
      <c r="W21" s="771">
        <v>102.85921141874998</v>
      </c>
      <c r="X21" s="771">
        <v>150.76906029393527</v>
      </c>
      <c r="Z21" s="505"/>
      <c r="AA21" s="83" t="s">
        <v>144</v>
      </c>
      <c r="AB21" s="771">
        <v>3.1663226210266635</v>
      </c>
      <c r="AC21" s="771">
        <v>20.209238090162721</v>
      </c>
      <c r="AD21" s="771">
        <v>63.173350956507591</v>
      </c>
      <c r="AE21" s="771">
        <v>103.89044564855753</v>
      </c>
      <c r="AF21" s="771">
        <v>152.11805049931465</v>
      </c>
      <c r="AH21" s="505"/>
      <c r="AI21" s="83" t="s">
        <v>144</v>
      </c>
      <c r="AJ21" s="771">
        <v>3.1969296061806358</v>
      </c>
      <c r="AK21" s="771">
        <v>20.337614093937763</v>
      </c>
      <c r="AL21" s="771">
        <v>63.713500430884849</v>
      </c>
      <c r="AM21" s="771">
        <v>104.67062767075853</v>
      </c>
      <c r="AN21" s="771">
        <v>153.18254049965904</v>
      </c>
    </row>
    <row r="22" spans="2:41" x14ac:dyDescent="0.2">
      <c r="B22" s="505"/>
      <c r="C22" s="83" t="s">
        <v>147</v>
      </c>
      <c r="D22" s="771">
        <f>INDEX(Tariff_LED_Tbl[],MATCH(LED_Tariffs[[#This Row],[Lamp Type]:[Lamp Type]],Tariff_LED_Tbl[[LED]:[LED]],0),MATCH(LED_Tariffs[[#Headers],[ENERGY]],Tariff_LED_Tbl[#Headers],0))</f>
        <v>3.0621988578067763</v>
      </c>
      <c r="E22" s="771">
        <f>INDEX(Tariff_LED_Tbl[],MATCH(LED_Tariffs[[#This Row],[Lamp Type]:[Lamp Type]],Tariff_LED_Tbl[[LED]:[LED]],0),MATCH(LED_Tariffs[[#Headers],[CLER]],Tariff_LED_Tbl[#Headers],0))</f>
        <v>19.543405626977677</v>
      </c>
      <c r="F22" s="771">
        <f>INDEX(Tariff_LED_Tbl[],MATCH(LED_Tariffs[[#This Row],[Lamp Type]:[Lamp Type]],Tariff_LED_Tbl[[LED]:[LED]],0),MATCH(LED_Tariffs[[#Headers],[PLC]],Tariff_LED_Tbl[#Headers],0))</f>
        <v>61.106685447090868</v>
      </c>
      <c r="G22" s="771">
        <f>INDEX(Tariff_LED_Tbl[],MATCH(LED_Tariffs[[#This Row],[Lamp Type]:[Lamp Type]],Tariff_LED_Tbl[[LED]:[LED]],0),MATCH(LED_Tariffs[[#Headers],[TFI]],Tariff_LED_Tbl[#Headers],0))</f>
        <v>101.00719882448546</v>
      </c>
      <c r="H22" s="771">
        <f>INDEX(Tariff_LED_Tbl[],MATCH(LED_Tariffs[[#This Row],[Lamp Type]:[Lamp Type]],Tariff_LED_Tbl[[LED]:[LED]],0),MATCH(LED_Tariffs[[#Headers],[SAPN]],Tariff_LED_Tbl[#Headers],0))</f>
        <v>148.26759908293167</v>
      </c>
      <c r="J22" s="505"/>
      <c r="K22" s="83" t="s">
        <v>147</v>
      </c>
      <c r="L22" s="771">
        <v>3.0946062538521595</v>
      </c>
      <c r="M22" s="771">
        <v>19.679333160386559</v>
      </c>
      <c r="N22" s="771">
        <v>61.940253824054594</v>
      </c>
      <c r="O22" s="771">
        <v>102.09491931090966</v>
      </c>
      <c r="P22" s="771">
        <v>149.65635154621347</v>
      </c>
      <c r="R22" s="505"/>
      <c r="S22" s="83" t="s">
        <v>147</v>
      </c>
      <c r="T22" s="771">
        <v>3.1321148140898711</v>
      </c>
      <c r="U22" s="771">
        <v>19.836656694424608</v>
      </c>
      <c r="V22" s="771">
        <v>62.410388397797171</v>
      </c>
      <c r="W22" s="771">
        <v>102.85921141874998</v>
      </c>
      <c r="X22" s="771">
        <v>150.76906029393527</v>
      </c>
      <c r="Z22" s="505"/>
      <c r="AA22" s="83" t="s">
        <v>147</v>
      </c>
      <c r="AB22" s="771">
        <v>3.1663226210266635</v>
      </c>
      <c r="AC22" s="771">
        <v>20.209238090162721</v>
      </c>
      <c r="AD22" s="771">
        <v>63.173350956507591</v>
      </c>
      <c r="AE22" s="771">
        <v>103.89044564855753</v>
      </c>
      <c r="AF22" s="771">
        <v>152.11805049931465</v>
      </c>
      <c r="AH22" s="505"/>
      <c r="AI22" s="83" t="s">
        <v>147</v>
      </c>
      <c r="AJ22" s="771">
        <v>3.1969296061806358</v>
      </c>
      <c r="AK22" s="771">
        <v>20.337614093937763</v>
      </c>
      <c r="AL22" s="771">
        <v>63.713500430884849</v>
      </c>
      <c r="AM22" s="771">
        <v>104.67062767075853</v>
      </c>
      <c r="AN22" s="771">
        <v>153.18254049965904</v>
      </c>
    </row>
    <row r="23" spans="2:41" x14ac:dyDescent="0.2">
      <c r="B23" s="505"/>
      <c r="C23" s="83" t="s">
        <v>1013</v>
      </c>
      <c r="D23" s="771">
        <f>INDEX(Tariff_LED_Tbl[],MATCH(LED_Tariffs[[#This Row],[Lamp Type]:[Lamp Type]],Tariff_LED_Tbl[[LED]:[LED]],0),MATCH(LED_Tariffs[[#Headers],[ENERGY]],Tariff_LED_Tbl[#Headers],0))</f>
        <v>3.0621988578067763</v>
      </c>
      <c r="E23" s="771">
        <f>INDEX(Tariff_LED_Tbl[],MATCH(LED_Tariffs[[#This Row],[Lamp Type]:[Lamp Type]],Tariff_LED_Tbl[[LED]:[LED]],0),MATCH(LED_Tariffs[[#Headers],[CLER]],Tariff_LED_Tbl[#Headers],0))</f>
        <v>16.195191723067389</v>
      </c>
      <c r="F23" s="771">
        <f>INDEX(Tariff_LED_Tbl[],MATCH(LED_Tariffs[[#This Row],[Lamp Type]:[Lamp Type]],Tariff_LED_Tbl[[LED]:[LED]],0),MATCH(LED_Tariffs[[#Headers],[PLC]],Tariff_LED_Tbl[#Headers],0))</f>
        <v>57.953050800853433</v>
      </c>
      <c r="G23" s="771">
        <f>INDEX(Tariff_LED_Tbl[],MATCH(LED_Tariffs[[#This Row],[Lamp Type]:[Lamp Type]],Tariff_LED_Tbl[[LED]:[LED]],0),MATCH(LED_Tariffs[[#Headers],[TFI]],Tariff_LED_Tbl[#Headers],0))</f>
        <v>77.379083774484883</v>
      </c>
      <c r="H23" s="771">
        <f>INDEX(Tariff_LED_Tbl[],MATCH(LED_Tariffs[[#This Row],[Lamp Type]:[Lamp Type]],Tariff_LED_Tbl[[LED]:[LED]],0),MATCH(LED_Tariffs[[#Headers],[SAPN]],Tariff_LED_Tbl[#Headers],0))</f>
        <v>96.717367352252765</v>
      </c>
      <c r="J23" s="505"/>
      <c r="K23" s="83" t="s">
        <v>1013</v>
      </c>
      <c r="L23" s="771">
        <v>3.0946062538521595</v>
      </c>
      <c r="M23" s="771">
        <v>16.310403219434452</v>
      </c>
      <c r="N23" s="771">
        <v>58.767107039697336</v>
      </c>
      <c r="O23" s="771">
        <v>78.31687694904187</v>
      </c>
      <c r="P23" s="771">
        <v>97.778338530013556</v>
      </c>
      <c r="R23" s="505"/>
      <c r="S23" s="83" t="s">
        <v>1013</v>
      </c>
      <c r="T23" s="771">
        <v>3.1321148140898711</v>
      </c>
      <c r="U23" s="771">
        <v>16.443749858748181</v>
      </c>
      <c r="V23" s="771">
        <v>59.214658120245666</v>
      </c>
      <c r="W23" s="771">
        <v>78.907642075554378</v>
      </c>
      <c r="X23" s="771">
        <v>98.5116707898638</v>
      </c>
      <c r="Z23" s="505"/>
      <c r="AA23" s="83" t="s">
        <v>1013</v>
      </c>
      <c r="AB23" s="771">
        <v>3.1663226210266635</v>
      </c>
      <c r="AC23" s="771">
        <v>16.698556747600403</v>
      </c>
      <c r="AD23" s="771">
        <v>59.866690560385983</v>
      </c>
      <c r="AE23" s="771">
        <v>79.690285725614061</v>
      </c>
      <c r="AF23" s="771">
        <v>99.424335665527494</v>
      </c>
      <c r="AH23" s="505"/>
      <c r="AI23" s="83" t="s">
        <v>1013</v>
      </c>
      <c r="AJ23" s="771">
        <v>3.1969296061806358</v>
      </c>
      <c r="AK23" s="771">
        <v>16.807367605280405</v>
      </c>
      <c r="AL23" s="771">
        <v>60.38841190431674</v>
      </c>
      <c r="AM23" s="771">
        <v>80.32886973105154</v>
      </c>
      <c r="AN23" s="771">
        <v>100.17925445176859</v>
      </c>
    </row>
    <row r="24" spans="2:41" s="558" customFormat="1" x14ac:dyDescent="0.2">
      <c r="B24" s="584"/>
      <c r="C24" s="83" t="s">
        <v>1159</v>
      </c>
      <c r="D24" s="771">
        <f>INDEX(Tariff_LED_Tbl[],MATCH(LED_Tariffs[[#This Row],[Lamp Type]:[Lamp Type]],Tariff_LED_Tbl[[LED]:[LED]],0),MATCH(LED_Tariffs[[#Headers],[ENERGY]],Tariff_LED_Tbl[#Headers],0))</f>
        <v>3.0621988578067763</v>
      </c>
      <c r="E24" s="771">
        <f>INDEX(Tariff_LED_Tbl[],MATCH(LED_Tariffs[[#This Row],[Lamp Type]:[Lamp Type]],Tariff_LED_Tbl[[LED]:[LED]],0),MATCH(LED_Tariffs[[#Headers],[CLER]],Tariff_LED_Tbl[#Headers],0))</f>
        <v>19.894371444997621</v>
      </c>
      <c r="F24" s="771">
        <f>INDEX(Tariff_LED_Tbl[],MATCH(LED_Tariffs[[#This Row],[Lamp Type]:[Lamp Type]],Tariff_LED_Tbl[[LED]:[LED]],0),MATCH(LED_Tariffs[[#Headers],[PLC]],Tariff_LED_Tbl[#Headers],0))</f>
        <v>61.437255116507792</v>
      </c>
      <c r="G24" s="771">
        <f>INDEX(Tariff_LED_Tbl[],MATCH(LED_Tariffs[[#This Row],[Lamp Type]:[Lamp Type]],Tariff_LED_Tbl[[LED]:[LED]],0),MATCH(LED_Tariffs[[#Headers],[TFI]],Tariff_LED_Tbl[#Headers],0))</f>
        <v>103.72814157818355</v>
      </c>
      <c r="H24" s="771">
        <f>INDEX(Tariff_LED_Tbl[],MATCH(LED_Tariffs[[#This Row],[Lamp Type]:[Lamp Type]],Tariff_LED_Tbl[[LED]:[LED]],0),MATCH(LED_Tariffs[[#Headers],[SAPN]],Tariff_LED_Tbl[#Headers],0))</f>
        <v>154.06109367175426</v>
      </c>
      <c r="I24" s="386"/>
      <c r="J24" s="584"/>
      <c r="K24" s="83" t="s">
        <v>1159</v>
      </c>
      <c r="L24" s="771">
        <v>3.0946062538521595</v>
      </c>
      <c r="M24" s="771">
        <v>20.032470470758895</v>
      </c>
      <c r="N24" s="771">
        <v>62.27286879096836</v>
      </c>
      <c r="O24" s="771">
        <v>104.83313319030438</v>
      </c>
      <c r="P24" s="771">
        <v>155.48668832546909</v>
      </c>
      <c r="Q24" s="386"/>
      <c r="R24" s="584"/>
      <c r="S24" s="83" t="s">
        <v>1159</v>
      </c>
      <c r="T24" s="771">
        <v>3.1321148140898711</v>
      </c>
      <c r="U24" s="771">
        <v>20.192307306130733</v>
      </c>
      <c r="V24" s="771">
        <v>62.745370607184121</v>
      </c>
      <c r="W24" s="771">
        <v>105.61741502696022</v>
      </c>
      <c r="X24" s="771">
        <v>156.64203849730316</v>
      </c>
      <c r="Y24" s="386"/>
      <c r="Z24" s="584"/>
      <c r="AA24" s="83" t="s">
        <v>1159</v>
      </c>
      <c r="AB24" s="771">
        <v>3.1663226210266635</v>
      </c>
      <c r="AC24" s="771">
        <v>20.577234038020407</v>
      </c>
      <c r="AD24" s="771">
        <v>63.51996106092286</v>
      </c>
      <c r="AE24" s="771">
        <v>106.67634885934034</v>
      </c>
      <c r="AF24" s="771">
        <v>158.0393866513657</v>
      </c>
      <c r="AG24" s="386"/>
      <c r="AH24" s="584"/>
      <c r="AI24" s="83" t="s">
        <v>1159</v>
      </c>
      <c r="AJ24" s="771">
        <v>3.1969296061806358</v>
      </c>
      <c r="AK24" s="771">
        <v>20.707660895683819</v>
      </c>
      <c r="AL24" s="771">
        <v>64.062042205158235</v>
      </c>
      <c r="AM24" s="771">
        <v>107.4728425002548</v>
      </c>
      <c r="AN24" s="771">
        <v>159.13867205378568</v>
      </c>
      <c r="AO24" s="386"/>
    </row>
    <row r="25" spans="2:41" x14ac:dyDescent="0.2">
      <c r="B25" s="584"/>
      <c r="C25" s="83"/>
      <c r="D25" s="771"/>
      <c r="E25" s="771"/>
      <c r="F25" s="771"/>
      <c r="G25" s="771"/>
      <c r="H25" s="771"/>
      <c r="J25" s="584"/>
      <c r="K25" s="83"/>
      <c r="L25" s="771"/>
      <c r="M25" s="771"/>
      <c r="N25" s="771"/>
      <c r="O25" s="771"/>
      <c r="P25" s="771"/>
      <c r="R25" s="584"/>
      <c r="S25" s="83"/>
      <c r="T25" s="771"/>
      <c r="U25" s="771"/>
      <c r="V25" s="771"/>
      <c r="W25" s="771"/>
      <c r="X25" s="771"/>
      <c r="Z25" s="584"/>
      <c r="AA25" s="83"/>
      <c r="AB25" s="771"/>
      <c r="AC25" s="771"/>
      <c r="AD25" s="771"/>
      <c r="AE25" s="771"/>
      <c r="AF25" s="771"/>
      <c r="AH25" s="584"/>
      <c r="AI25" s="83"/>
      <c r="AJ25" s="771"/>
      <c r="AK25" s="771"/>
      <c r="AL25" s="771"/>
      <c r="AM25" s="771"/>
      <c r="AN25" s="771"/>
    </row>
    <row r="26" spans="2:41" x14ac:dyDescent="0.2">
      <c r="B26" s="505" t="s">
        <v>188</v>
      </c>
      <c r="C26" s="83"/>
      <c r="D26" s="771"/>
      <c r="E26" s="771"/>
      <c r="F26" s="771"/>
      <c r="G26" s="771"/>
      <c r="H26" s="771"/>
      <c r="J26" s="505" t="s">
        <v>188</v>
      </c>
      <c r="K26" s="83"/>
      <c r="L26" s="771"/>
      <c r="M26" s="771"/>
      <c r="N26" s="771"/>
      <c r="O26" s="771"/>
      <c r="P26" s="771"/>
      <c r="R26" s="505" t="s">
        <v>188</v>
      </c>
      <c r="S26" s="83"/>
      <c r="T26" s="771"/>
      <c r="U26" s="771"/>
      <c r="V26" s="771"/>
      <c r="W26" s="771"/>
      <c r="X26" s="771"/>
      <c r="Z26" s="505" t="s">
        <v>188</v>
      </c>
      <c r="AA26" s="83"/>
      <c r="AB26" s="771"/>
      <c r="AC26" s="771"/>
      <c r="AD26" s="771"/>
      <c r="AE26" s="771"/>
      <c r="AF26" s="771"/>
      <c r="AH26" s="505" t="s">
        <v>188</v>
      </c>
      <c r="AI26" s="83"/>
      <c r="AJ26" s="771"/>
      <c r="AK26" s="771"/>
      <c r="AL26" s="771"/>
      <c r="AM26" s="771"/>
      <c r="AN26" s="771"/>
    </row>
    <row r="27" spans="2:41" x14ac:dyDescent="0.2">
      <c r="B27" s="505"/>
      <c r="C27" s="386" t="s">
        <v>94</v>
      </c>
      <c r="D27" s="771">
        <f>INDEX(Tariff_LED_Tbl[],MATCH(LED_Tariffs[[#This Row],[Lamp Type]:[Lamp Type]],Tariff_LED_Tbl[[LED]:[LED]],0),MATCH(LED_Tariffs[[#Headers],[ENERGY]],Tariff_LED_Tbl[#Headers],0))</f>
        <v>3.0621988578067763</v>
      </c>
      <c r="E27" s="771">
        <f>INDEX(Tariff_LED_Tbl[],MATCH(LED_Tariffs[[#This Row],[Lamp Type]:[Lamp Type]],Tariff_LED_Tbl[[LED]:[LED]],0),MATCH(LED_Tariffs[[#Headers],[CLER]],Tariff_LED_Tbl[#Headers],0))</f>
        <v>18.139542354897891</v>
      </c>
      <c r="F27" s="771">
        <f>INDEX(Tariff_LED_Tbl[],MATCH(LED_Tariffs[[#This Row],[Lamp Type]:[Lamp Type]],Tariff_LED_Tbl[[LED]:[LED]],0),MATCH(LED_Tariffs[[#Headers],[PLC]],Tariff_LED_Tbl[#Headers],0))</f>
        <v>59.784406769423185</v>
      </c>
      <c r="G27" s="771">
        <f>INDEX(Tariff_LED_Tbl[],MATCH(LED_Tariffs[[#This Row],[Lamp Type]:[Lamp Type]],Tariff_LED_Tbl[[LED]:[LED]],0),MATCH(LED_Tariffs[[#Headers],[TFI]],Tariff_LED_Tbl[#Headers],0))</f>
        <v>93.55663870273608</v>
      </c>
      <c r="H27" s="771">
        <f>INDEX(Tariff_LED_Tbl[],MATCH(LED_Tariffs[[#This Row],[Lamp Type]:[Lamp Type]],Tariff_LED_Tbl[[LED]:[LED]],0),MATCH(LED_Tariffs[[#Headers],[SAPN]],Tariff_LED_Tbl[#Headers],0))</f>
        <v>130.58861761330564</v>
      </c>
      <c r="J27" s="505"/>
      <c r="K27" s="558" t="s">
        <v>94</v>
      </c>
      <c r="L27" s="771">
        <v>3.0946062538521595</v>
      </c>
      <c r="M27" s="771">
        <v>18.2667839188972</v>
      </c>
      <c r="N27" s="771">
        <v>60.609793956399557</v>
      </c>
      <c r="O27" s="771">
        <v>94.597143021310643</v>
      </c>
      <c r="P27" s="771">
        <v>131.8650024948343</v>
      </c>
      <c r="R27" s="505"/>
      <c r="S27" s="558" t="s">
        <v>94</v>
      </c>
      <c r="T27" s="771">
        <v>3.1321148140898711</v>
      </c>
      <c r="U27" s="771">
        <v>18.414054247600106</v>
      </c>
      <c r="V27" s="771">
        <v>61.070459560249368</v>
      </c>
      <c r="W27" s="771">
        <v>95.306786786732388</v>
      </c>
      <c r="X27" s="771">
        <v>132.84765617108249</v>
      </c>
      <c r="Z27" s="505"/>
      <c r="AA27" s="558" t="s">
        <v>94</v>
      </c>
      <c r="AB27" s="771">
        <v>3.1663226210266635</v>
      </c>
      <c r="AC27" s="771">
        <v>18.737254298731976</v>
      </c>
      <c r="AD27" s="771">
        <v>61.786910538846534</v>
      </c>
      <c r="AE27" s="771">
        <v>96.250305848683169</v>
      </c>
      <c r="AF27" s="771">
        <v>134.04016027170704</v>
      </c>
      <c r="AH27" s="505"/>
      <c r="AI27" s="558" t="s">
        <v>94</v>
      </c>
      <c r="AJ27" s="771">
        <v>3.1969296061806358</v>
      </c>
      <c r="AK27" s="771">
        <v>18.857426886953547</v>
      </c>
      <c r="AL27" s="771">
        <v>62.319333333791306</v>
      </c>
      <c r="AM27" s="771">
        <v>96.985894823470616</v>
      </c>
      <c r="AN27" s="771">
        <v>134.99852533372888</v>
      </c>
    </row>
    <row r="28" spans="2:41" x14ac:dyDescent="0.2">
      <c r="B28" s="505"/>
      <c r="C28" s="386" t="s">
        <v>101</v>
      </c>
      <c r="D28" s="771">
        <f>INDEX(Tariff_LED_Tbl[],MATCH(LED_Tariffs[[#This Row],[Lamp Type]:[Lamp Type]],Tariff_LED_Tbl[[LED]:[LED]],0),MATCH(LED_Tariffs[[#Headers],[ENERGY]],Tariff_LED_Tbl[#Headers],0))</f>
        <v>3.0621988578067763</v>
      </c>
      <c r="E28" s="771">
        <f>INDEX(Tariff_LED_Tbl[],MATCH(LED_Tariffs[[#This Row],[Lamp Type]:[Lamp Type]],Tariff_LED_Tbl[[LED]:[LED]],0),MATCH(LED_Tariffs[[#Headers],[CLER]],Tariff_LED_Tbl[#Headers],0))</f>
        <v>21.466698309726979</v>
      </c>
      <c r="F28" s="771">
        <f>INDEX(Tariff_LED_Tbl[],MATCH(LED_Tariffs[[#This Row],[Lamp Type]:[Lamp Type]],Tariff_LED_Tbl[[LED]:[LED]],0),MATCH(LED_Tariffs[[#Headers],[PLC]],Tariff_LED_Tbl[#Headers],0))</f>
        <v>62.918207235495601</v>
      </c>
      <c r="G28" s="771">
        <f>INDEX(Tariff_LED_Tbl[],MATCH(LED_Tariffs[[#This Row],[Lamp Type]:[Lamp Type]],Tariff_LED_Tbl[[LED]:[LED]],0),MATCH(LED_Tariffs[[#Headers],[TFI]],Tariff_LED_Tbl[#Headers],0))</f>
        <v>119.35117600779392</v>
      </c>
      <c r="H28" s="771">
        <f>INDEX(Tariff_LED_Tbl[],MATCH(LED_Tariffs[[#This Row],[Lamp Type]:[Lamp Type]],Tariff_LED_Tbl[[LED]:[LED]],0),MATCH(LED_Tariffs[[#Headers],[SAPN]],Tariff_LED_Tbl[#Headers],0))</f>
        <v>185.51864358724617</v>
      </c>
      <c r="J28" s="505"/>
      <c r="K28" s="558" t="s">
        <v>101</v>
      </c>
      <c r="L28" s="771">
        <v>3.0946062538521595</v>
      </c>
      <c r="M28" s="771">
        <v>21.614525621226967</v>
      </c>
      <c r="N28" s="771">
        <v>63.762983842742003</v>
      </c>
      <c r="O28" s="771">
        <v>120.5554105979725</v>
      </c>
      <c r="P28" s="771">
        <v>187.14434146296989</v>
      </c>
      <c r="R28" s="505"/>
      <c r="S28" s="558" t="s">
        <v>101</v>
      </c>
      <c r="T28" s="771">
        <v>3.1321148140898711</v>
      </c>
      <c r="U28" s="771">
        <v>21.785622046574172</v>
      </c>
      <c r="V28" s="771">
        <v>64.246090905237665</v>
      </c>
      <c r="W28" s="771">
        <v>121.45455699256554</v>
      </c>
      <c r="X28" s="771">
        <v>188.53129258620316</v>
      </c>
      <c r="Z28" s="505"/>
      <c r="AA28" s="558" t="s">
        <v>101</v>
      </c>
      <c r="AB28" s="771">
        <v>3.1663226210266635</v>
      </c>
      <c r="AC28" s="771">
        <v>22.225855884422835</v>
      </c>
      <c r="AD28" s="771">
        <v>65.072774328703247</v>
      </c>
      <c r="AE28" s="771">
        <v>122.66066828690394</v>
      </c>
      <c r="AF28" s="771">
        <v>190.18228179306138</v>
      </c>
      <c r="AH28" s="505"/>
      <c r="AI28" s="558" t="s">
        <v>101</v>
      </c>
      <c r="AJ28" s="771">
        <v>3.1969296061806358</v>
      </c>
      <c r="AK28" s="771">
        <v>22.365470567506147</v>
      </c>
      <c r="AL28" s="771">
        <v>65.623509353903017</v>
      </c>
      <c r="AM28" s="771">
        <v>123.55089140709518</v>
      </c>
      <c r="AN28" s="771">
        <v>191.47055357182307</v>
      </c>
    </row>
    <row r="29" spans="2:41" x14ac:dyDescent="0.2">
      <c r="B29" s="505"/>
      <c r="C29" s="386" t="s">
        <v>105</v>
      </c>
      <c r="D29" s="771">
        <f>INDEX(Tariff_LED_Tbl[],MATCH(LED_Tariffs[[#This Row],[Lamp Type]:[Lamp Type]],Tariff_LED_Tbl[[LED]:[LED]],0),MATCH(LED_Tariffs[[#Headers],[ENERGY]],Tariff_LED_Tbl[#Headers],0))</f>
        <v>3.0621988578067763</v>
      </c>
      <c r="E29" s="771">
        <f>INDEX(Tariff_LED_Tbl[],MATCH(LED_Tariffs[[#This Row],[Lamp Type]:[Lamp Type]],Tariff_LED_Tbl[[LED]:[LED]],0),MATCH(LED_Tariffs[[#Headers],[CLER]],Tariff_LED_Tbl[#Headers],0))</f>
        <v>21.466698309726979</v>
      </c>
      <c r="F29" s="771">
        <f>INDEX(Tariff_LED_Tbl[],MATCH(LED_Tariffs[[#This Row],[Lamp Type]:[Lamp Type]],Tariff_LED_Tbl[[LED]:[LED]],0),MATCH(LED_Tariffs[[#Headers],[PLC]],Tariff_LED_Tbl[#Headers],0))</f>
        <v>62.918207235495601</v>
      </c>
      <c r="G29" s="771">
        <f>INDEX(Tariff_LED_Tbl[],MATCH(LED_Tariffs[[#This Row],[Lamp Type]:[Lamp Type]],Tariff_LED_Tbl[[LED]:[LED]],0),MATCH(LED_Tariffs[[#Headers],[TFI]],Tariff_LED_Tbl[#Headers],0))</f>
        <v>119.35117600779392</v>
      </c>
      <c r="H29" s="771">
        <f>INDEX(Tariff_LED_Tbl[],MATCH(LED_Tariffs[[#This Row],[Lamp Type]:[Lamp Type]],Tariff_LED_Tbl[[LED]:[LED]],0),MATCH(LED_Tariffs[[#Headers],[SAPN]],Tariff_LED_Tbl[#Headers],0))</f>
        <v>185.51864358724617</v>
      </c>
      <c r="J29" s="505"/>
      <c r="K29" s="558" t="s">
        <v>105</v>
      </c>
      <c r="L29" s="771">
        <v>3.0946062538521595</v>
      </c>
      <c r="M29" s="771">
        <v>21.614525621226967</v>
      </c>
      <c r="N29" s="771">
        <v>63.762983842742003</v>
      </c>
      <c r="O29" s="771">
        <v>120.5554105979725</v>
      </c>
      <c r="P29" s="771">
        <v>187.14434146296989</v>
      </c>
      <c r="R29" s="505"/>
      <c r="S29" s="558" t="s">
        <v>105</v>
      </c>
      <c r="T29" s="771">
        <v>3.1321148140898711</v>
      </c>
      <c r="U29" s="771">
        <v>21.785622046574172</v>
      </c>
      <c r="V29" s="771">
        <v>64.246090905237665</v>
      </c>
      <c r="W29" s="771">
        <v>121.45455699256554</v>
      </c>
      <c r="X29" s="771">
        <v>188.53129258620316</v>
      </c>
      <c r="Z29" s="505"/>
      <c r="AA29" s="558" t="s">
        <v>105</v>
      </c>
      <c r="AB29" s="771">
        <v>3.1663226210266635</v>
      </c>
      <c r="AC29" s="771">
        <v>22.225855884422835</v>
      </c>
      <c r="AD29" s="771">
        <v>65.072774328703247</v>
      </c>
      <c r="AE29" s="771">
        <v>122.66066828690394</v>
      </c>
      <c r="AF29" s="771">
        <v>190.18228179306138</v>
      </c>
      <c r="AH29" s="505"/>
      <c r="AI29" s="558" t="s">
        <v>105</v>
      </c>
      <c r="AJ29" s="771">
        <v>3.1969296061806358</v>
      </c>
      <c r="AK29" s="771">
        <v>22.365470567506147</v>
      </c>
      <c r="AL29" s="771">
        <v>65.623509353903017</v>
      </c>
      <c r="AM29" s="771">
        <v>123.55089140709518</v>
      </c>
      <c r="AN29" s="771">
        <v>191.47055357182307</v>
      </c>
    </row>
    <row r="30" spans="2:41" x14ac:dyDescent="0.2">
      <c r="B30" s="505"/>
      <c r="C30" s="386" t="s">
        <v>114</v>
      </c>
      <c r="D30" s="771">
        <f>INDEX(Tariff_LED_Tbl[],MATCH(LED_Tariffs[[#This Row],[Lamp Type]:[Lamp Type]],Tariff_LED_Tbl[[LED]:[LED]],0),MATCH(LED_Tariffs[[#Headers],[ENERGY]],Tariff_LED_Tbl[#Headers],0))</f>
        <v>3.0621988578067763</v>
      </c>
      <c r="E30" s="771">
        <f>INDEX(Tariff_LED_Tbl[],MATCH(LED_Tariffs[[#This Row],[Lamp Type]:[Lamp Type]],Tariff_LED_Tbl[[LED]:[LED]],0),MATCH(LED_Tariffs[[#Headers],[CLER]],Tariff_LED_Tbl[#Headers],0))</f>
        <v>18.139542354897891</v>
      </c>
      <c r="F30" s="771">
        <f>INDEX(Tariff_LED_Tbl[],MATCH(LED_Tariffs[[#This Row],[Lamp Type]:[Lamp Type]],Tariff_LED_Tbl[[LED]:[LED]],0),MATCH(LED_Tariffs[[#Headers],[PLC]],Tariff_LED_Tbl[#Headers],0))</f>
        <v>59.784406769423185</v>
      </c>
      <c r="G30" s="771">
        <f>INDEX(Tariff_LED_Tbl[],MATCH(LED_Tariffs[[#This Row],[Lamp Type]:[Lamp Type]],Tariff_LED_Tbl[[LED]:[LED]],0),MATCH(LED_Tariffs[[#Headers],[TFI]],Tariff_LED_Tbl[#Headers],0))</f>
        <v>93.55663870273608</v>
      </c>
      <c r="H30" s="771">
        <f>INDEX(Tariff_LED_Tbl[],MATCH(LED_Tariffs[[#This Row],[Lamp Type]:[Lamp Type]],Tariff_LED_Tbl[[LED]:[LED]],0),MATCH(LED_Tariffs[[#Headers],[SAPN]],Tariff_LED_Tbl[#Headers],0))</f>
        <v>130.58861761330564</v>
      </c>
      <c r="J30" s="505"/>
      <c r="K30" s="558" t="s">
        <v>114</v>
      </c>
      <c r="L30" s="771">
        <v>3.0946062538521595</v>
      </c>
      <c r="M30" s="771">
        <v>18.2667839188972</v>
      </c>
      <c r="N30" s="771">
        <v>60.609793956399557</v>
      </c>
      <c r="O30" s="771">
        <v>94.597143021310643</v>
      </c>
      <c r="P30" s="771">
        <v>131.8650024948343</v>
      </c>
      <c r="R30" s="505"/>
      <c r="S30" s="558" t="s">
        <v>114</v>
      </c>
      <c r="T30" s="771">
        <v>3.1321148140898711</v>
      </c>
      <c r="U30" s="771">
        <v>18.414054247600106</v>
      </c>
      <c r="V30" s="771">
        <v>61.070459560249368</v>
      </c>
      <c r="W30" s="771">
        <v>95.306786786732388</v>
      </c>
      <c r="X30" s="771">
        <v>132.84765617108249</v>
      </c>
      <c r="Z30" s="505"/>
      <c r="AA30" s="558" t="s">
        <v>114</v>
      </c>
      <c r="AB30" s="771">
        <v>3.1663226210266635</v>
      </c>
      <c r="AC30" s="771">
        <v>18.737254298731976</v>
      </c>
      <c r="AD30" s="771">
        <v>61.786910538846534</v>
      </c>
      <c r="AE30" s="771">
        <v>96.250305848683169</v>
      </c>
      <c r="AF30" s="771">
        <v>134.04016027170704</v>
      </c>
      <c r="AH30" s="505"/>
      <c r="AI30" s="558" t="s">
        <v>114</v>
      </c>
      <c r="AJ30" s="771">
        <v>3.1969296061806358</v>
      </c>
      <c r="AK30" s="771">
        <v>18.857426886953547</v>
      </c>
      <c r="AL30" s="771">
        <v>62.319333333791306</v>
      </c>
      <c r="AM30" s="771">
        <v>96.985894823470616</v>
      </c>
      <c r="AN30" s="771">
        <v>134.99852533372888</v>
      </c>
    </row>
    <row r="31" spans="2:41" x14ac:dyDescent="0.2">
      <c r="B31" s="506"/>
      <c r="C31" s="83" t="s">
        <v>116</v>
      </c>
      <c r="D31" s="771">
        <f>INDEX(Tariff_LED_Tbl[],MATCH(LED_Tariffs[[#This Row],[Lamp Type]:[Lamp Type]],Tariff_LED_Tbl[[LED]:[LED]],0),MATCH(LED_Tariffs[[#Headers],[ENERGY]],Tariff_LED_Tbl[#Headers],0))</f>
        <v>3.0621988578067763</v>
      </c>
      <c r="E31" s="771">
        <f>INDEX(Tariff_LED_Tbl[],MATCH(LED_Tariffs[[#This Row],[Lamp Type]:[Lamp Type]],Tariff_LED_Tbl[[LED]:[LED]],0),MATCH(LED_Tariffs[[#Headers],[CLER]],Tariff_LED_Tbl[#Headers],0))</f>
        <v>18.139542354897891</v>
      </c>
      <c r="F31" s="771">
        <f>INDEX(Tariff_LED_Tbl[],MATCH(LED_Tariffs[[#This Row],[Lamp Type]:[Lamp Type]],Tariff_LED_Tbl[[LED]:[LED]],0),MATCH(LED_Tariffs[[#Headers],[PLC]],Tariff_LED_Tbl[#Headers],0))</f>
        <v>59.784406769423185</v>
      </c>
      <c r="G31" s="771">
        <f>INDEX(Tariff_LED_Tbl[],MATCH(LED_Tariffs[[#This Row],[Lamp Type]:[Lamp Type]],Tariff_LED_Tbl[[LED]:[LED]],0),MATCH(LED_Tariffs[[#Headers],[TFI]],Tariff_LED_Tbl[#Headers],0))</f>
        <v>93.55663870273608</v>
      </c>
      <c r="H31" s="771">
        <f>INDEX(Tariff_LED_Tbl[],MATCH(LED_Tariffs[[#This Row],[Lamp Type]:[Lamp Type]],Tariff_LED_Tbl[[LED]:[LED]],0),MATCH(LED_Tariffs[[#Headers],[SAPN]],Tariff_LED_Tbl[#Headers],0))</f>
        <v>130.58861761330564</v>
      </c>
      <c r="J31" s="506"/>
      <c r="K31" s="83" t="s">
        <v>116</v>
      </c>
      <c r="L31" s="771">
        <v>3.0946062538521595</v>
      </c>
      <c r="M31" s="771">
        <v>18.2667839188972</v>
      </c>
      <c r="N31" s="771">
        <v>60.609793956399557</v>
      </c>
      <c r="O31" s="771">
        <v>94.597143021310643</v>
      </c>
      <c r="P31" s="771">
        <v>131.8650024948343</v>
      </c>
      <c r="R31" s="506"/>
      <c r="S31" s="83" t="s">
        <v>116</v>
      </c>
      <c r="T31" s="771">
        <v>3.1321148140898711</v>
      </c>
      <c r="U31" s="771">
        <v>18.414054247600106</v>
      </c>
      <c r="V31" s="771">
        <v>61.070459560249368</v>
      </c>
      <c r="W31" s="771">
        <v>95.306786786732388</v>
      </c>
      <c r="X31" s="771">
        <v>132.84765617108249</v>
      </c>
      <c r="Z31" s="506"/>
      <c r="AA31" s="83" t="s">
        <v>116</v>
      </c>
      <c r="AB31" s="771">
        <v>3.1663226210266635</v>
      </c>
      <c r="AC31" s="771">
        <v>18.737254298731976</v>
      </c>
      <c r="AD31" s="771">
        <v>61.786910538846534</v>
      </c>
      <c r="AE31" s="771">
        <v>96.250305848683169</v>
      </c>
      <c r="AF31" s="771">
        <v>134.04016027170704</v>
      </c>
      <c r="AH31" s="506"/>
      <c r="AI31" s="83" t="s">
        <v>116</v>
      </c>
      <c r="AJ31" s="771">
        <v>3.1969296061806358</v>
      </c>
      <c r="AK31" s="771">
        <v>18.857426886953547</v>
      </c>
      <c r="AL31" s="771">
        <v>62.319333333791306</v>
      </c>
      <c r="AM31" s="771">
        <v>96.985894823470616</v>
      </c>
      <c r="AN31" s="771">
        <v>134.99852533372888</v>
      </c>
    </row>
    <row r="32" spans="2:41" x14ac:dyDescent="0.2">
      <c r="B32" s="506"/>
      <c r="C32" s="83" t="s">
        <v>121</v>
      </c>
      <c r="D32" s="771">
        <f>INDEX(Tariff_LED_Tbl[],MATCH(LED_Tariffs[[#This Row],[Lamp Type]:[Lamp Type]],Tariff_LED_Tbl[[LED]:[LED]],0),MATCH(LED_Tariffs[[#Headers],[ENERGY]],Tariff_LED_Tbl[#Headers],0))</f>
        <v>3.0621988578067763</v>
      </c>
      <c r="E32" s="771">
        <f>INDEX(Tariff_LED_Tbl[],MATCH(LED_Tariffs[[#This Row],[Lamp Type]:[Lamp Type]],Tariff_LED_Tbl[[LED]:[LED]],0),MATCH(LED_Tariffs[[#Headers],[CLER]],Tariff_LED_Tbl[#Headers],0))</f>
        <v>17.507803882461985</v>
      </c>
      <c r="F32" s="771">
        <f>INDEX(Tariff_LED_Tbl[],MATCH(LED_Tariffs[[#This Row],[Lamp Type]:[Lamp Type]],Tariff_LED_Tbl[[LED]:[LED]],0),MATCH(LED_Tariffs[[#Headers],[PLC]],Tariff_LED_Tbl[#Headers],0))</f>
        <v>59.189381364472723</v>
      </c>
      <c r="G32" s="771">
        <f>INDEX(Tariff_LED_Tbl[],MATCH(LED_Tariffs[[#This Row],[Lamp Type]:[Lamp Type]],Tariff_LED_Tbl[[LED]:[LED]],0),MATCH(LED_Tariffs[[#Headers],[TFI]],Tariff_LED_Tbl[#Headers],0))</f>
        <v>88.658941746079535</v>
      </c>
      <c r="H32" s="771">
        <f>INDEX(Tariff_LED_Tbl[],MATCH(LED_Tariffs[[#This Row],[Lamp Type]:[Lamp Type]],Tariff_LED_Tbl[[LED]:[LED]],0),MATCH(LED_Tariffs[[#Headers],[SAPN]],Tariff_LED_Tbl[#Headers],0))</f>
        <v>120.15818922234101</v>
      </c>
      <c r="J32" s="506"/>
      <c r="K32" s="83" t="s">
        <v>121</v>
      </c>
      <c r="L32" s="771">
        <v>3.0946062538521595</v>
      </c>
      <c r="M32" s="771">
        <v>17.631136760226994</v>
      </c>
      <c r="N32" s="771">
        <v>60.0110870159548</v>
      </c>
      <c r="O32" s="771">
        <v>89.668358038400171</v>
      </c>
      <c r="P32" s="771">
        <v>121.36824454195408</v>
      </c>
      <c r="R32" s="506"/>
      <c r="S32" s="83" t="s">
        <v>121</v>
      </c>
      <c r="T32" s="771">
        <v>3.1321148140898711</v>
      </c>
      <c r="U32" s="771">
        <v>17.773883146529084</v>
      </c>
      <c r="V32" s="771">
        <v>60.46749158335286</v>
      </c>
      <c r="W32" s="771">
        <v>90.342020291953943</v>
      </c>
      <c r="X32" s="771">
        <v>122.27412789191114</v>
      </c>
      <c r="Z32" s="506"/>
      <c r="AA32" s="83" t="s">
        <v>121</v>
      </c>
      <c r="AB32" s="771">
        <v>3.1663226210266635</v>
      </c>
      <c r="AC32" s="771">
        <v>18.074861592588146</v>
      </c>
      <c r="AD32" s="771">
        <v>61.163012350899059</v>
      </c>
      <c r="AE32" s="771">
        <v>91.235680069274181</v>
      </c>
      <c r="AF32" s="771">
        <v>123.37957330915113</v>
      </c>
      <c r="AH32" s="506"/>
      <c r="AI32" s="83" t="s">
        <v>121</v>
      </c>
      <c r="AJ32" s="771">
        <v>3.1969296061806358</v>
      </c>
      <c r="AK32" s="771">
        <v>18.191342643810646</v>
      </c>
      <c r="AL32" s="771">
        <v>61.691958140099203</v>
      </c>
      <c r="AM32" s="771">
        <v>91.941908130377357</v>
      </c>
      <c r="AN32" s="771">
        <v>124.27529378491938</v>
      </c>
    </row>
    <row r="33" spans="2:40" x14ac:dyDescent="0.2">
      <c r="B33" s="506"/>
      <c r="C33" s="83" t="s">
        <v>122</v>
      </c>
      <c r="D33" s="771">
        <f>INDEX(Tariff_LED_Tbl[],MATCH(LED_Tariffs[[#This Row],[Lamp Type]:[Lamp Type]],Tariff_LED_Tbl[[LED]:[LED]],0),MATCH(LED_Tariffs[[#Headers],[ENERGY]],Tariff_LED_Tbl[#Headers],0))</f>
        <v>3.0621988578067763</v>
      </c>
      <c r="E33" s="771">
        <f>INDEX(Tariff_LED_Tbl[],MATCH(LED_Tariffs[[#This Row],[Lamp Type]:[Lamp Type]],Tariff_LED_Tbl[[LED]:[LED]],0),MATCH(LED_Tariffs[[#Headers],[CLER]],Tariff_LED_Tbl[#Headers],0))</f>
        <v>18.139542354897891</v>
      </c>
      <c r="F33" s="771">
        <f>INDEX(Tariff_LED_Tbl[],MATCH(LED_Tariffs[[#This Row],[Lamp Type]:[Lamp Type]],Tariff_LED_Tbl[[LED]:[LED]],0),MATCH(LED_Tariffs[[#Headers],[PLC]],Tariff_LED_Tbl[#Headers],0))</f>
        <v>59.784406769423185</v>
      </c>
      <c r="G33" s="771">
        <f>INDEX(Tariff_LED_Tbl[],MATCH(LED_Tariffs[[#This Row],[Lamp Type]:[Lamp Type]],Tariff_LED_Tbl[[LED]:[LED]],0),MATCH(LED_Tariffs[[#Headers],[TFI]],Tariff_LED_Tbl[#Headers],0))</f>
        <v>93.55663870273608</v>
      </c>
      <c r="H33" s="771">
        <f>INDEX(Tariff_LED_Tbl[],MATCH(LED_Tariffs[[#This Row],[Lamp Type]:[Lamp Type]],Tariff_LED_Tbl[[LED]:[LED]],0),MATCH(LED_Tariffs[[#Headers],[SAPN]],Tariff_LED_Tbl[#Headers],0))</f>
        <v>130.58861761330564</v>
      </c>
      <c r="J33" s="506"/>
      <c r="K33" s="83" t="s">
        <v>122</v>
      </c>
      <c r="L33" s="771">
        <v>3.0946062538521595</v>
      </c>
      <c r="M33" s="771">
        <v>18.2667839188972</v>
      </c>
      <c r="N33" s="771">
        <v>60.609793956399557</v>
      </c>
      <c r="O33" s="771">
        <v>94.597143021310643</v>
      </c>
      <c r="P33" s="771">
        <v>131.8650024948343</v>
      </c>
      <c r="R33" s="506"/>
      <c r="S33" s="83" t="s">
        <v>122</v>
      </c>
      <c r="T33" s="771">
        <v>3.1321148140898711</v>
      </c>
      <c r="U33" s="771">
        <v>18.414054247600106</v>
      </c>
      <c r="V33" s="771">
        <v>61.070459560249368</v>
      </c>
      <c r="W33" s="771">
        <v>95.306786786732388</v>
      </c>
      <c r="X33" s="771">
        <v>132.84765617108249</v>
      </c>
      <c r="Z33" s="506"/>
      <c r="AA33" s="83" t="s">
        <v>122</v>
      </c>
      <c r="AB33" s="771">
        <v>3.1663226210266635</v>
      </c>
      <c r="AC33" s="771">
        <v>18.737254298731976</v>
      </c>
      <c r="AD33" s="771">
        <v>61.786910538846534</v>
      </c>
      <c r="AE33" s="771">
        <v>96.250305848683169</v>
      </c>
      <c r="AF33" s="771">
        <v>134.04016027170704</v>
      </c>
      <c r="AH33" s="506"/>
      <c r="AI33" s="83" t="s">
        <v>122</v>
      </c>
      <c r="AJ33" s="771">
        <v>3.1969296061806358</v>
      </c>
      <c r="AK33" s="771">
        <v>18.857426886953547</v>
      </c>
      <c r="AL33" s="771">
        <v>62.319333333791306</v>
      </c>
      <c r="AM33" s="771">
        <v>96.985894823470616</v>
      </c>
      <c r="AN33" s="771">
        <v>134.99852533372888</v>
      </c>
    </row>
    <row r="34" spans="2:40" x14ac:dyDescent="0.2">
      <c r="B34" s="506"/>
      <c r="C34" s="83" t="s">
        <v>123</v>
      </c>
      <c r="D34" s="771">
        <f>INDEX(Tariff_LED_Tbl[],MATCH(LED_Tariffs[[#This Row],[Lamp Type]:[Lamp Type]],Tariff_LED_Tbl[[LED]:[LED]],0),MATCH(LED_Tariffs[[#Headers],[ENERGY]],Tariff_LED_Tbl[#Headers],0))</f>
        <v>3.0621988578067763</v>
      </c>
      <c r="E34" s="771">
        <f>INDEX(Tariff_LED_Tbl[],MATCH(LED_Tariffs[[#This Row],[Lamp Type]:[Lamp Type]],Tariff_LED_Tbl[[LED]:[LED]],0),MATCH(LED_Tariffs[[#Headers],[CLER]],Tariff_LED_Tbl[#Headers],0))</f>
        <v>18.139542354897891</v>
      </c>
      <c r="F34" s="771">
        <f>INDEX(Tariff_LED_Tbl[],MATCH(LED_Tariffs[[#This Row],[Lamp Type]:[Lamp Type]],Tariff_LED_Tbl[[LED]:[LED]],0),MATCH(LED_Tariffs[[#Headers],[PLC]],Tariff_LED_Tbl[#Headers],0))</f>
        <v>59.784406769423185</v>
      </c>
      <c r="G34" s="771">
        <f>INDEX(Tariff_LED_Tbl[],MATCH(LED_Tariffs[[#This Row],[Lamp Type]:[Lamp Type]],Tariff_LED_Tbl[[LED]:[LED]],0),MATCH(LED_Tariffs[[#Headers],[TFI]],Tariff_LED_Tbl[#Headers],0))</f>
        <v>93.55663870273608</v>
      </c>
      <c r="H34" s="771">
        <f>INDEX(Tariff_LED_Tbl[],MATCH(LED_Tariffs[[#This Row],[Lamp Type]:[Lamp Type]],Tariff_LED_Tbl[[LED]:[LED]],0),MATCH(LED_Tariffs[[#Headers],[SAPN]],Tariff_LED_Tbl[#Headers],0))</f>
        <v>130.58861761330564</v>
      </c>
      <c r="J34" s="506"/>
      <c r="K34" s="83" t="s">
        <v>123</v>
      </c>
      <c r="L34" s="771">
        <v>3.0946062538521595</v>
      </c>
      <c r="M34" s="771">
        <v>18.2667839188972</v>
      </c>
      <c r="N34" s="771">
        <v>60.609793956399557</v>
      </c>
      <c r="O34" s="771">
        <v>94.597143021310643</v>
      </c>
      <c r="P34" s="771">
        <v>131.8650024948343</v>
      </c>
      <c r="R34" s="506"/>
      <c r="S34" s="83" t="s">
        <v>123</v>
      </c>
      <c r="T34" s="771">
        <v>3.1321148140898711</v>
      </c>
      <c r="U34" s="771">
        <v>18.414054247600106</v>
      </c>
      <c r="V34" s="771">
        <v>61.070459560249368</v>
      </c>
      <c r="W34" s="771">
        <v>95.306786786732388</v>
      </c>
      <c r="X34" s="771">
        <v>132.84765617108249</v>
      </c>
      <c r="Z34" s="506"/>
      <c r="AA34" s="83" t="s">
        <v>123</v>
      </c>
      <c r="AB34" s="771">
        <v>3.1663226210266635</v>
      </c>
      <c r="AC34" s="771">
        <v>18.737254298731976</v>
      </c>
      <c r="AD34" s="771">
        <v>61.786910538846534</v>
      </c>
      <c r="AE34" s="771">
        <v>96.250305848683169</v>
      </c>
      <c r="AF34" s="771">
        <v>134.04016027170704</v>
      </c>
      <c r="AH34" s="506"/>
      <c r="AI34" s="83" t="s">
        <v>123</v>
      </c>
      <c r="AJ34" s="771">
        <v>3.1969296061806358</v>
      </c>
      <c r="AK34" s="771">
        <v>18.857426886953547</v>
      </c>
      <c r="AL34" s="771">
        <v>62.319333333791306</v>
      </c>
      <c r="AM34" s="771">
        <v>96.985894823470616</v>
      </c>
      <c r="AN34" s="771">
        <v>134.99852533372888</v>
      </c>
    </row>
    <row r="35" spans="2:40" x14ac:dyDescent="0.2">
      <c r="B35" s="506"/>
      <c r="C35" s="83" t="s">
        <v>124</v>
      </c>
      <c r="D35" s="771">
        <f>INDEX(Tariff_LED_Tbl[],MATCH(LED_Tariffs[[#This Row],[Lamp Type]:[Lamp Type]],Tariff_LED_Tbl[[LED]:[LED]],0),MATCH(LED_Tariffs[[#Headers],[ENERGY]],Tariff_LED_Tbl[#Headers],0))</f>
        <v>3.0621988578067763</v>
      </c>
      <c r="E35" s="771">
        <f>INDEX(Tariff_LED_Tbl[],MATCH(LED_Tariffs[[#This Row],[Lamp Type]:[Lamp Type]],Tariff_LED_Tbl[[LED]:[LED]],0),MATCH(LED_Tariffs[[#Headers],[CLER]],Tariff_LED_Tbl[#Headers],0))</f>
        <v>19.543405626977677</v>
      </c>
      <c r="F35" s="771">
        <f>INDEX(Tariff_LED_Tbl[],MATCH(LED_Tariffs[[#This Row],[Lamp Type]:[Lamp Type]],Tariff_LED_Tbl[[LED]:[LED]],0),MATCH(LED_Tariffs[[#Headers],[PLC]],Tariff_LED_Tbl[#Headers],0))</f>
        <v>61.106685447090868</v>
      </c>
      <c r="G35" s="771">
        <f>INDEX(Tariff_LED_Tbl[],MATCH(LED_Tariffs[[#This Row],[Lamp Type]:[Lamp Type]],Tariff_LED_Tbl[[LED]:[LED]],0),MATCH(LED_Tariffs[[#Headers],[TFI]],Tariff_LED_Tbl[#Headers],0))</f>
        <v>104.44040971752841</v>
      </c>
      <c r="H35" s="771">
        <f>INDEX(Tariff_LED_Tbl[],MATCH(LED_Tariffs[[#This Row],[Lamp Type]:[Lamp Type]],Tariff_LED_Tbl[[LED]:[LED]],0),MATCH(LED_Tariffs[[#Headers],[SAPN]],Tariff_LED_Tbl[#Headers],0))</f>
        <v>153.76259596859609</v>
      </c>
      <c r="J35" s="506"/>
      <c r="K35" s="83" t="s">
        <v>124</v>
      </c>
      <c r="L35" s="771">
        <v>3.0946062538521595</v>
      </c>
      <c r="M35" s="771">
        <v>19.679333160386559</v>
      </c>
      <c r="N35" s="771">
        <v>61.940253824054594</v>
      </c>
      <c r="O35" s="771">
        <v>105.54999853888948</v>
      </c>
      <c r="P35" s="771">
        <v>155.18634961185674</v>
      </c>
      <c r="R35" s="506"/>
      <c r="S35" s="83" t="s">
        <v>124</v>
      </c>
      <c r="T35" s="771">
        <v>3.1321148140898711</v>
      </c>
      <c r="U35" s="771">
        <v>19.836656694424608</v>
      </c>
      <c r="V35" s="771">
        <v>62.410388397797171</v>
      </c>
      <c r="W35" s="771">
        <v>106.33960121957337</v>
      </c>
      <c r="X35" s="771">
        <v>156.33956898455406</v>
      </c>
      <c r="Z35" s="506"/>
      <c r="AA35" s="83" t="s">
        <v>124</v>
      </c>
      <c r="AB35" s="771">
        <v>3.1663226210266635</v>
      </c>
      <c r="AC35" s="771">
        <v>20.209238090162721</v>
      </c>
      <c r="AD35" s="771">
        <v>63.173350956507591</v>
      </c>
      <c r="AE35" s="771">
        <v>107.39391869181431</v>
      </c>
      <c r="AF35" s="771">
        <v>157.72550487991111</v>
      </c>
      <c r="AH35" s="506"/>
      <c r="AI35" s="83" t="s">
        <v>124</v>
      </c>
      <c r="AJ35" s="771">
        <v>3.1969296061806358</v>
      </c>
      <c r="AK35" s="771">
        <v>20.337614093937763</v>
      </c>
      <c r="AL35" s="771">
        <v>63.713500430884849</v>
      </c>
      <c r="AM35" s="771">
        <v>108.19475414145566</v>
      </c>
      <c r="AN35" s="771">
        <v>158.82305155023548</v>
      </c>
    </row>
    <row r="36" spans="2:40" x14ac:dyDescent="0.2">
      <c r="B36" s="506"/>
      <c r="C36" s="83" t="s">
        <v>141</v>
      </c>
      <c r="D36" s="771">
        <f>INDEX(Tariff_LED_Tbl[],MATCH(LED_Tariffs[[#This Row],[Lamp Type]:[Lamp Type]],Tariff_LED_Tbl[[LED]:[LED]],0),MATCH(LED_Tariffs[[#Headers],[ENERGY]],Tariff_LED_Tbl[#Headers],0))</f>
        <v>3.0621988578067763</v>
      </c>
      <c r="E36" s="771">
        <f>INDEX(Tariff_LED_Tbl[],MATCH(LED_Tariffs[[#This Row],[Lamp Type]:[Lamp Type]],Tariff_LED_Tbl[[LED]:[LED]],0),MATCH(LED_Tariffs[[#Headers],[CLER]],Tariff_LED_Tbl[#Headers],0))</f>
        <v>19.543405626977677</v>
      </c>
      <c r="F36" s="771">
        <f>INDEX(Tariff_LED_Tbl[],MATCH(LED_Tariffs[[#This Row],[Lamp Type]:[Lamp Type]],Tariff_LED_Tbl[[LED]:[LED]],0),MATCH(LED_Tariffs[[#Headers],[PLC]],Tariff_LED_Tbl[#Headers],0))</f>
        <v>61.106685447090868</v>
      </c>
      <c r="G36" s="771">
        <f>INDEX(Tariff_LED_Tbl[],MATCH(LED_Tariffs[[#This Row],[Lamp Type]:[Lamp Type]],Tariff_LED_Tbl[[LED]:[LED]],0),MATCH(LED_Tariffs[[#Headers],[TFI]],Tariff_LED_Tbl[#Headers],0))</f>
        <v>104.44040971752841</v>
      </c>
      <c r="H36" s="771">
        <f>INDEX(Tariff_LED_Tbl[],MATCH(LED_Tariffs[[#This Row],[Lamp Type]:[Lamp Type]],Tariff_LED_Tbl[[LED]:[LED]],0),MATCH(LED_Tariffs[[#Headers],[SAPN]],Tariff_LED_Tbl[#Headers],0))</f>
        <v>153.76259596859609</v>
      </c>
      <c r="J36" s="506"/>
      <c r="K36" s="83" t="s">
        <v>141</v>
      </c>
      <c r="L36" s="771">
        <v>3.0946062538521595</v>
      </c>
      <c r="M36" s="771">
        <v>19.679333160386559</v>
      </c>
      <c r="N36" s="771">
        <v>61.940253824054594</v>
      </c>
      <c r="O36" s="771">
        <v>105.54999853888948</v>
      </c>
      <c r="P36" s="771">
        <v>155.18634961185674</v>
      </c>
      <c r="R36" s="506"/>
      <c r="S36" s="83" t="s">
        <v>141</v>
      </c>
      <c r="T36" s="771">
        <v>3.1321148140898711</v>
      </c>
      <c r="U36" s="771">
        <v>19.836656694424608</v>
      </c>
      <c r="V36" s="771">
        <v>62.410388397797171</v>
      </c>
      <c r="W36" s="771">
        <v>106.33960121957337</v>
      </c>
      <c r="X36" s="771">
        <v>156.33956898455406</v>
      </c>
      <c r="Z36" s="506"/>
      <c r="AA36" s="83" t="s">
        <v>141</v>
      </c>
      <c r="AB36" s="771">
        <v>3.1663226210266635</v>
      </c>
      <c r="AC36" s="771">
        <v>20.209238090162721</v>
      </c>
      <c r="AD36" s="771">
        <v>63.173350956507591</v>
      </c>
      <c r="AE36" s="771">
        <v>107.39391869181431</v>
      </c>
      <c r="AF36" s="771">
        <v>157.72550487991111</v>
      </c>
      <c r="AH36" s="506"/>
      <c r="AI36" s="83" t="s">
        <v>141</v>
      </c>
      <c r="AJ36" s="771">
        <v>3.1969296061806358</v>
      </c>
      <c r="AK36" s="771">
        <v>20.337614093937763</v>
      </c>
      <c r="AL36" s="771">
        <v>63.713500430884849</v>
      </c>
      <c r="AM36" s="771">
        <v>108.19475414145566</v>
      </c>
      <c r="AN36" s="771">
        <v>158.82305155023548</v>
      </c>
    </row>
    <row r="37" spans="2:40" x14ac:dyDescent="0.2">
      <c r="B37" s="506"/>
      <c r="C37" s="83" t="s">
        <v>142</v>
      </c>
      <c r="D37" s="771">
        <f>INDEX(Tariff_LED_Tbl[],MATCH(LED_Tariffs[[#This Row],[Lamp Type]:[Lamp Type]],Tariff_LED_Tbl[[LED]:[LED]],0),MATCH(LED_Tariffs[[#Headers],[ENERGY]],Tariff_LED_Tbl[#Headers],0))</f>
        <v>3.0621988578067763</v>
      </c>
      <c r="E37" s="771">
        <f>INDEX(Tariff_LED_Tbl[],MATCH(LED_Tariffs[[#This Row],[Lamp Type]:[Lamp Type]],Tariff_LED_Tbl[[LED]:[LED]],0),MATCH(LED_Tariffs[[#Headers],[CLER]],Tariff_LED_Tbl[#Headers],0))</f>
        <v>21.466698309726979</v>
      </c>
      <c r="F37" s="771">
        <f>INDEX(Tariff_LED_Tbl[],MATCH(LED_Tariffs[[#This Row],[Lamp Type]:[Lamp Type]],Tariff_LED_Tbl[[LED]:[LED]],0),MATCH(LED_Tariffs[[#Headers],[PLC]],Tariff_LED_Tbl[#Headers],0))</f>
        <v>62.918207235495601</v>
      </c>
      <c r="G37" s="771">
        <f>INDEX(Tariff_LED_Tbl[],MATCH(LED_Tariffs[[#This Row],[Lamp Type]:[Lamp Type]],Tariff_LED_Tbl[[LED]:[LED]],0),MATCH(LED_Tariffs[[#Headers],[TFI]],Tariff_LED_Tbl[#Headers],0))</f>
        <v>119.35117600779392</v>
      </c>
      <c r="H37" s="771">
        <f>INDEX(Tariff_LED_Tbl[],MATCH(LED_Tariffs[[#This Row],[Lamp Type]:[Lamp Type]],Tariff_LED_Tbl[[LED]:[LED]],0),MATCH(LED_Tariffs[[#Headers],[SAPN]],Tariff_LED_Tbl[#Headers],0))</f>
        <v>185.51864358724617</v>
      </c>
      <c r="J37" s="506"/>
      <c r="K37" s="83" t="s">
        <v>142</v>
      </c>
      <c r="L37" s="771">
        <v>3.0946062538521595</v>
      </c>
      <c r="M37" s="771">
        <v>21.614525621226967</v>
      </c>
      <c r="N37" s="771">
        <v>63.762983842742003</v>
      </c>
      <c r="O37" s="771">
        <v>120.5554105979725</v>
      </c>
      <c r="P37" s="771">
        <v>187.14434146296989</v>
      </c>
      <c r="R37" s="506"/>
      <c r="S37" s="83" t="s">
        <v>142</v>
      </c>
      <c r="T37" s="771">
        <v>3.1321148140898711</v>
      </c>
      <c r="U37" s="771">
        <v>21.785622046574172</v>
      </c>
      <c r="V37" s="771">
        <v>64.246090905237665</v>
      </c>
      <c r="W37" s="771">
        <v>121.45455699256554</v>
      </c>
      <c r="X37" s="771">
        <v>188.53129258620316</v>
      </c>
      <c r="Z37" s="506"/>
      <c r="AA37" s="83" t="s">
        <v>142</v>
      </c>
      <c r="AB37" s="771">
        <v>3.1663226210266635</v>
      </c>
      <c r="AC37" s="771">
        <v>22.225855884422835</v>
      </c>
      <c r="AD37" s="771">
        <v>65.072774328703247</v>
      </c>
      <c r="AE37" s="771">
        <v>122.66066828690394</v>
      </c>
      <c r="AF37" s="771">
        <v>190.18228179306138</v>
      </c>
      <c r="AH37" s="506"/>
      <c r="AI37" s="83" t="s">
        <v>142</v>
      </c>
      <c r="AJ37" s="771">
        <v>3.1969296061806358</v>
      </c>
      <c r="AK37" s="771">
        <v>22.365470567506147</v>
      </c>
      <c r="AL37" s="771">
        <v>65.623509353903017</v>
      </c>
      <c r="AM37" s="771">
        <v>123.55089140709518</v>
      </c>
      <c r="AN37" s="771">
        <v>191.47055357182307</v>
      </c>
    </row>
    <row r="38" spans="2:40" x14ac:dyDescent="0.2">
      <c r="B38" s="506"/>
      <c r="C38" s="83" t="s">
        <v>143</v>
      </c>
      <c r="D38" s="771">
        <f>INDEX(Tariff_LED_Tbl[],MATCH(LED_Tariffs[[#This Row],[Lamp Type]:[Lamp Type]],Tariff_LED_Tbl[[LED]:[LED]],0),MATCH(LED_Tariffs[[#Headers],[ENERGY]],Tariff_LED_Tbl[#Headers],0))</f>
        <v>3.0621988578067763</v>
      </c>
      <c r="E38" s="771">
        <f>INDEX(Tariff_LED_Tbl[],MATCH(LED_Tariffs[[#This Row],[Lamp Type]:[Lamp Type]],Tariff_LED_Tbl[[LED]:[LED]],0),MATCH(LED_Tariffs[[#Headers],[CLER]],Tariff_LED_Tbl[#Headers],0))</f>
        <v>18.139542354897891</v>
      </c>
      <c r="F38" s="771">
        <f>INDEX(Tariff_LED_Tbl[],MATCH(LED_Tariffs[[#This Row],[Lamp Type]:[Lamp Type]],Tariff_LED_Tbl[[LED]:[LED]],0),MATCH(LED_Tariffs[[#Headers],[PLC]],Tariff_LED_Tbl[#Headers],0))</f>
        <v>59.784406769423185</v>
      </c>
      <c r="G38" s="771">
        <f>INDEX(Tariff_LED_Tbl[],MATCH(LED_Tariffs[[#This Row],[Lamp Type]:[Lamp Type]],Tariff_LED_Tbl[[LED]:[LED]],0),MATCH(LED_Tariffs[[#Headers],[TFI]],Tariff_LED_Tbl[#Headers],0))</f>
        <v>93.55663870273608</v>
      </c>
      <c r="H38" s="771">
        <f>INDEX(Tariff_LED_Tbl[],MATCH(LED_Tariffs[[#This Row],[Lamp Type]:[Lamp Type]],Tariff_LED_Tbl[[LED]:[LED]],0),MATCH(LED_Tariffs[[#Headers],[SAPN]],Tariff_LED_Tbl[#Headers],0))</f>
        <v>130.58861761330564</v>
      </c>
      <c r="J38" s="506"/>
      <c r="K38" s="83" t="s">
        <v>143</v>
      </c>
      <c r="L38" s="771">
        <v>3.0946062538521595</v>
      </c>
      <c r="M38" s="771">
        <v>18.2667839188972</v>
      </c>
      <c r="N38" s="771">
        <v>60.609793956399557</v>
      </c>
      <c r="O38" s="771">
        <v>94.597143021310643</v>
      </c>
      <c r="P38" s="771">
        <v>131.8650024948343</v>
      </c>
      <c r="R38" s="506"/>
      <c r="S38" s="83" t="s">
        <v>143</v>
      </c>
      <c r="T38" s="771">
        <v>3.1321148140898711</v>
      </c>
      <c r="U38" s="771">
        <v>18.414054247600106</v>
      </c>
      <c r="V38" s="771">
        <v>61.070459560249368</v>
      </c>
      <c r="W38" s="771">
        <v>95.306786786732388</v>
      </c>
      <c r="X38" s="771">
        <v>132.84765617108249</v>
      </c>
      <c r="Z38" s="506"/>
      <c r="AA38" s="83" t="s">
        <v>143</v>
      </c>
      <c r="AB38" s="771">
        <v>3.1663226210266635</v>
      </c>
      <c r="AC38" s="771">
        <v>18.737254298731976</v>
      </c>
      <c r="AD38" s="771">
        <v>61.786910538846534</v>
      </c>
      <c r="AE38" s="771">
        <v>96.250305848683169</v>
      </c>
      <c r="AF38" s="771">
        <v>134.04016027170704</v>
      </c>
      <c r="AH38" s="506"/>
      <c r="AI38" s="83" t="s">
        <v>143</v>
      </c>
      <c r="AJ38" s="771">
        <v>3.1969296061806358</v>
      </c>
      <c r="AK38" s="771">
        <v>18.857426886953547</v>
      </c>
      <c r="AL38" s="771">
        <v>62.319333333791306</v>
      </c>
      <c r="AM38" s="771">
        <v>96.985894823470616</v>
      </c>
      <c r="AN38" s="771">
        <v>134.99852533372888</v>
      </c>
    </row>
    <row r="39" spans="2:40" x14ac:dyDescent="0.2">
      <c r="B39" s="506"/>
      <c r="C39" s="83" t="s">
        <v>146</v>
      </c>
      <c r="D39" s="771">
        <f>INDEX(Tariff_LED_Tbl[],MATCH(LED_Tariffs[[#This Row],[Lamp Type]:[Lamp Type]],Tariff_LED_Tbl[[LED]:[LED]],0),MATCH(LED_Tariffs[[#Headers],[ENERGY]],Tariff_LED_Tbl[#Headers],0))</f>
        <v>3.0621988578067763</v>
      </c>
      <c r="E39" s="771">
        <f>INDEX(Tariff_LED_Tbl[],MATCH(LED_Tariffs[[#This Row],[Lamp Type]:[Lamp Type]],Tariff_LED_Tbl[[LED]:[LED]],0),MATCH(LED_Tariffs[[#Headers],[CLER]],Tariff_LED_Tbl[#Headers],0))</f>
        <v>18.490508172917835</v>
      </c>
      <c r="F39" s="771">
        <f>INDEX(Tariff_LED_Tbl[],MATCH(LED_Tariffs[[#This Row],[Lamp Type]:[Lamp Type]],Tariff_LED_Tbl[[LED]:[LED]],0),MATCH(LED_Tariffs[[#Headers],[PLC]],Tariff_LED_Tbl[#Headers],0))</f>
        <v>60.114976438840102</v>
      </c>
      <c r="G39" s="771">
        <f>INDEX(Tariff_LED_Tbl[],MATCH(LED_Tariffs[[#This Row],[Lamp Type]:[Lamp Type]],Tariff_LED_Tbl[[LED]:[LED]],0),MATCH(LED_Tariffs[[#Headers],[TFI]],Tariff_LED_Tbl[#Headers],0))</f>
        <v>96.277581456434177</v>
      </c>
      <c r="H39" s="771">
        <f>INDEX(Tariff_LED_Tbl[],MATCH(LED_Tariffs[[#This Row],[Lamp Type]:[Lamp Type]],Tariff_LED_Tbl[[LED]:[LED]],0),MATCH(LED_Tariffs[[#Headers],[SAPN]],Tariff_LED_Tbl[#Headers],0))</f>
        <v>136.38211220212827</v>
      </c>
      <c r="J39" s="506"/>
      <c r="K39" s="83" t="s">
        <v>146</v>
      </c>
      <c r="L39" s="771">
        <v>3.0946062538521595</v>
      </c>
      <c r="M39" s="771">
        <v>18.61992122926954</v>
      </c>
      <c r="N39" s="771">
        <v>60.942408923313323</v>
      </c>
      <c r="O39" s="771">
        <v>97.335356900705364</v>
      </c>
      <c r="P39" s="771">
        <v>137.69533927408989</v>
      </c>
      <c r="R39" s="506"/>
      <c r="S39" s="83" t="s">
        <v>146</v>
      </c>
      <c r="T39" s="771">
        <v>3.1321148140898711</v>
      </c>
      <c r="U39" s="771">
        <v>18.769704859306231</v>
      </c>
      <c r="V39" s="771">
        <v>61.405441769636319</v>
      </c>
      <c r="W39" s="771">
        <v>98.064990394942654</v>
      </c>
      <c r="X39" s="771">
        <v>138.72063437445041</v>
      </c>
      <c r="Z39" s="506"/>
      <c r="AA39" s="83" t="s">
        <v>146</v>
      </c>
      <c r="AB39" s="771">
        <v>3.1663226210266635</v>
      </c>
      <c r="AC39" s="771">
        <v>19.105250246589662</v>
      </c>
      <c r="AD39" s="771">
        <v>62.133520643261797</v>
      </c>
      <c r="AE39" s="771">
        <v>99.036209059465975</v>
      </c>
      <c r="AF39" s="771">
        <v>139.96149642375804</v>
      </c>
      <c r="AH39" s="506"/>
      <c r="AI39" s="83" t="s">
        <v>146</v>
      </c>
      <c r="AJ39" s="771">
        <v>3.1969296061806358</v>
      </c>
      <c r="AK39" s="771">
        <v>19.227473688699604</v>
      </c>
      <c r="AL39" s="771">
        <v>62.667875108064692</v>
      </c>
      <c r="AM39" s="771">
        <v>99.788109652966895</v>
      </c>
      <c r="AN39" s="771">
        <v>140.95465688785555</v>
      </c>
    </row>
    <row r="40" spans="2:40" x14ac:dyDescent="0.2">
      <c r="B40" s="506"/>
      <c r="C40" s="83" t="s">
        <v>149</v>
      </c>
      <c r="D40" s="771">
        <f>INDEX(Tariff_LED_Tbl[],MATCH(LED_Tariffs[[#This Row],[Lamp Type]:[Lamp Type]],Tariff_LED_Tbl[[LED]:[LED]],0),MATCH(LED_Tariffs[[#Headers],[ENERGY]],Tariff_LED_Tbl[#Headers],0))</f>
        <v>3.0621988578067763</v>
      </c>
      <c r="E40" s="771">
        <f>INDEX(Tariff_LED_Tbl[],MATCH(LED_Tariffs[[#This Row],[Lamp Type]:[Lamp Type]],Tariff_LED_Tbl[[LED]:[LED]],0),MATCH(LED_Tariffs[[#Headers],[CLER]],Tariff_LED_Tbl[#Headers],0))</f>
        <v>19.543405626977677</v>
      </c>
      <c r="F40" s="771">
        <f>INDEX(Tariff_LED_Tbl[],MATCH(LED_Tariffs[[#This Row],[Lamp Type]:[Lamp Type]],Tariff_LED_Tbl[[LED]:[LED]],0),MATCH(LED_Tariffs[[#Headers],[PLC]],Tariff_LED_Tbl[#Headers],0))</f>
        <v>61.106685447090868</v>
      </c>
      <c r="G40" s="771">
        <f>INDEX(Tariff_LED_Tbl[],MATCH(LED_Tariffs[[#This Row],[Lamp Type]:[Lamp Type]],Tariff_LED_Tbl[[LED]:[LED]],0),MATCH(LED_Tariffs[[#Headers],[TFI]],Tariff_LED_Tbl[#Headers],0))</f>
        <v>104.44040971752841</v>
      </c>
      <c r="H40" s="771">
        <f>INDEX(Tariff_LED_Tbl[],MATCH(LED_Tariffs[[#This Row],[Lamp Type]:[Lamp Type]],Tariff_LED_Tbl[[LED]:[LED]],0),MATCH(LED_Tariffs[[#Headers],[SAPN]],Tariff_LED_Tbl[#Headers],0))</f>
        <v>153.76259596859609</v>
      </c>
      <c r="J40" s="506"/>
      <c r="K40" s="83" t="s">
        <v>149</v>
      </c>
      <c r="L40" s="771">
        <v>3.0946062538521595</v>
      </c>
      <c r="M40" s="771">
        <v>19.679333160386559</v>
      </c>
      <c r="N40" s="771">
        <v>61.940253824054594</v>
      </c>
      <c r="O40" s="771">
        <v>105.54999853888948</v>
      </c>
      <c r="P40" s="771">
        <v>155.18634961185674</v>
      </c>
      <c r="R40" s="506"/>
      <c r="S40" s="83" t="s">
        <v>149</v>
      </c>
      <c r="T40" s="771">
        <v>3.1321148140898711</v>
      </c>
      <c r="U40" s="771">
        <v>19.836656694424608</v>
      </c>
      <c r="V40" s="771">
        <v>62.410388397797171</v>
      </c>
      <c r="W40" s="771">
        <v>106.33960121957337</v>
      </c>
      <c r="X40" s="771">
        <v>156.33956898455406</v>
      </c>
      <c r="Z40" s="506"/>
      <c r="AA40" s="83" t="s">
        <v>149</v>
      </c>
      <c r="AB40" s="771">
        <v>3.1663226210266635</v>
      </c>
      <c r="AC40" s="771">
        <v>20.209238090162721</v>
      </c>
      <c r="AD40" s="771">
        <v>63.173350956507591</v>
      </c>
      <c r="AE40" s="771">
        <v>107.39391869181431</v>
      </c>
      <c r="AF40" s="771">
        <v>157.72550487991111</v>
      </c>
      <c r="AH40" s="506"/>
      <c r="AI40" s="83" t="s">
        <v>149</v>
      </c>
      <c r="AJ40" s="771">
        <v>3.1969296061806358</v>
      </c>
      <c r="AK40" s="771">
        <v>20.337614093937763</v>
      </c>
      <c r="AL40" s="771">
        <v>63.713500430884849</v>
      </c>
      <c r="AM40" s="771">
        <v>108.19475414145566</v>
      </c>
      <c r="AN40" s="771">
        <v>158.82305155023548</v>
      </c>
    </row>
    <row r="41" spans="2:40" x14ac:dyDescent="0.2">
      <c r="B41" s="506"/>
      <c r="C41" s="83" t="s">
        <v>160</v>
      </c>
      <c r="D41" s="771">
        <f>INDEX(Tariff_LED_Tbl[],MATCH(LED_Tariffs[[#This Row],[Lamp Type]:[Lamp Type]],Tariff_LED_Tbl[[LED]:[LED]],0),MATCH(LED_Tariffs[[#Headers],[ENERGY]],Tariff_LED_Tbl[#Headers],0))</f>
        <v>3.0621988578067763</v>
      </c>
      <c r="E41" s="771">
        <f>INDEX(Tariff_LED_Tbl[],MATCH(LED_Tariffs[[#This Row],[Lamp Type]:[Lamp Type]],Tariff_LED_Tbl[[LED]:[LED]],0),MATCH(LED_Tariffs[[#Headers],[CLER]],Tariff_LED_Tbl[#Headers],0))</f>
        <v>17.507803882461985</v>
      </c>
      <c r="F41" s="771">
        <f>INDEX(Tariff_LED_Tbl[],MATCH(LED_Tariffs[[#This Row],[Lamp Type]:[Lamp Type]],Tariff_LED_Tbl[[LED]:[LED]],0),MATCH(LED_Tariffs[[#Headers],[PLC]],Tariff_LED_Tbl[#Headers],0))</f>
        <v>59.189381364472723</v>
      </c>
      <c r="G41" s="771">
        <f>INDEX(Tariff_LED_Tbl[],MATCH(LED_Tariffs[[#This Row],[Lamp Type]:[Lamp Type]],Tariff_LED_Tbl[[LED]:[LED]],0),MATCH(LED_Tariffs[[#Headers],[TFI]],Tariff_LED_Tbl[#Headers],0))</f>
        <v>88.658941746079535</v>
      </c>
      <c r="H41" s="771">
        <f>INDEX(Tariff_LED_Tbl[],MATCH(LED_Tariffs[[#This Row],[Lamp Type]:[Lamp Type]],Tariff_LED_Tbl[[LED]:[LED]],0),MATCH(LED_Tariffs[[#Headers],[SAPN]],Tariff_LED_Tbl[#Headers],0))</f>
        <v>120.15818922234101</v>
      </c>
      <c r="J41" s="506"/>
      <c r="K41" s="83" t="s">
        <v>160</v>
      </c>
      <c r="L41" s="771">
        <v>3.0946062538521595</v>
      </c>
      <c r="M41" s="771">
        <v>17.631136760226994</v>
      </c>
      <c r="N41" s="771">
        <v>60.0110870159548</v>
      </c>
      <c r="O41" s="771">
        <v>89.668358038400171</v>
      </c>
      <c r="P41" s="771">
        <v>121.36824454195408</v>
      </c>
      <c r="R41" s="506"/>
      <c r="S41" s="83" t="s">
        <v>160</v>
      </c>
      <c r="T41" s="771">
        <v>3.1321148140898711</v>
      </c>
      <c r="U41" s="771">
        <v>17.773883146529084</v>
      </c>
      <c r="V41" s="771">
        <v>60.46749158335286</v>
      </c>
      <c r="W41" s="771">
        <v>90.342020291953943</v>
      </c>
      <c r="X41" s="771">
        <v>122.27412789191114</v>
      </c>
      <c r="Z41" s="506"/>
      <c r="AA41" s="83" t="s">
        <v>160</v>
      </c>
      <c r="AB41" s="771">
        <v>3.1663226210266635</v>
      </c>
      <c r="AC41" s="771">
        <v>18.074861592588146</v>
      </c>
      <c r="AD41" s="771">
        <v>61.163012350899059</v>
      </c>
      <c r="AE41" s="771">
        <v>91.235680069274181</v>
      </c>
      <c r="AF41" s="771">
        <v>123.37957330915113</v>
      </c>
      <c r="AH41" s="506"/>
      <c r="AI41" s="83" t="s">
        <v>160</v>
      </c>
      <c r="AJ41" s="771">
        <v>3.1969296061806358</v>
      </c>
      <c r="AK41" s="771">
        <v>18.191342643810646</v>
      </c>
      <c r="AL41" s="771">
        <v>61.691958140099203</v>
      </c>
      <c r="AM41" s="771">
        <v>91.941908130377357</v>
      </c>
      <c r="AN41" s="771">
        <v>124.27529378491938</v>
      </c>
    </row>
    <row r="42" spans="2:40" x14ac:dyDescent="0.2">
      <c r="B42" s="506"/>
      <c r="C42" s="83" t="s">
        <v>1014</v>
      </c>
      <c r="D42" s="771">
        <f>INDEX(Tariff_LED_Tbl[],MATCH(LED_Tariffs[[#This Row],[Lamp Type]:[Lamp Type]],Tariff_LED_Tbl[[LED]:[LED]],0),MATCH(LED_Tariffs[[#Headers],[ENERGY]],Tariff_LED_Tbl[#Headers],0))</f>
        <v>3.0621988578067763</v>
      </c>
      <c r="E42" s="771">
        <f>INDEX(Tariff_LED_Tbl[],MATCH(LED_Tariffs[[#This Row],[Lamp Type]:[Lamp Type]],Tariff_LED_Tbl[[LED]:[LED]],0),MATCH(LED_Tariffs[[#Headers],[CLER]],Tariff_LED_Tbl[#Headers],0))</f>
        <v>17.500784566101586</v>
      </c>
      <c r="F42" s="771">
        <f>INDEX(Tariff_LED_Tbl[],MATCH(LED_Tariffs[[#This Row],[Lamp Type]:[Lamp Type]],Tariff_LED_Tbl[[LED]:[LED]],0),MATCH(LED_Tariffs[[#Headers],[PLC]],Tariff_LED_Tbl[#Headers],0))</f>
        <v>59.182769971084383</v>
      </c>
      <c r="G42" s="771">
        <f>INDEX(Tariff_LED_Tbl[],MATCH(LED_Tariffs[[#This Row],[Lamp Type]:[Lamp Type]],Tariff_LED_Tbl[[LED]:[LED]],0),MATCH(LED_Tariffs[[#Headers],[TFI]],Tariff_LED_Tbl[#Headers],0))</f>
        <v>90.934201711284715</v>
      </c>
      <c r="H42" s="771">
        <f>INDEX(Tariff_LED_Tbl[],MATCH(LED_Tariffs[[#This Row],[Lamp Type]:[Lamp Type]],Tariff_LED_Tbl[[LED]:[LED]],0),MATCH(LED_Tariffs[[#Headers],[SAPN]],Tariff_LED_Tbl[#Headers],0))</f>
        <v>123.76501936077092</v>
      </c>
      <c r="J42" s="506"/>
      <c r="K42" s="83" t="s">
        <v>1014</v>
      </c>
      <c r="L42" s="771">
        <v>3.0946062538521595</v>
      </c>
      <c r="M42" s="771">
        <v>17.624074014019545</v>
      </c>
      <c r="N42" s="771">
        <v>60.004434716616515</v>
      </c>
      <c r="O42" s="771">
        <v>91.958111808370006</v>
      </c>
      <c r="P42" s="771">
        <v>124.99805011457578</v>
      </c>
      <c r="R42" s="506"/>
      <c r="S42" s="83" t="s">
        <v>1014</v>
      </c>
      <c r="T42" s="771">
        <v>3.1321148140898711</v>
      </c>
      <c r="U42" s="771">
        <v>17.766770134294958</v>
      </c>
      <c r="V42" s="771">
        <v>60.460791939165119</v>
      </c>
      <c r="W42" s="771">
        <v>92.648549298919917</v>
      </c>
      <c r="X42" s="771">
        <v>125.93052540225479</v>
      </c>
      <c r="Z42" s="506"/>
      <c r="AA42" s="83" t="s">
        <v>1014</v>
      </c>
      <c r="AB42" s="771">
        <v>3.1663226210266635</v>
      </c>
      <c r="AC42" s="771">
        <v>18.067501673630989</v>
      </c>
      <c r="AD42" s="771">
        <v>61.156080148810759</v>
      </c>
      <c r="AE42" s="771">
        <v>93.557318712982735</v>
      </c>
      <c r="AF42" s="771">
        <v>127.06003328729942</v>
      </c>
      <c r="AH42" s="506"/>
      <c r="AI42" s="83" t="s">
        <v>1014</v>
      </c>
      <c r="AJ42" s="771">
        <v>3.1969296061806358</v>
      </c>
      <c r="AK42" s="771">
        <v>18.183941707775723</v>
      </c>
      <c r="AL42" s="771">
        <v>61.684987304613728</v>
      </c>
      <c r="AM42" s="771">
        <v>94.277235367474759</v>
      </c>
      <c r="AN42" s="771">
        <v>127.97745278424878</v>
      </c>
    </row>
    <row r="43" spans="2:40" x14ac:dyDescent="0.2">
      <c r="B43" s="584"/>
      <c r="C43" s="83" t="s">
        <v>1015</v>
      </c>
      <c r="D43" s="771">
        <f>INDEX(Tariff_LED_Tbl[],MATCH(LED_Tariffs[[#This Row],[Lamp Type]:[Lamp Type]],Tariff_LED_Tbl[[LED]:[LED]],0),MATCH(LED_Tariffs[[#Headers],[ENERGY]],Tariff_LED_Tbl[#Headers],0))</f>
        <v>3.0621988578067763</v>
      </c>
      <c r="E43" s="771">
        <f>INDEX(Tariff_LED_Tbl[],MATCH(LED_Tariffs[[#This Row],[Lamp Type]:[Lamp Type]],Tariff_LED_Tbl[[LED]:[LED]],0),MATCH(LED_Tariffs[[#Headers],[CLER]],Tariff_LED_Tbl[#Headers],0))</f>
        <v>18.518585438359434</v>
      </c>
      <c r="F43" s="771">
        <f>INDEX(Tariff_LED_Tbl[],MATCH(LED_Tariffs[[#This Row],[Lamp Type]:[Lamp Type]],Tariff_LED_Tbl[[LED]:[LED]],0),MATCH(LED_Tariffs[[#Headers],[PLC]],Tariff_LED_Tbl[#Headers],0))</f>
        <v>60.141422012393463</v>
      </c>
      <c r="G43" s="771">
        <f>INDEX(Tariff_LED_Tbl[],MATCH(LED_Tariffs[[#This Row],[Lamp Type]:[Lamp Type]],Tariff_LED_Tbl[[LED]:[LED]],0),MATCH(LED_Tariffs[[#Headers],[TFI]],Tariff_LED_Tbl[#Headers],0))</f>
        <v>98.824935697009167</v>
      </c>
      <c r="H43" s="771">
        <f>INDEX(Tariff_LED_Tbl[],MATCH(LED_Tariffs[[#This Row],[Lamp Type]:[Lamp Type]],Tariff_LED_Tbl[[LED]:[LED]],0),MATCH(LED_Tariffs[[#Headers],[SAPN]],Tariff_LED_Tbl[#Headers],0))</f>
        <v>140.56722273389846</v>
      </c>
      <c r="J43" s="584"/>
      <c r="K43" s="83" t="s">
        <v>1015</v>
      </c>
      <c r="L43" s="771">
        <v>3.0946062538521595</v>
      </c>
      <c r="M43" s="771">
        <v>18.648172214099329</v>
      </c>
      <c r="N43" s="771">
        <v>60.969018120666419</v>
      </c>
      <c r="O43" s="771">
        <v>99.898932058614662</v>
      </c>
      <c r="P43" s="771">
        <v>141.9071026495271</v>
      </c>
      <c r="R43" s="584"/>
      <c r="S43" s="83" t="s">
        <v>1015</v>
      </c>
      <c r="T43" s="771">
        <v>3.1321148140898711</v>
      </c>
      <c r="U43" s="771">
        <v>18.798156908242724</v>
      </c>
      <c r="V43" s="771">
        <v>61.432240346387275</v>
      </c>
      <c r="W43" s="771">
        <v>100.64733976272963</v>
      </c>
      <c r="X43" s="771">
        <v>142.96324594857629</v>
      </c>
      <c r="Z43" s="584"/>
      <c r="AA43" s="83" t="s">
        <v>1015</v>
      </c>
      <c r="AB43" s="771">
        <v>3.1663226210266635</v>
      </c>
      <c r="AC43" s="771">
        <v>19.134689922418278</v>
      </c>
      <c r="AD43" s="771">
        <v>62.161249451615021</v>
      </c>
      <c r="AE43" s="771">
        <v>101.63643802425283</v>
      </c>
      <c r="AF43" s="771">
        <v>144.23299907267938</v>
      </c>
      <c r="AH43" s="584"/>
      <c r="AI43" s="83" t="s">
        <v>1015</v>
      </c>
      <c r="AJ43" s="771">
        <v>3.1969296061806358</v>
      </c>
      <c r="AK43" s="771">
        <v>19.257077432839289</v>
      </c>
      <c r="AL43" s="771">
        <v>62.695758450006565</v>
      </c>
      <c r="AM43" s="771">
        <v>102.40365837301393</v>
      </c>
      <c r="AN43" s="771">
        <v>145.25133166690685</v>
      </c>
    </row>
    <row r="44" spans="2:40" x14ac:dyDescent="0.2">
      <c r="B44" s="584"/>
      <c r="C44" s="83" t="s">
        <v>1089</v>
      </c>
      <c r="D44" s="771">
        <f>INDEX(Tariff_LED_Tbl[],MATCH(LED_Tariffs[[#This Row],[Lamp Type]:[Lamp Type]],Tariff_LED_Tbl[[LED]:[LED]],0),MATCH(LED_Tariffs[[#Headers],[ENERGY]],Tariff_LED_Tbl[#Headers],0))</f>
        <v>3.0621988578067763</v>
      </c>
      <c r="E44" s="771">
        <f>INDEX(Tariff_LED_Tbl[],MATCH(LED_Tariffs[[#This Row],[Lamp Type]:[Lamp Type]],Tariff_LED_Tbl[[LED]:[LED]],0),MATCH(LED_Tariffs[[#Headers],[CLER]],Tariff_LED_Tbl[#Headers],0))</f>
        <v>17.33232097345201</v>
      </c>
      <c r="F44" s="771">
        <f>INDEX(Tariff_LED_Tbl[],MATCH(LED_Tariffs[[#This Row],[Lamp Type]:[Lamp Type]],Tariff_LED_Tbl[[LED]:[LED]],0),MATCH(LED_Tariffs[[#Headers],[PLC]],Tariff_LED_Tbl[#Headers],0))</f>
        <v>59.024096529764265</v>
      </c>
      <c r="G44" s="771">
        <f>INDEX(Tariff_LED_Tbl[],MATCH(LED_Tariffs[[#This Row],[Lamp Type]:[Lamp Type]],Tariff_LED_Tbl[[LED]:[LED]],0),MATCH(LED_Tariffs[[#Headers],[TFI]],Tariff_LED_Tbl[#Headers],0))</f>
        <v>87.298470369230486</v>
      </c>
      <c r="H44" s="771">
        <f>INDEX(Tariff_LED_Tbl[],MATCH(LED_Tariffs[[#This Row],[Lamp Type]:[Lamp Type]],Tariff_LED_Tbl[[LED]:[LED]],0),MATCH(LED_Tariffs[[#Headers],[SAPN]],Tariff_LED_Tbl[#Headers],0))</f>
        <v>117.25609660021991</v>
      </c>
      <c r="J44" s="584"/>
      <c r="K44" s="83" t="s">
        <v>1089</v>
      </c>
      <c r="L44" s="771">
        <v>3.0946062538521595</v>
      </c>
      <c r="M44" s="771">
        <v>17.454568105040821</v>
      </c>
      <c r="N44" s="771">
        <v>59.84477953249791</v>
      </c>
      <c r="O44" s="771">
        <v>88.299251098702811</v>
      </c>
      <c r="P44" s="771">
        <v>118.44769677677604</v>
      </c>
      <c r="R44" s="584"/>
      <c r="S44" s="83" t="s">
        <v>1089</v>
      </c>
      <c r="T44" s="771">
        <v>3.1321148140898711</v>
      </c>
      <c r="U44" s="771">
        <v>17.596057840676021</v>
      </c>
      <c r="V44" s="771">
        <v>60.300000478659385</v>
      </c>
      <c r="W44" s="771">
        <v>88.962918487848825</v>
      </c>
      <c r="X44" s="771">
        <v>119.33222000745421</v>
      </c>
      <c r="Z44" s="584"/>
      <c r="AA44" s="83" t="s">
        <v>1089</v>
      </c>
      <c r="AB44" s="771">
        <v>3.1663226210266635</v>
      </c>
      <c r="AC44" s="771">
        <v>17.890863618659299</v>
      </c>
      <c r="AD44" s="771">
        <v>60.989707298691428</v>
      </c>
      <c r="AE44" s="771">
        <v>89.842728463882779</v>
      </c>
      <c r="AF44" s="771">
        <v>120.41345051096552</v>
      </c>
      <c r="AH44" s="584"/>
      <c r="AI44" s="83" t="s">
        <v>1089</v>
      </c>
      <c r="AJ44" s="771">
        <v>3.1969296061806358</v>
      </c>
      <c r="AK44" s="771">
        <v>18.006319242937618</v>
      </c>
      <c r="AL44" s="771">
        <v>61.517687252962503</v>
      </c>
      <c r="AM44" s="771">
        <v>90.540800715629231</v>
      </c>
      <c r="AN44" s="771">
        <v>121.2917411294022</v>
      </c>
    </row>
    <row r="45" spans="2:40" x14ac:dyDescent="0.2">
      <c r="B45" s="584"/>
      <c r="C45" s="83" t="s">
        <v>1161</v>
      </c>
      <c r="D45" s="771">
        <f>INDEX(Tariff_LED_Tbl[],MATCH(LED_Tariffs[[#This Row],[Lamp Type]:[Lamp Type]],Tariff_LED_Tbl[[LED]:[LED]],0),MATCH(LED_Tariffs[[#Headers],[ENERGY]],Tariff_LED_Tbl[#Headers],0))</f>
        <v>3.0621988578067763</v>
      </c>
      <c r="E45" s="771">
        <f>INDEX(Tariff_LED_Tbl[],MATCH(LED_Tariffs[[#This Row],[Lamp Type]:[Lamp Type]],Tariff_LED_Tbl[[LED]:[LED]],0),MATCH(LED_Tariffs[[#Headers],[CLER]],Tariff_LED_Tbl[#Headers],0))</f>
        <v>21.263138135275408</v>
      </c>
      <c r="F45" s="771">
        <f>INDEX(Tariff_LED_Tbl[],MATCH(LED_Tariffs[[#This Row],[Lamp Type]:[Lamp Type]],Tariff_LED_Tbl[[LED]:[LED]],0),MATCH(LED_Tariffs[[#Headers],[PLC]],Tariff_LED_Tbl[#Headers],0))</f>
        <v>62.726476827233782</v>
      </c>
      <c r="G45" s="771">
        <f>INDEX(Tariff_LED_Tbl[],MATCH(LED_Tariffs[[#This Row],[Lamp Type]:[Lamp Type]],Tariff_LED_Tbl[[LED]:[LED]],0),MATCH(LED_Tariffs[[#Headers],[TFI]],Tariff_LED_Tbl[#Headers],0))</f>
        <v>117.77302921064903</v>
      </c>
      <c r="H45" s="771">
        <f>INDEX(Tariff_LED_Tbl[],MATCH(LED_Tariffs[[#This Row],[Lamp Type]:[Lamp Type]],Tariff_LED_Tbl[[LED]:[LED]],0),MATCH(LED_Tariffs[[#Headers],[SAPN]],Tariff_LED_Tbl[#Headers],0))</f>
        <v>182.15178851936889</v>
      </c>
      <c r="J45" s="584"/>
      <c r="K45" s="83" t="s">
        <v>1161</v>
      </c>
      <c r="L45" s="771">
        <v>3.0946062538521595</v>
      </c>
      <c r="M45" s="771">
        <v>21.409705981211012</v>
      </c>
      <c r="N45" s="771">
        <v>63.570067161932016</v>
      </c>
      <c r="O45" s="771">
        <v>118.96724654792357</v>
      </c>
      <c r="P45" s="771">
        <v>183.75607570531929</v>
      </c>
      <c r="R45" s="584"/>
      <c r="S45" s="83" t="s">
        <v>1161</v>
      </c>
      <c r="T45" s="771">
        <v>3.1321148140898711</v>
      </c>
      <c r="U45" s="771">
        <v>21.579344691784613</v>
      </c>
      <c r="V45" s="771">
        <v>64.05180122379322</v>
      </c>
      <c r="W45" s="771">
        <v>119.85479889980358</v>
      </c>
      <c r="X45" s="771">
        <v>185.11824593761128</v>
      </c>
      <c r="Z45" s="584"/>
      <c r="AA45" s="83" t="s">
        <v>1161</v>
      </c>
      <c r="AB45" s="771">
        <v>3.1663226210266635</v>
      </c>
      <c r="AC45" s="771">
        <v>22.012418234665375</v>
      </c>
      <c r="AD45" s="771">
        <v>64.871740468142391</v>
      </c>
      <c r="AE45" s="771">
        <v>121.04484442464995</v>
      </c>
      <c r="AF45" s="771">
        <v>186.7411429693932</v>
      </c>
      <c r="AH45" s="584"/>
      <c r="AI45" s="83" t="s">
        <v>1161</v>
      </c>
      <c r="AJ45" s="771">
        <v>3.1969296061806358</v>
      </c>
      <c r="AK45" s="771">
        <v>22.150843422493434</v>
      </c>
      <c r="AL45" s="771">
        <v>65.421355124824444</v>
      </c>
      <c r="AM45" s="771">
        <v>121.92560680598734</v>
      </c>
      <c r="AN45" s="771">
        <v>188.00919354114683</v>
      </c>
    </row>
    <row r="46" spans="2:40" x14ac:dyDescent="0.2">
      <c r="B46" s="584"/>
      <c r="C46" s="83" t="s">
        <v>1163</v>
      </c>
      <c r="D46" s="771">
        <f>INDEX(Tariff_LED_Tbl[],MATCH(LED_Tariffs[[#This Row],[Lamp Type]:[Lamp Type]],Tariff_LED_Tbl[[LED]:[LED]],0),MATCH(LED_Tariffs[[#Headers],[ENERGY]],Tariff_LED_Tbl[#Headers],0))</f>
        <v>3.0621988578067763</v>
      </c>
      <c r="E46" s="771">
        <f>INDEX(Tariff_LED_Tbl[],MATCH(LED_Tariffs[[#This Row],[Lamp Type]:[Lamp Type]],Tariff_LED_Tbl[[LED]:[LED]],0),MATCH(LED_Tariffs[[#Headers],[CLER]],Tariff_LED_Tbl[#Headers],0))</f>
        <v>21.263138135275408</v>
      </c>
      <c r="F46" s="771">
        <f>INDEX(Tariff_LED_Tbl[],MATCH(LED_Tariffs[[#This Row],[Lamp Type]:[Lamp Type]],Tariff_LED_Tbl[[LED]:[LED]],0),MATCH(LED_Tariffs[[#Headers],[PLC]],Tariff_LED_Tbl[#Headers],0))</f>
        <v>62.726476827233782</v>
      </c>
      <c r="G46" s="771">
        <f>INDEX(Tariff_LED_Tbl[],MATCH(LED_Tariffs[[#This Row],[Lamp Type]:[Lamp Type]],Tariff_LED_Tbl[[LED]:[LED]],0),MATCH(LED_Tariffs[[#Headers],[TFI]],Tariff_LED_Tbl[#Headers],0))</f>
        <v>117.77302921064903</v>
      </c>
      <c r="H46" s="771">
        <f>INDEX(Tariff_LED_Tbl[],MATCH(LED_Tariffs[[#This Row],[Lamp Type]:[Lamp Type]],Tariff_LED_Tbl[[LED]:[LED]],0),MATCH(LED_Tariffs[[#Headers],[SAPN]],Tariff_LED_Tbl[#Headers],0))</f>
        <v>182.15178851936889</v>
      </c>
      <c r="J46" s="584"/>
      <c r="K46" s="83" t="s">
        <v>1163</v>
      </c>
      <c r="L46" s="771">
        <v>3.0946062538521595</v>
      </c>
      <c r="M46" s="771">
        <v>21.409705981211012</v>
      </c>
      <c r="N46" s="771">
        <v>63.570067161932016</v>
      </c>
      <c r="O46" s="771">
        <v>118.96724654792357</v>
      </c>
      <c r="P46" s="771">
        <v>183.75607570531929</v>
      </c>
      <c r="R46" s="584"/>
      <c r="S46" s="83" t="s">
        <v>1163</v>
      </c>
      <c r="T46" s="771">
        <v>3.1321148140898711</v>
      </c>
      <c r="U46" s="771">
        <v>21.579344691784613</v>
      </c>
      <c r="V46" s="771">
        <v>64.05180122379322</v>
      </c>
      <c r="W46" s="771">
        <v>119.85479889980358</v>
      </c>
      <c r="X46" s="771">
        <v>185.11824593761128</v>
      </c>
      <c r="Z46" s="584"/>
      <c r="AA46" s="83" t="s">
        <v>1163</v>
      </c>
      <c r="AB46" s="771">
        <v>3.1663226210266635</v>
      </c>
      <c r="AC46" s="771">
        <v>22.012418234665375</v>
      </c>
      <c r="AD46" s="771">
        <v>64.871740468142391</v>
      </c>
      <c r="AE46" s="771">
        <v>121.04484442464995</v>
      </c>
      <c r="AF46" s="771">
        <v>186.7411429693932</v>
      </c>
      <c r="AH46" s="584"/>
      <c r="AI46" s="83" t="s">
        <v>1163</v>
      </c>
      <c r="AJ46" s="771">
        <v>3.1969296061806358</v>
      </c>
      <c r="AK46" s="771">
        <v>22.150843422493434</v>
      </c>
      <c r="AL46" s="771">
        <v>65.421355124824444</v>
      </c>
      <c r="AM46" s="771">
        <v>121.92560680598734</v>
      </c>
      <c r="AN46" s="771">
        <v>188.00919354114683</v>
      </c>
    </row>
    <row r="47" spans="2:40" x14ac:dyDescent="0.2">
      <c r="B47" s="584"/>
      <c r="C47" s="83" t="s">
        <v>1165</v>
      </c>
      <c r="D47" s="771">
        <f>INDEX(Tariff_LED_Tbl[],MATCH(LED_Tariffs[[#This Row],[Lamp Type]:[Lamp Type]],Tariff_LED_Tbl[[LED]:[LED]],0),MATCH(LED_Tariffs[[#Headers],[ENERGY]],Tariff_LED_Tbl[#Headers],0))</f>
        <v>3.0621988578067763</v>
      </c>
      <c r="E47" s="771">
        <f>INDEX(Tariff_LED_Tbl[],MATCH(LED_Tariffs[[#This Row],[Lamp Type]:[Lamp Type]],Tariff_LED_Tbl[[LED]:[LED]],0),MATCH(LED_Tariffs[[#Headers],[CLER]],Tariff_LED_Tbl[#Headers],0))</f>
        <v>21.263138135275408</v>
      </c>
      <c r="F47" s="771">
        <f>INDEX(Tariff_LED_Tbl[],MATCH(LED_Tariffs[[#This Row],[Lamp Type]:[Lamp Type]],Tariff_LED_Tbl[[LED]:[LED]],0),MATCH(LED_Tariffs[[#Headers],[PLC]],Tariff_LED_Tbl[#Headers],0))</f>
        <v>62.726476827233782</v>
      </c>
      <c r="G47" s="771">
        <f>INDEX(Tariff_LED_Tbl[],MATCH(LED_Tariffs[[#This Row],[Lamp Type]:[Lamp Type]],Tariff_LED_Tbl[[LED]:[LED]],0),MATCH(LED_Tariffs[[#Headers],[TFI]],Tariff_LED_Tbl[#Headers],0))</f>
        <v>117.77302921064903</v>
      </c>
      <c r="H47" s="771">
        <f>INDEX(Tariff_LED_Tbl[],MATCH(LED_Tariffs[[#This Row],[Lamp Type]:[Lamp Type]],Tariff_LED_Tbl[[LED]:[LED]],0),MATCH(LED_Tariffs[[#Headers],[SAPN]],Tariff_LED_Tbl[#Headers],0))</f>
        <v>182.15178851936889</v>
      </c>
      <c r="J47" s="584"/>
      <c r="K47" s="83" t="s">
        <v>1165</v>
      </c>
      <c r="L47" s="771">
        <v>3.0946062538521595</v>
      </c>
      <c r="M47" s="771">
        <v>21.409705981211012</v>
      </c>
      <c r="N47" s="771">
        <v>63.570067161932016</v>
      </c>
      <c r="O47" s="771">
        <v>118.96724654792357</v>
      </c>
      <c r="P47" s="771">
        <v>183.75607570531929</v>
      </c>
      <c r="R47" s="584"/>
      <c r="S47" s="83" t="s">
        <v>1165</v>
      </c>
      <c r="T47" s="771">
        <v>3.1321148140898711</v>
      </c>
      <c r="U47" s="771">
        <v>21.579344691784613</v>
      </c>
      <c r="V47" s="771">
        <v>64.05180122379322</v>
      </c>
      <c r="W47" s="771">
        <v>119.85479889980358</v>
      </c>
      <c r="X47" s="771">
        <v>185.11824593761128</v>
      </c>
      <c r="Z47" s="584"/>
      <c r="AA47" s="83" t="s">
        <v>1165</v>
      </c>
      <c r="AB47" s="771">
        <v>3.1663226210266635</v>
      </c>
      <c r="AC47" s="771">
        <v>22.012418234665375</v>
      </c>
      <c r="AD47" s="771">
        <v>64.871740468142391</v>
      </c>
      <c r="AE47" s="771">
        <v>121.04484442464995</v>
      </c>
      <c r="AF47" s="771">
        <v>186.7411429693932</v>
      </c>
      <c r="AH47" s="584"/>
      <c r="AI47" s="83" t="s">
        <v>1165</v>
      </c>
      <c r="AJ47" s="771">
        <v>3.1969296061806358</v>
      </c>
      <c r="AK47" s="771">
        <v>22.150843422493434</v>
      </c>
      <c r="AL47" s="771">
        <v>65.421355124824444</v>
      </c>
      <c r="AM47" s="771">
        <v>121.92560680598734</v>
      </c>
      <c r="AN47" s="771">
        <v>188.00919354114683</v>
      </c>
    </row>
  </sheetData>
  <conditionalFormatting sqref="R8:X35 B8:H47 Z8:AF47 AH8:AN47 J8:P47">
    <cfRule type="expression" dxfId="291" priority="13">
      <formula>AND(LEN($E8)=0,LEN($B8)=0)</formula>
    </cfRule>
    <cfRule type="expression" dxfId="290" priority="14">
      <formula>AND(LEN($E8)=0,LEN($B8)&gt;0)</formula>
    </cfRule>
    <cfRule type="expression" dxfId="289" priority="15">
      <formula>LEN($C8)=0</formula>
    </cfRule>
  </conditionalFormatting>
  <conditionalFormatting sqref="R36:X47">
    <cfRule type="expression" dxfId="288" priority="68">
      <formula>AND(LEN($E36)=0,LEN($B36)=0)</formula>
    </cfRule>
    <cfRule type="expression" dxfId="287" priority="69">
      <formula>AND(LEN($E36)=0,LEN($B36)&gt;0)</formula>
    </cfRule>
    <cfRule type="expression" dxfId="286" priority="70">
      <formula>LEN($C36)=0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3">
    <tabColor theme="1"/>
  </sheetPr>
  <dimension ref="B2:S43"/>
  <sheetViews>
    <sheetView workbookViewId="0">
      <selection activeCell="O30" sqref="O30"/>
    </sheetView>
  </sheetViews>
  <sheetFormatPr defaultRowHeight="12" x14ac:dyDescent="0.2"/>
  <sheetData>
    <row r="2" spans="2:19" x14ac:dyDescent="0.2">
      <c r="B2" t="s">
        <v>769</v>
      </c>
    </row>
    <row r="3" spans="2:19" x14ac:dyDescent="0.2">
      <c r="B3" s="6" t="s">
        <v>768</v>
      </c>
    </row>
    <row r="6" spans="2:19" x14ac:dyDescent="0.2">
      <c r="C6" t="s">
        <v>161</v>
      </c>
      <c r="D6" t="s">
        <v>78</v>
      </c>
      <c r="E6" t="s">
        <v>52</v>
      </c>
      <c r="F6" t="s">
        <v>51</v>
      </c>
      <c r="G6" t="s">
        <v>53</v>
      </c>
      <c r="H6" t="s">
        <v>54</v>
      </c>
      <c r="I6" t="s">
        <v>104</v>
      </c>
      <c r="L6" t="s">
        <v>50</v>
      </c>
      <c r="M6" t="s">
        <v>78</v>
      </c>
      <c r="N6" t="s">
        <v>52</v>
      </c>
      <c r="O6" t="s">
        <v>51</v>
      </c>
      <c r="P6" t="s">
        <v>53</v>
      </c>
      <c r="Q6" t="s">
        <v>54</v>
      </c>
      <c r="R6" t="s">
        <v>49</v>
      </c>
      <c r="S6" t="s">
        <v>104</v>
      </c>
    </row>
    <row r="7" spans="2:19" x14ac:dyDescent="0.2">
      <c r="C7" t="s">
        <v>76</v>
      </c>
      <c r="D7">
        <v>3.0621988578067763</v>
      </c>
      <c r="E7">
        <v>16.167114457625789</v>
      </c>
      <c r="F7">
        <v>57.92660522730008</v>
      </c>
      <c r="G7">
        <v>74.831729533909879</v>
      </c>
      <c r="H7">
        <v>92.532256820482559</v>
      </c>
      <c r="I7">
        <v>0</v>
      </c>
      <c r="L7" t="s">
        <v>172</v>
      </c>
      <c r="M7">
        <v>3.0621988578067763</v>
      </c>
      <c r="N7">
        <v>43.863902749486321</v>
      </c>
      <c r="O7">
        <v>0</v>
      </c>
      <c r="P7">
        <v>0</v>
      </c>
      <c r="Q7">
        <v>0</v>
      </c>
      <c r="R7">
        <v>99.34120932738027</v>
      </c>
      <c r="S7">
        <v>0</v>
      </c>
    </row>
    <row r="8" spans="2:19" x14ac:dyDescent="0.2">
      <c r="C8" t="s">
        <v>86</v>
      </c>
      <c r="D8">
        <v>3.0621988578067763</v>
      </c>
      <c r="E8">
        <v>16.300481468473372</v>
      </c>
      <c r="F8">
        <v>58.052221701678512</v>
      </c>
      <c r="G8">
        <v>75.865687780315156</v>
      </c>
      <c r="H8">
        <v>94.731860446259631</v>
      </c>
      <c r="I8">
        <v>0</v>
      </c>
      <c r="L8" t="s">
        <v>173</v>
      </c>
      <c r="M8">
        <v>3.0621988578067763</v>
      </c>
      <c r="N8">
        <v>39.02666873760554</v>
      </c>
      <c r="O8">
        <v>0</v>
      </c>
      <c r="P8">
        <v>0</v>
      </c>
      <c r="Q8">
        <v>0</v>
      </c>
      <c r="R8">
        <v>75.420279042132918</v>
      </c>
      <c r="S8">
        <v>0</v>
      </c>
    </row>
    <row r="9" spans="2:19" x14ac:dyDescent="0.2">
      <c r="C9" t="s">
        <v>97</v>
      </c>
      <c r="D9">
        <v>3.0621988578067763</v>
      </c>
      <c r="E9">
        <v>16.68654386829531</v>
      </c>
      <c r="F9">
        <v>58.415848338037122</v>
      </c>
      <c r="G9">
        <v>78.858724809383048</v>
      </c>
      <c r="H9">
        <v>101.10363542842255</v>
      </c>
      <c r="I9">
        <v>0</v>
      </c>
      <c r="L9" t="s">
        <v>171</v>
      </c>
      <c r="M9">
        <v>3.0621988578067763</v>
      </c>
      <c r="N9">
        <v>62.28476071039902</v>
      </c>
      <c r="O9">
        <v>0</v>
      </c>
      <c r="P9">
        <v>0</v>
      </c>
      <c r="Q9">
        <v>0</v>
      </c>
      <c r="R9">
        <v>90.576759427319558</v>
      </c>
      <c r="S9">
        <v>0</v>
      </c>
    </row>
    <row r="10" spans="2:19" x14ac:dyDescent="0.2">
      <c r="C10" t="s">
        <v>111</v>
      </c>
      <c r="D10">
        <v>3.0621988578067763</v>
      </c>
      <c r="E10">
        <v>16.195191723067389</v>
      </c>
      <c r="F10">
        <v>57.953050800853433</v>
      </c>
      <c r="G10">
        <v>75.049404954205727</v>
      </c>
      <c r="H10">
        <v>92.997019266238723</v>
      </c>
      <c r="I10">
        <v>0</v>
      </c>
      <c r="L10" t="s">
        <v>179</v>
      </c>
      <c r="M10">
        <v>3.0621988578067763</v>
      </c>
      <c r="N10">
        <v>64.890149585532171</v>
      </c>
      <c r="O10">
        <v>0</v>
      </c>
      <c r="P10">
        <v>0</v>
      </c>
      <c r="Q10">
        <v>0</v>
      </c>
      <c r="R10">
        <v>95.874271256532708</v>
      </c>
      <c r="S10">
        <v>0</v>
      </c>
    </row>
    <row r="11" spans="2:19" x14ac:dyDescent="0.2">
      <c r="C11" t="s">
        <v>126</v>
      </c>
      <c r="D11">
        <v>3.0621988578067763</v>
      </c>
      <c r="E11">
        <v>16.195191723067389</v>
      </c>
      <c r="F11">
        <v>57.953050800853433</v>
      </c>
      <c r="G11">
        <v>75.049404954205727</v>
      </c>
      <c r="H11">
        <v>92.997019266238723</v>
      </c>
      <c r="I11">
        <v>0</v>
      </c>
      <c r="L11" t="s">
        <v>165</v>
      </c>
      <c r="M11">
        <v>3.0621988578067763</v>
      </c>
      <c r="N11">
        <v>28.231073615657884</v>
      </c>
      <c r="O11">
        <v>0</v>
      </c>
      <c r="P11">
        <v>0</v>
      </c>
      <c r="Q11">
        <v>0</v>
      </c>
      <c r="R11">
        <v>83.318414670856484</v>
      </c>
      <c r="S11">
        <v>0</v>
      </c>
    </row>
    <row r="12" spans="2:19" x14ac:dyDescent="0.2">
      <c r="C12" t="s">
        <v>477</v>
      </c>
      <c r="D12">
        <v>3.0621988578067763</v>
      </c>
      <c r="E12">
        <v>21.319292666158606</v>
      </c>
      <c r="F12">
        <v>62.779367974340502</v>
      </c>
      <c r="G12">
        <v>114.77516915819776</v>
      </c>
      <c r="H12">
        <v>177.58631652521677</v>
      </c>
      <c r="I12">
        <v>0</v>
      </c>
      <c r="L12" t="s">
        <v>167</v>
      </c>
      <c r="M12">
        <v>3.0621988578067763</v>
      </c>
      <c r="N12">
        <v>49.450384801121103</v>
      </c>
      <c r="O12">
        <v>0</v>
      </c>
      <c r="P12">
        <v>0</v>
      </c>
      <c r="Q12">
        <v>0</v>
      </c>
      <c r="R12">
        <v>74.264607193426329</v>
      </c>
      <c r="S12">
        <v>0</v>
      </c>
    </row>
    <row r="13" spans="2:19" x14ac:dyDescent="0.2">
      <c r="C13" t="s">
        <v>478</v>
      </c>
      <c r="D13">
        <v>3.0621988578067763</v>
      </c>
      <c r="E13">
        <v>21.319292666158606</v>
      </c>
      <c r="F13">
        <v>62.779367974340502</v>
      </c>
      <c r="G13">
        <v>114.77516915819776</v>
      </c>
      <c r="H13">
        <v>177.58631652521677</v>
      </c>
      <c r="I13">
        <v>0</v>
      </c>
      <c r="L13" t="s">
        <v>168</v>
      </c>
      <c r="M13">
        <v>3.0621988578067763</v>
      </c>
      <c r="N13">
        <v>42.083403430540152</v>
      </c>
      <c r="O13">
        <v>0</v>
      </c>
      <c r="P13">
        <v>0</v>
      </c>
      <c r="Q13">
        <v>0</v>
      </c>
      <c r="R13">
        <v>76.19865786100749</v>
      </c>
      <c r="S13">
        <v>0</v>
      </c>
    </row>
    <row r="14" spans="2:19" x14ac:dyDescent="0.2">
      <c r="C14" t="s">
        <v>127</v>
      </c>
      <c r="D14">
        <v>3.0621988578067763</v>
      </c>
      <c r="E14">
        <v>16.195191723067389</v>
      </c>
      <c r="F14">
        <v>57.953050800853433</v>
      </c>
      <c r="G14">
        <v>75.049404954205727</v>
      </c>
      <c r="H14">
        <v>92.997019266238723</v>
      </c>
      <c r="I14">
        <v>0</v>
      </c>
      <c r="L14" t="s">
        <v>169</v>
      </c>
      <c r="M14">
        <v>3.0621988578067763</v>
      </c>
      <c r="N14">
        <v>48.327428949941648</v>
      </c>
      <c r="O14">
        <v>0</v>
      </c>
      <c r="P14">
        <v>0</v>
      </c>
      <c r="Q14">
        <v>0</v>
      </c>
      <c r="R14">
        <v>87.254525270488713</v>
      </c>
      <c r="S14">
        <v>0</v>
      </c>
    </row>
    <row r="15" spans="2:19" x14ac:dyDescent="0.2">
      <c r="C15" t="s">
        <v>207</v>
      </c>
      <c r="D15">
        <v>3.0621988578067763</v>
      </c>
      <c r="E15">
        <v>16.195191723067389</v>
      </c>
      <c r="F15">
        <v>57.953050800853433</v>
      </c>
      <c r="G15">
        <v>75.049404954205727</v>
      </c>
      <c r="H15">
        <v>92.997019266238723</v>
      </c>
      <c r="I15">
        <v>0</v>
      </c>
      <c r="L15" t="s">
        <v>166</v>
      </c>
      <c r="M15">
        <v>3.0621988578067763</v>
      </c>
      <c r="N15">
        <v>58.277432893397908</v>
      </c>
      <c r="O15">
        <v>0</v>
      </c>
      <c r="P15">
        <v>0</v>
      </c>
      <c r="Q15">
        <v>0</v>
      </c>
      <c r="R15">
        <v>92.969146373969735</v>
      </c>
      <c r="S15">
        <v>0</v>
      </c>
    </row>
    <row r="16" spans="2:19" x14ac:dyDescent="0.2">
      <c r="C16" t="s">
        <v>132</v>
      </c>
      <c r="D16">
        <v>3.0621988578067763</v>
      </c>
      <c r="E16">
        <v>19.543405626977677</v>
      </c>
      <c r="F16">
        <v>61.106685447090868</v>
      </c>
      <c r="G16">
        <v>101.00719882448546</v>
      </c>
      <c r="H16">
        <v>148.26759908293167</v>
      </c>
      <c r="I16">
        <v>0</v>
      </c>
      <c r="L16" t="s">
        <v>193</v>
      </c>
      <c r="M16">
        <v>3.0621988578067763</v>
      </c>
      <c r="N16">
        <v>25.175568037371473</v>
      </c>
      <c r="O16">
        <v>0</v>
      </c>
      <c r="P16">
        <v>0</v>
      </c>
      <c r="Q16">
        <v>0</v>
      </c>
      <c r="R16">
        <v>73.064841344826775</v>
      </c>
      <c r="S16">
        <v>0</v>
      </c>
    </row>
    <row r="17" spans="3:19" x14ac:dyDescent="0.2">
      <c r="C17" t="s">
        <v>138</v>
      </c>
      <c r="D17">
        <v>3.0621988578067763</v>
      </c>
      <c r="E17">
        <v>16.195191723067389</v>
      </c>
      <c r="F17">
        <v>57.953050800853433</v>
      </c>
      <c r="G17">
        <v>75.049404954205727</v>
      </c>
      <c r="H17">
        <v>92.997019266238723</v>
      </c>
      <c r="I17">
        <v>0</v>
      </c>
      <c r="L17" t="s">
        <v>170</v>
      </c>
      <c r="M17">
        <v>3.0621988578067763</v>
      </c>
      <c r="N17">
        <v>27.978607947428259</v>
      </c>
      <c r="O17">
        <v>0</v>
      </c>
      <c r="P17">
        <v>0</v>
      </c>
      <c r="Q17">
        <v>0</v>
      </c>
      <c r="R17">
        <v>62.131301534804649</v>
      </c>
      <c r="S17">
        <v>0</v>
      </c>
    </row>
    <row r="18" spans="3:19" x14ac:dyDescent="0.2">
      <c r="C18" t="s">
        <v>139</v>
      </c>
      <c r="D18">
        <v>3.0621988578067763</v>
      </c>
      <c r="E18">
        <v>16.195191723067389</v>
      </c>
      <c r="F18">
        <v>57.953050800853433</v>
      </c>
      <c r="G18">
        <v>75.049404954205727</v>
      </c>
      <c r="H18">
        <v>92.997019266238723</v>
      </c>
      <c r="I18">
        <v>0</v>
      </c>
      <c r="L18" t="s">
        <v>489</v>
      </c>
      <c r="M18">
        <v>3.0621988578067763</v>
      </c>
      <c r="N18">
        <v>66.125346347905847</v>
      </c>
      <c r="O18">
        <v>112.12316421868053</v>
      </c>
      <c r="P18">
        <v>139.19173921590641</v>
      </c>
      <c r="Q18">
        <v>185.48039736007573</v>
      </c>
      <c r="R18">
        <v>127.84707399311662</v>
      </c>
      <c r="S18">
        <v>0</v>
      </c>
    </row>
    <row r="19" spans="3:19" x14ac:dyDescent="0.2">
      <c r="C19" t="s">
        <v>144</v>
      </c>
      <c r="D19">
        <v>3.0621988578067763</v>
      </c>
      <c r="E19">
        <v>19.543405626977677</v>
      </c>
      <c r="F19">
        <v>61.106685447090868</v>
      </c>
      <c r="G19">
        <v>101.00719882448546</v>
      </c>
      <c r="H19">
        <v>148.26759908293167</v>
      </c>
      <c r="I19">
        <v>0</v>
      </c>
      <c r="L19" t="s">
        <v>486</v>
      </c>
      <c r="M19">
        <v>3.0621988578067763</v>
      </c>
      <c r="N19">
        <v>45.703131348217561</v>
      </c>
      <c r="O19">
        <v>0</v>
      </c>
      <c r="P19">
        <v>0</v>
      </c>
      <c r="Q19">
        <v>0</v>
      </c>
      <c r="R19">
        <v>71.273507478523257</v>
      </c>
      <c r="S19">
        <v>0</v>
      </c>
    </row>
    <row r="20" spans="3:19" x14ac:dyDescent="0.2">
      <c r="C20" t="s">
        <v>147</v>
      </c>
      <c r="D20">
        <v>3.0621988578067763</v>
      </c>
      <c r="E20">
        <v>19.543405626977677</v>
      </c>
      <c r="F20">
        <v>61.106685447090868</v>
      </c>
      <c r="G20">
        <v>101.00719882448546</v>
      </c>
      <c r="H20">
        <v>148.26759908293167</v>
      </c>
      <c r="I20">
        <v>0</v>
      </c>
      <c r="L20" t="s">
        <v>488</v>
      </c>
      <c r="M20">
        <v>3.0621988578067763</v>
      </c>
      <c r="N20">
        <v>46.407102017369617</v>
      </c>
      <c r="O20">
        <v>0</v>
      </c>
      <c r="P20">
        <v>0</v>
      </c>
      <c r="Q20">
        <v>0</v>
      </c>
      <c r="R20">
        <v>96.657157120270099</v>
      </c>
      <c r="S20">
        <v>0</v>
      </c>
    </row>
    <row r="21" spans="3:19" x14ac:dyDescent="0.2">
      <c r="C21" t="s">
        <v>94</v>
      </c>
      <c r="D21">
        <v>3.0621988578067763</v>
      </c>
      <c r="E21">
        <v>18.139542354897891</v>
      </c>
      <c r="F21">
        <v>59.784406769423185</v>
      </c>
      <c r="G21">
        <v>93.55663870273608</v>
      </c>
      <c r="H21">
        <v>130.58861761330564</v>
      </c>
      <c r="I21">
        <v>0</v>
      </c>
      <c r="L21" t="s">
        <v>487</v>
      </c>
      <c r="M21">
        <v>3.0621988578067763</v>
      </c>
      <c r="N21">
        <v>50.932337253702997</v>
      </c>
      <c r="O21">
        <v>0</v>
      </c>
      <c r="P21">
        <v>0</v>
      </c>
      <c r="Q21">
        <v>0</v>
      </c>
      <c r="R21">
        <v>89.750857936045534</v>
      </c>
      <c r="S21">
        <v>0</v>
      </c>
    </row>
    <row r="22" spans="3:19" x14ac:dyDescent="0.2">
      <c r="C22" t="s">
        <v>101</v>
      </c>
      <c r="D22">
        <v>3.0621988578067763</v>
      </c>
      <c r="E22">
        <v>21.466698309726979</v>
      </c>
      <c r="F22">
        <v>62.918207235495601</v>
      </c>
      <c r="G22">
        <v>119.35117600779392</v>
      </c>
      <c r="H22">
        <v>185.51864358724617</v>
      </c>
      <c r="I22">
        <v>0</v>
      </c>
    </row>
    <row r="23" spans="3:19" x14ac:dyDescent="0.2">
      <c r="C23" t="s">
        <v>105</v>
      </c>
      <c r="D23">
        <v>3.0621988578067763</v>
      </c>
      <c r="E23">
        <v>21.466698309726979</v>
      </c>
      <c r="F23">
        <v>62.918207235495601</v>
      </c>
      <c r="G23">
        <v>119.35117600779392</v>
      </c>
      <c r="H23">
        <v>185.51864358724617</v>
      </c>
      <c r="I23">
        <v>0</v>
      </c>
    </row>
    <row r="24" spans="3:19" x14ac:dyDescent="0.2">
      <c r="C24" t="s">
        <v>114</v>
      </c>
      <c r="D24">
        <v>3.0621988578067763</v>
      </c>
      <c r="E24">
        <v>18.139542354897891</v>
      </c>
      <c r="F24">
        <v>59.784406769423185</v>
      </c>
      <c r="G24">
        <v>93.55663870273608</v>
      </c>
      <c r="H24">
        <v>130.58861761330564</v>
      </c>
      <c r="I24">
        <v>0</v>
      </c>
    </row>
    <row r="25" spans="3:19" x14ac:dyDescent="0.2">
      <c r="C25" t="s">
        <v>116</v>
      </c>
      <c r="D25">
        <v>3.0621988578067763</v>
      </c>
      <c r="E25">
        <v>18.139542354897891</v>
      </c>
      <c r="F25">
        <v>59.784406769423185</v>
      </c>
      <c r="G25">
        <v>93.55663870273608</v>
      </c>
      <c r="H25">
        <v>130.58861761330564</v>
      </c>
      <c r="I25">
        <v>0</v>
      </c>
    </row>
    <row r="26" spans="3:19" x14ac:dyDescent="0.2">
      <c r="C26" t="s">
        <v>121</v>
      </c>
      <c r="D26">
        <v>3.0621988578067763</v>
      </c>
      <c r="E26">
        <v>17.507803882461985</v>
      </c>
      <c r="F26">
        <v>59.189381364472723</v>
      </c>
      <c r="G26">
        <v>88.658941746079535</v>
      </c>
      <c r="H26">
        <v>120.15818922234101</v>
      </c>
      <c r="I26">
        <v>0</v>
      </c>
    </row>
    <row r="27" spans="3:19" x14ac:dyDescent="0.2">
      <c r="C27" t="s">
        <v>122</v>
      </c>
      <c r="D27">
        <v>3.0621988578067763</v>
      </c>
      <c r="E27">
        <v>18.139542354897891</v>
      </c>
      <c r="F27">
        <v>59.784406769423185</v>
      </c>
      <c r="G27">
        <v>93.55663870273608</v>
      </c>
      <c r="H27">
        <v>130.58861761330564</v>
      </c>
      <c r="I27">
        <v>0</v>
      </c>
    </row>
    <row r="28" spans="3:19" x14ac:dyDescent="0.2">
      <c r="C28" t="s">
        <v>123</v>
      </c>
      <c r="D28">
        <v>3.0621988578067763</v>
      </c>
      <c r="E28">
        <v>18.139542354897891</v>
      </c>
      <c r="F28">
        <v>59.784406769423185</v>
      </c>
      <c r="G28">
        <v>93.55663870273608</v>
      </c>
      <c r="H28">
        <v>130.58861761330564</v>
      </c>
      <c r="I28">
        <v>0</v>
      </c>
    </row>
    <row r="29" spans="3:19" x14ac:dyDescent="0.2">
      <c r="C29" t="s">
        <v>124</v>
      </c>
      <c r="D29">
        <v>3.0621988578067763</v>
      </c>
      <c r="E29">
        <v>19.543405626977677</v>
      </c>
      <c r="F29">
        <v>61.106685447090868</v>
      </c>
      <c r="G29">
        <v>104.44040971752841</v>
      </c>
      <c r="H29">
        <v>153.76259596859609</v>
      </c>
      <c r="I29">
        <v>0</v>
      </c>
    </row>
    <row r="30" spans="3:19" x14ac:dyDescent="0.2">
      <c r="C30" t="s">
        <v>141</v>
      </c>
      <c r="D30">
        <v>3.0621988578067763</v>
      </c>
      <c r="E30">
        <v>19.543405626977677</v>
      </c>
      <c r="F30">
        <v>61.106685447090868</v>
      </c>
      <c r="G30">
        <v>104.44040971752841</v>
      </c>
      <c r="H30">
        <v>153.76259596859609</v>
      </c>
      <c r="I30">
        <v>0</v>
      </c>
    </row>
    <row r="31" spans="3:19" x14ac:dyDescent="0.2">
      <c r="C31" t="s">
        <v>142</v>
      </c>
      <c r="D31">
        <v>3.0621988578067763</v>
      </c>
      <c r="E31">
        <v>21.466698309726979</v>
      </c>
      <c r="F31">
        <v>62.918207235495601</v>
      </c>
      <c r="G31">
        <v>119.35117600779392</v>
      </c>
      <c r="H31">
        <v>185.51864358724617</v>
      </c>
      <c r="I31">
        <v>0</v>
      </c>
    </row>
    <row r="32" spans="3:19" x14ac:dyDescent="0.2">
      <c r="C32" t="s">
        <v>143</v>
      </c>
      <c r="D32">
        <v>3.0621988578067763</v>
      </c>
      <c r="E32">
        <v>18.139542354897891</v>
      </c>
      <c r="F32">
        <v>59.784406769423185</v>
      </c>
      <c r="G32">
        <v>93.55663870273608</v>
      </c>
      <c r="H32">
        <v>130.58861761330564</v>
      </c>
      <c r="I32">
        <v>0</v>
      </c>
    </row>
    <row r="33" spans="3:10" x14ac:dyDescent="0.2">
      <c r="C33" t="s">
        <v>146</v>
      </c>
      <c r="D33">
        <v>3.0621988578067763</v>
      </c>
      <c r="E33">
        <v>18.490508172917835</v>
      </c>
      <c r="F33">
        <v>60.114976438840102</v>
      </c>
      <c r="G33">
        <v>96.277581456434177</v>
      </c>
      <c r="H33">
        <v>136.38211220212827</v>
      </c>
      <c r="I33">
        <v>0</v>
      </c>
    </row>
    <row r="34" spans="3:10" x14ac:dyDescent="0.2">
      <c r="C34" t="s">
        <v>149</v>
      </c>
      <c r="D34">
        <v>3.0621988578067763</v>
      </c>
      <c r="E34">
        <v>19.543405626977677</v>
      </c>
      <c r="F34">
        <v>61.106685447090868</v>
      </c>
      <c r="G34">
        <v>104.44040971752841</v>
      </c>
      <c r="H34">
        <v>153.76259596859609</v>
      </c>
      <c r="I34">
        <v>0</v>
      </c>
    </row>
    <row r="35" spans="3:10" x14ac:dyDescent="0.2">
      <c r="C35" t="s">
        <v>160</v>
      </c>
      <c r="D35">
        <v>3.0621988578067763</v>
      </c>
      <c r="E35">
        <v>17.507803882461985</v>
      </c>
      <c r="F35">
        <v>59.189381364472723</v>
      </c>
      <c r="G35">
        <v>88.658941746079535</v>
      </c>
      <c r="H35">
        <v>120.15818922234101</v>
      </c>
      <c r="I35">
        <v>0</v>
      </c>
    </row>
    <row r="36" spans="3:10" x14ac:dyDescent="0.2">
      <c r="C36" t="s">
        <v>1013</v>
      </c>
      <c r="D36">
        <v>3.0621988578067763</v>
      </c>
      <c r="E36">
        <v>16.195191723067389</v>
      </c>
      <c r="F36">
        <v>57.953050800853433</v>
      </c>
      <c r="G36">
        <v>77.379083774484883</v>
      </c>
      <c r="H36">
        <v>96.717367352252765</v>
      </c>
      <c r="I36">
        <v>0</v>
      </c>
    </row>
    <row r="37" spans="3:10" x14ac:dyDescent="0.2">
      <c r="C37" t="s">
        <v>1014</v>
      </c>
      <c r="D37">
        <v>3.0621988578067763</v>
      </c>
      <c r="E37">
        <v>17.500784566101586</v>
      </c>
      <c r="F37">
        <v>59.182769971084383</v>
      </c>
      <c r="G37">
        <v>90.934201711284715</v>
      </c>
      <c r="H37">
        <v>123.76501936077092</v>
      </c>
      <c r="I37">
        <v>0</v>
      </c>
    </row>
    <row r="38" spans="3:10" x14ac:dyDescent="0.2">
      <c r="C38" t="s">
        <v>1015</v>
      </c>
      <c r="D38">
        <v>3.0621988578067763</v>
      </c>
      <c r="E38">
        <v>18.518585438359434</v>
      </c>
      <c r="F38">
        <v>60.141422012393463</v>
      </c>
      <c r="G38">
        <v>98.824935697009167</v>
      </c>
      <c r="H38">
        <v>140.56722273389846</v>
      </c>
      <c r="I38">
        <v>0</v>
      </c>
    </row>
    <row r="39" spans="3:10" x14ac:dyDescent="0.2">
      <c r="C39" s="558" t="s">
        <v>1089</v>
      </c>
      <c r="D39" s="558">
        <v>3.0621988578067763</v>
      </c>
      <c r="E39" s="558">
        <v>17.33232097345201</v>
      </c>
      <c r="F39" s="558">
        <v>59.024096529764265</v>
      </c>
      <c r="G39" s="558">
        <v>87.298470369230486</v>
      </c>
      <c r="H39" s="558">
        <v>117.25609660021991</v>
      </c>
      <c r="I39" s="558">
        <v>0</v>
      </c>
    </row>
    <row r="40" spans="3:10" x14ac:dyDescent="0.2">
      <c r="C40" s="558" t="s">
        <v>1159</v>
      </c>
      <c r="D40" s="558">
        <v>3.0621988578067763</v>
      </c>
      <c r="E40" s="558">
        <v>19.894371444997621</v>
      </c>
      <c r="F40" s="558">
        <v>61.437255116507792</v>
      </c>
      <c r="G40" s="558">
        <v>103.72814157818355</v>
      </c>
      <c r="H40" s="558">
        <v>154.06109367175426</v>
      </c>
      <c r="I40" s="558">
        <v>0</v>
      </c>
    </row>
    <row r="41" spans="3:10" x14ac:dyDescent="0.2">
      <c r="C41" s="558" t="s">
        <v>1161</v>
      </c>
      <c r="D41" s="558">
        <v>3.0621988578067763</v>
      </c>
      <c r="E41" s="558">
        <v>21.263138135275408</v>
      </c>
      <c r="F41" s="558">
        <v>62.726476827233782</v>
      </c>
      <c r="G41" s="558">
        <v>117.77302921064903</v>
      </c>
      <c r="H41" s="558">
        <v>182.15178851936889</v>
      </c>
      <c r="I41" s="558">
        <v>0</v>
      </c>
    </row>
    <row r="42" spans="3:10" s="558" customFormat="1" x14ac:dyDescent="0.2">
      <c r="C42" s="558" t="s">
        <v>1163</v>
      </c>
      <c r="D42" s="558">
        <v>3.0621988578067763</v>
      </c>
      <c r="E42" s="558">
        <v>21.263138135275408</v>
      </c>
      <c r="F42" s="558">
        <v>62.726476827233782</v>
      </c>
      <c r="G42" s="558">
        <v>117.77302921064903</v>
      </c>
      <c r="H42" s="558">
        <v>182.15178851936889</v>
      </c>
      <c r="I42" s="558">
        <v>0</v>
      </c>
    </row>
    <row r="43" spans="3:10" s="558" customFormat="1" x14ac:dyDescent="0.2">
      <c r="C43" s="558" t="s">
        <v>1165</v>
      </c>
      <c r="D43" s="558">
        <v>3.0621988578067763</v>
      </c>
      <c r="E43" s="558">
        <v>21.263138135275408</v>
      </c>
      <c r="F43" s="558">
        <v>62.726476827233782</v>
      </c>
      <c r="G43" s="558">
        <v>117.77302921064903</v>
      </c>
      <c r="H43" s="558">
        <v>182.15178851936889</v>
      </c>
      <c r="I43" s="558">
        <v>0</v>
      </c>
      <c r="J43"/>
    </row>
  </sheetData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/>
  </sheetPr>
  <dimension ref="A1:P51"/>
  <sheetViews>
    <sheetView showGridLines="0" zoomScale="106" zoomScaleNormal="100" workbookViewId="0">
      <selection activeCell="M8" sqref="M8"/>
    </sheetView>
  </sheetViews>
  <sheetFormatPr defaultColWidth="9.1640625" defaultRowHeight="12" outlineLevelRow="1" outlineLevelCol="1" x14ac:dyDescent="0.2"/>
  <cols>
    <col min="1" max="2" width="4.6640625" style="190" customWidth="1"/>
    <col min="3" max="3" width="32" style="190" customWidth="1"/>
    <col min="4" max="6" width="16.5" style="190" customWidth="1" outlineLevel="1"/>
    <col min="7" max="13" width="12.6640625" style="190" customWidth="1"/>
    <col min="14" max="14" width="11" style="190" bestFit="1" customWidth="1"/>
    <col min="15" max="16384" width="9.1640625" style="190"/>
  </cols>
  <sheetData>
    <row r="1" spans="1:14" ht="18.75" x14ac:dyDescent="0.3">
      <c r="A1" s="189" t="str">
        <f>A_Name_Model</f>
        <v>Public Lighting Model</v>
      </c>
      <c r="B1" s="189"/>
      <c r="C1" s="33"/>
      <c r="G1" s="33"/>
      <c r="H1" s="189"/>
      <c r="I1" s="32"/>
      <c r="J1" s="32"/>
      <c r="K1" s="189"/>
      <c r="L1" s="189"/>
      <c r="M1" s="189"/>
      <c r="N1" s="189"/>
    </row>
    <row r="2" spans="1:14" ht="16.5" thickBot="1" x14ac:dyDescent="0.3">
      <c r="A2" s="19" t="str">
        <f ca="1">RIGHT(CELL("filename",A2),LEN(CELL("filename",A2))-FIND("]",CELL("filename",A2)))</f>
        <v>HID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4.1500000000000004" customHeight="1" thickTop="1" x14ac:dyDescent="0.2"/>
    <row r="4" spans="1:14" ht="12.75" x14ac:dyDescent="0.2">
      <c r="G4" s="702" t="s">
        <v>174</v>
      </c>
      <c r="H4" s="705" t="s">
        <v>487</v>
      </c>
      <c r="I4" s="507" t="s">
        <v>766</v>
      </c>
      <c r="L4" s="47"/>
    </row>
    <row r="5" spans="1:14" ht="4.1500000000000004" customHeight="1" x14ac:dyDescent="0.2"/>
    <row r="6" spans="1:14" ht="12.75" x14ac:dyDescent="0.2">
      <c r="A6" s="192"/>
      <c r="B6" s="192"/>
      <c r="C6" s="192"/>
      <c r="G6" s="702" t="s">
        <v>44</v>
      </c>
      <c r="H6" s="704" t="str">
        <f>Tariff_Year</f>
        <v>2020/21</v>
      </c>
      <c r="I6" s="507"/>
    </row>
    <row r="7" spans="1:14" ht="4.1500000000000004" customHeight="1" x14ac:dyDescent="0.2">
      <c r="A7" s="192"/>
      <c r="B7" s="192"/>
      <c r="C7" s="192"/>
      <c r="G7" s="703"/>
      <c r="H7" s="701"/>
      <c r="I7" s="507"/>
    </row>
    <row r="8" spans="1:14" ht="12.75" x14ac:dyDescent="0.2">
      <c r="A8" s="192"/>
      <c r="B8" s="192"/>
      <c r="C8" s="192"/>
      <c r="G8" s="702" t="s">
        <v>1149</v>
      </c>
      <c r="H8" s="704" t="str">
        <f>CPI_Year</f>
        <v>$June 2020</v>
      </c>
      <c r="I8" s="507"/>
    </row>
    <row r="9" spans="1:14" ht="12.75" thickBot="1" x14ac:dyDescent="0.25">
      <c r="A9" s="192"/>
    </row>
    <row r="10" spans="1:14" ht="12.75" x14ac:dyDescent="0.2">
      <c r="A10" s="192"/>
      <c r="B10" s="184" t="s">
        <v>6</v>
      </c>
      <c r="C10" s="183"/>
      <c r="D10" s="185" t="s">
        <v>231</v>
      </c>
      <c r="E10" s="182" t="s">
        <v>443</v>
      </c>
      <c r="F10" s="181" t="s">
        <v>508</v>
      </c>
      <c r="G10" s="187" t="s">
        <v>78</v>
      </c>
      <c r="H10" s="187" t="s">
        <v>52</v>
      </c>
      <c r="I10" s="187" t="s">
        <v>51</v>
      </c>
      <c r="J10" s="187" t="s">
        <v>53</v>
      </c>
      <c r="K10" s="187" t="s">
        <v>54</v>
      </c>
      <c r="L10" s="187" t="s">
        <v>49</v>
      </c>
      <c r="M10" s="188" t="s">
        <v>104</v>
      </c>
    </row>
    <row r="11" spans="1:14" ht="4.1500000000000004" customHeight="1" x14ac:dyDescent="0.2">
      <c r="A11" s="192"/>
      <c r="B11" s="192"/>
      <c r="C11" s="192"/>
      <c r="D11" s="193"/>
      <c r="E11" s="194"/>
      <c r="F11" s="195"/>
    </row>
    <row r="12" spans="1:14" outlineLevel="1" x14ac:dyDescent="0.2">
      <c r="A12" s="192"/>
      <c r="C12" s="79" t="s">
        <v>369</v>
      </c>
      <c r="D12" s="193"/>
      <c r="E12" s="194"/>
      <c r="F12" s="196"/>
    </row>
    <row r="13" spans="1:14" outlineLevel="1" x14ac:dyDescent="0.2">
      <c r="A13" s="192"/>
      <c r="C13" s="11" t="s">
        <v>238</v>
      </c>
      <c r="D13" s="388"/>
      <c r="E13" s="197"/>
      <c r="F13" s="198">
        <f>INDEX(HID_tbl[TFI Annuity],MATCH($H$4,HID_tbl[HID BaseLights],0))</f>
        <v>0</v>
      </c>
      <c r="G13" s="192"/>
      <c r="H13" s="192"/>
      <c r="I13" s="192"/>
      <c r="J13" s="199">
        <f>$F13</f>
        <v>0</v>
      </c>
      <c r="K13" s="192"/>
      <c r="L13" s="192"/>
      <c r="M13" s="192"/>
    </row>
    <row r="14" spans="1:14" outlineLevel="1" x14ac:dyDescent="0.2">
      <c r="A14" s="192"/>
      <c r="C14" s="11" t="s">
        <v>713</v>
      </c>
      <c r="D14" s="388"/>
      <c r="E14" s="197"/>
      <c r="F14" s="198">
        <f>INDEX(HID_tbl[HID Annuity],MATCH($H$4,HID_tbl[HID BaseLights],0))</f>
        <v>0</v>
      </c>
      <c r="G14" s="192"/>
      <c r="H14" s="192"/>
      <c r="I14" s="192"/>
      <c r="J14" s="192"/>
      <c r="K14" s="199">
        <f>$F14</f>
        <v>0</v>
      </c>
      <c r="M14" s="192"/>
    </row>
    <row r="15" spans="1:14" ht="4.1500000000000004" customHeight="1" outlineLevel="1" x14ac:dyDescent="0.2">
      <c r="A15" s="192"/>
      <c r="D15" s="388"/>
      <c r="E15" s="200"/>
      <c r="F15" s="201"/>
    </row>
    <row r="16" spans="1:14" x14ac:dyDescent="0.2">
      <c r="A16" s="192"/>
      <c r="C16" s="186" t="s">
        <v>509</v>
      </c>
      <c r="D16" s="389"/>
      <c r="E16" s="202"/>
      <c r="F16" s="203"/>
      <c r="G16" s="502">
        <f t="shared" ref="G16:M16" si="0">SUBTOTAL(9,G12:G15)</f>
        <v>0</v>
      </c>
      <c r="H16" s="502">
        <f t="shared" si="0"/>
        <v>0</v>
      </c>
      <c r="I16" s="502">
        <f t="shared" si="0"/>
        <v>0</v>
      </c>
      <c r="J16" s="502">
        <f t="shared" si="0"/>
        <v>0</v>
      </c>
      <c r="K16" s="502">
        <f t="shared" si="0"/>
        <v>0</v>
      </c>
      <c r="L16" s="502">
        <f t="shared" si="0"/>
        <v>0</v>
      </c>
      <c r="M16" s="502">
        <f t="shared" si="0"/>
        <v>0</v>
      </c>
    </row>
    <row r="17" spans="1:16" x14ac:dyDescent="0.2">
      <c r="A17" s="192"/>
      <c r="C17" s="38"/>
      <c r="D17" s="388"/>
      <c r="E17" s="200"/>
      <c r="F17" s="201"/>
    </row>
    <row r="18" spans="1:16" outlineLevel="1" x14ac:dyDescent="0.2">
      <c r="A18" s="192"/>
      <c r="C18" s="79" t="s">
        <v>370</v>
      </c>
      <c r="D18" s="388"/>
      <c r="E18" s="200"/>
      <c r="F18" s="201"/>
    </row>
    <row r="19" spans="1:16" outlineLevel="1" x14ac:dyDescent="0.2">
      <c r="A19" s="192"/>
      <c r="C19" s="11" t="s">
        <v>232</v>
      </c>
      <c r="D19" s="390">
        <f>INDEX(SLO!$F$8:$N$27,MATCH(H4,SLO!$F$8:$F$27,0),MATCH(Tariff_Year,SLO!$F$4:$N$4,0))</f>
        <v>7018.2451228611753</v>
      </c>
      <c r="E19" s="200">
        <f>INDEX(SLO!$F$75:$N$94,MATCH(H4,SLO!$F$8:$F$27,0),MATCH(Tariff_Year,SLO!$F$4:$N$4,0))</f>
        <v>330.12746982109564</v>
      </c>
      <c r="F19" s="198">
        <f>D19/E19</f>
        <v>21.25919762649421</v>
      </c>
      <c r="G19" s="204"/>
      <c r="I19" s="199">
        <f>IF($K$16&gt;0,$F19,0)</f>
        <v>0</v>
      </c>
      <c r="J19" s="199">
        <f>IF(J$16&gt;0,$F19,0)</f>
        <v>0</v>
      </c>
      <c r="K19" s="199">
        <f>IF($K$16&gt;0,$F19,0)</f>
        <v>0</v>
      </c>
      <c r="L19" s="199">
        <f t="shared" ref="H19:L21" si="1">$F19</f>
        <v>21.25919762649421</v>
      </c>
    </row>
    <row r="20" spans="1:16" outlineLevel="1" x14ac:dyDescent="0.2">
      <c r="A20" s="192"/>
      <c r="C20" s="11" t="s">
        <v>314</v>
      </c>
      <c r="D20" s="390"/>
      <c r="E20" s="200"/>
      <c r="F20" s="198">
        <f>INDEX(SLO_CLER_tbl[2017/18 to $CPI],MATCH(H4,SLO_CLER_tbl[Base Light],0))</f>
        <v>22.179809565085293</v>
      </c>
      <c r="G20" s="204"/>
      <c r="H20" s="199">
        <f t="shared" si="1"/>
        <v>22.179809565085293</v>
      </c>
    </row>
    <row r="21" spans="1:16" outlineLevel="1" x14ac:dyDescent="0.2">
      <c r="A21" s="192"/>
      <c r="C21" s="11" t="s">
        <v>239</v>
      </c>
      <c r="D21" s="390">
        <f>ROUND(INDEX('Bulk Lamp'!$F$9:$N$28,MATCH($H$4,'Bulk Lamp'!$F$9:$F$28,0),MATCH(Tariff_Year,'Bulk Lamp'!$F$4:$N$4,0)),2)</f>
        <v>710.16</v>
      </c>
      <c r="E21" s="200">
        <f ca="1">OFFSET('Bulk Lamp'!$E$149,MATCH($H$4,'Bulk Lamp'!$F$150:$F$168,0),MATCH(Tariff_Year,'Bulk Lamp'!$F$4:$N$4,0),1,1)</f>
        <v>31</v>
      </c>
      <c r="F21" s="198">
        <f ca="1">IFERROR(D21/E21,0)</f>
        <v>22.908387096774192</v>
      </c>
      <c r="G21" s="192"/>
      <c r="H21" s="199">
        <f t="shared" ca="1" si="1"/>
        <v>22.908387096774192</v>
      </c>
      <c r="I21" s="192"/>
      <c r="J21" s="192"/>
      <c r="K21" s="199">
        <f>IF($K$16&gt;0,$F21,0)</f>
        <v>0</v>
      </c>
      <c r="L21" s="199">
        <f t="shared" ca="1" si="1"/>
        <v>22.908387096774192</v>
      </c>
    </row>
    <row r="22" spans="1:16" ht="4.1500000000000004" customHeight="1" outlineLevel="1" x14ac:dyDescent="0.2">
      <c r="A22" s="192"/>
      <c r="C22" s="205"/>
      <c r="D22" s="388"/>
      <c r="E22" s="200"/>
      <c r="F22" s="201"/>
    </row>
    <row r="23" spans="1:16" x14ac:dyDescent="0.2">
      <c r="A23" s="192"/>
      <c r="C23" s="186" t="s">
        <v>1154</v>
      </c>
      <c r="D23" s="389"/>
      <c r="E23" s="202"/>
      <c r="F23" s="203"/>
      <c r="G23" s="502">
        <f t="shared" ref="G23:M23" si="2">SUBTOTAL(9,G18:G22)</f>
        <v>0</v>
      </c>
      <c r="H23" s="502">
        <f t="shared" ca="1" si="2"/>
        <v>45.088196661859484</v>
      </c>
      <c r="I23" s="502">
        <f t="shared" si="2"/>
        <v>0</v>
      </c>
      <c r="J23" s="502">
        <f t="shared" si="2"/>
        <v>0</v>
      </c>
      <c r="K23" s="502">
        <f t="shared" si="2"/>
        <v>0</v>
      </c>
      <c r="L23" s="502">
        <f t="shared" ca="1" si="2"/>
        <v>44.167584723268405</v>
      </c>
      <c r="M23" s="502">
        <f t="shared" si="2"/>
        <v>0</v>
      </c>
    </row>
    <row r="24" spans="1:16" x14ac:dyDescent="0.2">
      <c r="A24" s="192"/>
      <c r="C24" s="38"/>
      <c r="D24" s="388"/>
      <c r="E24" s="200"/>
      <c r="F24" s="201"/>
    </row>
    <row r="25" spans="1:16" outlineLevel="1" x14ac:dyDescent="0.2">
      <c r="A25" s="192"/>
      <c r="C25" s="79" t="s">
        <v>468</v>
      </c>
      <c r="D25" s="388"/>
      <c r="E25" s="200"/>
      <c r="F25" s="201"/>
    </row>
    <row r="26" spans="1:16" outlineLevel="1" x14ac:dyDescent="0.2">
      <c r="A26" s="192"/>
      <c r="C26" s="11" t="s">
        <v>964</v>
      </c>
      <c r="D26" s="390">
        <f>INDEX('PTRM Integration'!$8:$8,1,MATCH(Tariff_Year,'PTRM Integration'!$4:$4,0))</f>
        <v>3619982.1729570497</v>
      </c>
      <c r="E26" s="197">
        <f>INDEX(Denominator_tbl[Total Lights],MATCH(C26,Denominator_tbl[Line Item],0))</f>
        <v>192772</v>
      </c>
      <c r="F26" s="198">
        <f>D26/E26</f>
        <v>18.778568324015158</v>
      </c>
      <c r="I26" s="199">
        <f>IF($K$16&gt;0,$F26,0)</f>
        <v>0</v>
      </c>
      <c r="J26" s="199">
        <f t="shared" ref="J26" si="3">IF(J$16&gt;0,$F26,0)</f>
        <v>0</v>
      </c>
      <c r="K26" s="199">
        <f>IF($K$16&gt;0,$F26,0)</f>
        <v>0</v>
      </c>
      <c r="L26" s="199">
        <f t="shared" ref="L26" si="4">$F26</f>
        <v>18.778568324015158</v>
      </c>
    </row>
    <row r="27" spans="1:16" ht="4.1500000000000004" customHeight="1" outlineLevel="1" x14ac:dyDescent="0.2">
      <c r="A27" s="192"/>
      <c r="C27" s="205"/>
      <c r="D27" s="388"/>
      <c r="E27" s="200"/>
      <c r="F27" s="201"/>
    </row>
    <row r="28" spans="1:16" x14ac:dyDescent="0.2">
      <c r="A28" s="192"/>
      <c r="C28" s="186" t="s">
        <v>678</v>
      </c>
      <c r="D28" s="389"/>
      <c r="E28" s="202"/>
      <c r="F28" s="203"/>
      <c r="G28" s="502">
        <f t="shared" ref="G28:M28" si="5">SUBTOTAL(9,G25:G27)</f>
        <v>0</v>
      </c>
      <c r="H28" s="502">
        <f t="shared" si="5"/>
        <v>0</v>
      </c>
      <c r="I28" s="502">
        <f t="shared" si="5"/>
        <v>0</v>
      </c>
      <c r="J28" s="502">
        <f t="shared" si="5"/>
        <v>0</v>
      </c>
      <c r="K28" s="502">
        <f t="shared" si="5"/>
        <v>0</v>
      </c>
      <c r="L28" s="502">
        <f t="shared" si="5"/>
        <v>18.778568324015158</v>
      </c>
      <c r="M28" s="502">
        <f t="shared" si="5"/>
        <v>0</v>
      </c>
    </row>
    <row r="29" spans="1:16" x14ac:dyDescent="0.2">
      <c r="A29" s="192"/>
      <c r="C29" s="38"/>
      <c r="D29" s="388"/>
      <c r="E29" s="200"/>
      <c r="F29" s="201"/>
      <c r="P29" s="431"/>
    </row>
    <row r="30" spans="1:16" outlineLevel="1" x14ac:dyDescent="0.2">
      <c r="A30" s="192"/>
      <c r="C30" s="79" t="s">
        <v>679</v>
      </c>
      <c r="D30" s="388"/>
      <c r="E30" s="197"/>
      <c r="F30" s="201"/>
    </row>
    <row r="31" spans="1:16" outlineLevel="1" x14ac:dyDescent="0.2">
      <c r="A31" s="192"/>
      <c r="C31" s="11" t="s">
        <v>500</v>
      </c>
      <c r="D31" s="390">
        <f>INDEX('Column Inspections'!$8:$8,MATCH(Tariff_Year,'Column Inspections'!$4:$4,0))</f>
        <v>1638731.0757482024</v>
      </c>
      <c r="E31" s="197">
        <f>INDEX(Denominator_tbl[Total Lights],MATCH(C31,Denominator_tbl[Line Item],0))</f>
        <v>192772</v>
      </c>
      <c r="F31" s="198">
        <f>D31/E31</f>
        <v>8.5008770762776873</v>
      </c>
      <c r="I31" s="199">
        <f>IF($K$16&gt;0,$F31,0)</f>
        <v>0</v>
      </c>
      <c r="J31" s="199">
        <f t="shared" ref="J31:J32" si="6">IF(J$16&gt;0,$F31,0)</f>
        <v>0</v>
      </c>
      <c r="K31" s="199">
        <f>IF($K$16&gt;0,$F31,0)</f>
        <v>0</v>
      </c>
      <c r="L31" s="199">
        <f t="shared" ref="L31:L32" si="7">$F31</f>
        <v>8.5008770762776873</v>
      </c>
    </row>
    <row r="32" spans="1:16" outlineLevel="1" x14ac:dyDescent="0.2">
      <c r="A32" s="192"/>
      <c r="C32" s="11" t="s">
        <v>632</v>
      </c>
      <c r="D32" s="390">
        <f>INDEX('Cable Faults'!$8:$8,MATCH(Tariff_Year,'Cable Faults'!$4:$4,0))</f>
        <v>1658373.6135892307</v>
      </c>
      <c r="E32" s="197">
        <f>INDEX(Denominator_tbl[Total Lights],MATCH(C32,Denominator_tbl[Line Item],0))</f>
        <v>192772</v>
      </c>
      <c r="F32" s="198">
        <f>D32/E32</f>
        <v>8.6027722573259116</v>
      </c>
      <c r="H32" s="206"/>
      <c r="I32" s="199">
        <f>IF($K$16&gt;0,$F32,0)</f>
        <v>0</v>
      </c>
      <c r="J32" s="199">
        <f t="shared" si="6"/>
        <v>0</v>
      </c>
      <c r="K32" s="199">
        <f>IF($K$16&gt;0,$F32,0)</f>
        <v>0</v>
      </c>
      <c r="L32" s="199">
        <f t="shared" si="7"/>
        <v>8.6027722573259116</v>
      </c>
    </row>
    <row r="33" spans="1:13" ht="4.1500000000000004" customHeight="1" outlineLevel="1" x14ac:dyDescent="0.2">
      <c r="A33" s="192"/>
      <c r="C33" s="205"/>
      <c r="D33" s="388"/>
      <c r="E33" s="200"/>
      <c r="F33" s="201"/>
    </row>
    <row r="34" spans="1:13" x14ac:dyDescent="0.2">
      <c r="A34" s="192"/>
      <c r="C34" s="186" t="s">
        <v>680</v>
      </c>
      <c r="D34" s="389"/>
      <c r="E34" s="202"/>
      <c r="F34" s="203"/>
      <c r="G34" s="502">
        <f t="shared" ref="G34:M34" si="8">SUBTOTAL(9,G30:G33)</f>
        <v>0</v>
      </c>
      <c r="H34" s="502">
        <f t="shared" si="8"/>
        <v>0</v>
      </c>
      <c r="I34" s="502">
        <f t="shared" si="8"/>
        <v>0</v>
      </c>
      <c r="J34" s="502">
        <f t="shared" si="8"/>
        <v>0</v>
      </c>
      <c r="K34" s="502">
        <f t="shared" si="8"/>
        <v>0</v>
      </c>
      <c r="L34" s="502">
        <f t="shared" si="8"/>
        <v>17.103649333603599</v>
      </c>
      <c r="M34" s="502">
        <f t="shared" si="8"/>
        <v>0</v>
      </c>
    </row>
    <row r="35" spans="1:13" x14ac:dyDescent="0.2">
      <c r="A35" s="192"/>
      <c r="C35" s="38"/>
      <c r="D35" s="388"/>
      <c r="E35" s="200"/>
      <c r="F35" s="201"/>
    </row>
    <row r="36" spans="1:13" outlineLevel="1" x14ac:dyDescent="0.2">
      <c r="A36" s="192"/>
      <c r="C36" s="79" t="s">
        <v>25</v>
      </c>
      <c r="D36" s="388"/>
      <c r="E36" s="197"/>
      <c r="F36" s="201"/>
    </row>
    <row r="37" spans="1:13" outlineLevel="1" x14ac:dyDescent="0.2">
      <c r="A37" s="192"/>
      <c r="C37" s="11" t="s">
        <v>55</v>
      </c>
      <c r="D37" s="390">
        <f>INDEX(GSL!$8:$8,1,MATCH(Tariff_Year,GSL!$4:$4,0))</f>
        <v>69532.076052954129</v>
      </c>
      <c r="E37" s="197">
        <f>INDEX(Denominator_tbl[Total Lights],MATCH(C37,Denominator_tbl[Line Item],0))</f>
        <v>192772</v>
      </c>
      <c r="F37" s="198">
        <f t="shared" ref="F37:F43" si="9">D37/E37</f>
        <v>0.36069593121902627</v>
      </c>
      <c r="G37" s="192"/>
      <c r="H37" s="192"/>
      <c r="I37" s="199">
        <f t="shared" ref="I37:I43" si="10">IF($K$16&gt;0,$F37,0)</f>
        <v>0</v>
      </c>
      <c r="J37" s="199">
        <f t="shared" ref="J37:J45" si="11">IF(J$16&gt;0,$F37,0)</f>
        <v>0</v>
      </c>
      <c r="K37" s="199">
        <f t="shared" ref="K37:K43" si="12">IF($K$16&gt;0,$F37,0)</f>
        <v>0</v>
      </c>
      <c r="L37" s="199">
        <f t="shared" ref="L37" si="13">$F$37</f>
        <v>0.36069593121902627</v>
      </c>
    </row>
    <row r="38" spans="1:13" outlineLevel="1" x14ac:dyDescent="0.2">
      <c r="A38" s="192"/>
      <c r="C38" s="11" t="s">
        <v>240</v>
      </c>
      <c r="D38" s="390">
        <f>INDEX(Table20[],MATCH(C38,Table20[[ ]],0),MATCH(Tariff_Year,Table20[#Headers],0))</f>
        <v>117947.02293603239</v>
      </c>
      <c r="E38" s="197">
        <f>INDEX(Denominator_tbl[Total Lights],MATCH(C38,Denominator_tbl[Line Item],0))</f>
        <v>226795</v>
      </c>
      <c r="F38" s="198">
        <f>D38/E38</f>
        <v>0.52006006717975439</v>
      </c>
      <c r="G38" s="199">
        <f>$F38</f>
        <v>0.52006006717975439</v>
      </c>
      <c r="H38" s="199">
        <f>$F38</f>
        <v>0.52006006717975439</v>
      </c>
      <c r="I38" s="199">
        <f>IF($K$16&gt;0,$F38,0)</f>
        <v>0</v>
      </c>
      <c r="J38" s="199">
        <f>IF(J$16&gt;0,$F38,0)</f>
        <v>0</v>
      </c>
      <c r="K38" s="199">
        <f>IF($K$16&gt;0,$F38,0)</f>
        <v>0</v>
      </c>
      <c r="L38" s="199">
        <f>$F38</f>
        <v>0.52006006717975439</v>
      </c>
    </row>
    <row r="39" spans="1:13" outlineLevel="1" x14ac:dyDescent="0.2">
      <c r="A39" s="192"/>
      <c r="C39" s="11" t="s">
        <v>235</v>
      </c>
      <c r="D39" s="390">
        <f>INDEX(Table20[],MATCH(C39,Table20[[ ]],0),MATCH(Tariff_Year,Table20[#Headers],0))</f>
        <v>67785.645365535849</v>
      </c>
      <c r="E39" s="197">
        <f>INDEX(Denominator_tbl[Total Lights],MATCH(C39,Denominator_tbl[Line Item],0))</f>
        <v>226795</v>
      </c>
      <c r="F39" s="198">
        <f t="shared" si="9"/>
        <v>0.29888509608031855</v>
      </c>
      <c r="G39" s="199">
        <f t="shared" ref="G39:H42" si="14">$F39</f>
        <v>0.29888509608031855</v>
      </c>
      <c r="H39" s="199">
        <f t="shared" si="14"/>
        <v>0.29888509608031855</v>
      </c>
      <c r="I39" s="199">
        <f t="shared" si="10"/>
        <v>0</v>
      </c>
      <c r="J39" s="199">
        <f t="shared" si="11"/>
        <v>0</v>
      </c>
      <c r="K39" s="199">
        <f t="shared" si="12"/>
        <v>0</v>
      </c>
      <c r="L39" s="199">
        <f t="shared" ref="L39:L45" si="15">$F39</f>
        <v>0.29888509608031855</v>
      </c>
    </row>
    <row r="40" spans="1:13" outlineLevel="1" x14ac:dyDescent="0.2">
      <c r="A40" s="192"/>
      <c r="C40" s="11" t="s">
        <v>236</v>
      </c>
      <c r="D40" s="390">
        <f>INDEX(Table20[],MATCH(C40,Table20[[ ]],0),MATCH(Tariff_Year,Table20[#Headers],0))</f>
        <v>94899.903511750177</v>
      </c>
      <c r="E40" s="197">
        <f>INDEX(Denominator_tbl[Total Lights],MATCH(C40,Denominator_tbl[Line Item],0))</f>
        <v>226795</v>
      </c>
      <c r="F40" s="198">
        <f t="shared" si="9"/>
        <v>0.41843913451244596</v>
      </c>
      <c r="G40" s="199">
        <f t="shared" si="14"/>
        <v>0.41843913451244596</v>
      </c>
      <c r="H40" s="199">
        <f t="shared" si="14"/>
        <v>0.41843913451244596</v>
      </c>
      <c r="I40" s="199">
        <f t="shared" si="10"/>
        <v>0</v>
      </c>
      <c r="J40" s="199">
        <f t="shared" si="11"/>
        <v>0</v>
      </c>
      <c r="K40" s="199">
        <f t="shared" si="12"/>
        <v>0</v>
      </c>
      <c r="L40" s="199">
        <f t="shared" si="15"/>
        <v>0.41843913451244596</v>
      </c>
    </row>
    <row r="41" spans="1:13" outlineLevel="1" x14ac:dyDescent="0.2">
      <c r="A41" s="192"/>
      <c r="C41" s="11" t="s">
        <v>237</v>
      </c>
      <c r="D41" s="390">
        <f>INDEX(Table20[],MATCH(C41,Table20[[ ]],0),MATCH(Tariff_Year,Table20[#Headers],0))</f>
        <v>237927.61523303081</v>
      </c>
      <c r="E41" s="197">
        <f>INDEX(Denominator_tbl[Total Lights],MATCH(C41,Denominator_tbl[Line Item],0))</f>
        <v>226795</v>
      </c>
      <c r="F41" s="198">
        <f t="shared" si="9"/>
        <v>1.049086687241918</v>
      </c>
      <c r="G41" s="199">
        <f t="shared" si="14"/>
        <v>1.049086687241918</v>
      </c>
      <c r="H41" s="199">
        <f t="shared" si="14"/>
        <v>1.049086687241918</v>
      </c>
      <c r="I41" s="199">
        <f t="shared" si="10"/>
        <v>0</v>
      </c>
      <c r="J41" s="199">
        <f t="shared" si="11"/>
        <v>0</v>
      </c>
      <c r="K41" s="199">
        <f t="shared" si="12"/>
        <v>0</v>
      </c>
      <c r="L41" s="199">
        <f t="shared" si="15"/>
        <v>1.049086687241918</v>
      </c>
    </row>
    <row r="42" spans="1:13" outlineLevel="1" x14ac:dyDescent="0.2">
      <c r="A42" s="192"/>
      <c r="C42" s="11" t="s">
        <v>974</v>
      </c>
      <c r="D42" s="390">
        <f>INDEX(Table20[],MATCH(C42,Table20[[ ]],0),MATCH(Tariff_Year,Table20[#Headers],0))</f>
        <v>135571.2907310717</v>
      </c>
      <c r="E42" s="197">
        <f>INDEX(Denominator_tbl[Total Lights],MATCH(C42,Denominator_tbl[Line Item],0))</f>
        <v>226795</v>
      </c>
      <c r="F42" s="198">
        <f t="shared" ref="F42" si="16">D42/E42</f>
        <v>0.59777019216063709</v>
      </c>
      <c r="G42" s="199">
        <f t="shared" si="14"/>
        <v>0.59777019216063709</v>
      </c>
      <c r="H42" s="199">
        <f t="shared" si="14"/>
        <v>0.59777019216063709</v>
      </c>
      <c r="I42" s="199">
        <f t="shared" si="10"/>
        <v>0</v>
      </c>
      <c r="J42" s="199">
        <f t="shared" si="11"/>
        <v>0</v>
      </c>
      <c r="K42" s="199">
        <f t="shared" si="12"/>
        <v>0</v>
      </c>
      <c r="L42" s="199">
        <f t="shared" si="15"/>
        <v>0.59777019216063709</v>
      </c>
    </row>
    <row r="43" spans="1:13" outlineLevel="1" x14ac:dyDescent="0.2">
      <c r="A43" s="192"/>
      <c r="C43" s="11" t="s">
        <v>26</v>
      </c>
      <c r="D43" s="390">
        <f>INDEX(Table20[],MATCH(C43,Table20[[ ]],0),MATCH(Tariff_Year,Table20[#Headers],0))</f>
        <v>203356.93609660756</v>
      </c>
      <c r="E43" s="197">
        <f>INDEX(Denominator_tbl[Total Lights],MATCH(C43,Denominator_tbl[Line Item],0))</f>
        <v>192772</v>
      </c>
      <c r="F43" s="198">
        <f t="shared" si="9"/>
        <v>1.0549090951829496</v>
      </c>
      <c r="G43" s="192"/>
      <c r="H43" s="192"/>
      <c r="I43" s="199">
        <f t="shared" si="10"/>
        <v>0</v>
      </c>
      <c r="J43" s="199">
        <f t="shared" si="11"/>
        <v>0</v>
      </c>
      <c r="K43" s="199">
        <f t="shared" si="12"/>
        <v>0</v>
      </c>
      <c r="L43" s="199">
        <f t="shared" si="15"/>
        <v>1.0549090951829496</v>
      </c>
    </row>
    <row r="44" spans="1:13" outlineLevel="1" x14ac:dyDescent="0.2">
      <c r="A44" s="192"/>
      <c r="C44" s="11" t="s">
        <v>783</v>
      </c>
      <c r="D44" s="390"/>
      <c r="E44" s="197">
        <f>INDEX(Denominator_tbl[Total Lights],MATCH(C44,Denominator_tbl[Line Item],0))</f>
        <v>34023</v>
      </c>
      <c r="F44" s="198"/>
      <c r="G44" s="199">
        <f t="shared" ref="G44:H44" si="17">SUM(G23,G34,G36:G43)*Margin</f>
        <v>0.17795768063170206</v>
      </c>
      <c r="H44" s="199">
        <f t="shared" ca="1" si="17"/>
        <v>2.9598994146684325</v>
      </c>
    </row>
    <row r="45" spans="1:13" outlineLevel="1" x14ac:dyDescent="0.2">
      <c r="A45" s="192"/>
      <c r="C45" s="11" t="s">
        <v>1254</v>
      </c>
      <c r="D45" s="390">
        <f>Use_of_Pole*Lights_on_Stobi_Poles*__DynamicYrNominal</f>
        <v>1041201.9291230352</v>
      </c>
      <c r="E45" s="197">
        <f>INDEX(Denominator_tbl[Total Lights],MATCH(C45,Denominator_tbl[Line Item],0))</f>
        <v>192772</v>
      </c>
      <c r="F45" s="198">
        <f t="shared" ref="F45" si="18">D45/E45</f>
        <v>5.4012093515813246</v>
      </c>
      <c r="G45" s="192"/>
      <c r="H45" s="192"/>
      <c r="I45" s="199">
        <f>IF($K$16&gt;0,$F45,0)</f>
        <v>0</v>
      </c>
      <c r="J45" s="199">
        <f t="shared" si="11"/>
        <v>0</v>
      </c>
      <c r="K45" s="199">
        <f>IF($K$16&gt;0,$F45,0)</f>
        <v>0</v>
      </c>
      <c r="L45" s="199">
        <f t="shared" si="15"/>
        <v>5.4012093515813246</v>
      </c>
    </row>
    <row r="46" spans="1:13" ht="4.1500000000000004" customHeight="1" outlineLevel="1" x14ac:dyDescent="0.2">
      <c r="C46" s="205"/>
      <c r="D46" s="388"/>
      <c r="E46" s="200"/>
      <c r="F46" s="201"/>
    </row>
    <row r="47" spans="1:13" x14ac:dyDescent="0.2">
      <c r="C47" s="186" t="s">
        <v>510</v>
      </c>
      <c r="D47" s="389"/>
      <c r="E47" s="202"/>
      <c r="F47" s="203"/>
      <c r="G47" s="502">
        <f t="shared" ref="G47:M47" si="19">SUBTOTAL(9,G36:G46)</f>
        <v>3.0621988578067763</v>
      </c>
      <c r="H47" s="502">
        <f t="shared" ca="1" si="19"/>
        <v>5.844140591843507</v>
      </c>
      <c r="I47" s="502">
        <f t="shared" si="19"/>
        <v>0</v>
      </c>
      <c r="J47" s="502">
        <f t="shared" si="19"/>
        <v>0</v>
      </c>
      <c r="K47" s="502">
        <f t="shared" si="19"/>
        <v>0</v>
      </c>
      <c r="L47" s="502">
        <f t="shared" si="19"/>
        <v>9.7010555551583746</v>
      </c>
      <c r="M47" s="502">
        <f t="shared" si="19"/>
        <v>0</v>
      </c>
    </row>
    <row r="48" spans="1:13" x14ac:dyDescent="0.2">
      <c r="C48" s="205"/>
      <c r="D48" s="193"/>
      <c r="E48" s="194"/>
      <c r="F48" s="196"/>
    </row>
    <row r="49" spans="2:13" ht="4.1500000000000004" customHeight="1" x14ac:dyDescent="0.2">
      <c r="D49" s="193"/>
      <c r="E49" s="194"/>
      <c r="F49" s="195"/>
    </row>
    <row r="50" spans="2:13" ht="12.75" thickBot="1" x14ac:dyDescent="0.25">
      <c r="B50" s="207" t="s">
        <v>234</v>
      </c>
      <c r="C50" s="207"/>
      <c r="D50" s="208"/>
      <c r="E50" s="209"/>
      <c r="F50" s="210"/>
      <c r="G50" s="503">
        <f t="shared" ref="G50:M50" si="20">SUBTOTAL(9,G11:G49)</f>
        <v>3.0621988578067763</v>
      </c>
      <c r="H50" s="503">
        <f t="shared" ca="1" si="20"/>
        <v>50.932337253702997</v>
      </c>
      <c r="I50" s="503">
        <f t="shared" si="20"/>
        <v>0</v>
      </c>
      <c r="J50" s="503">
        <f t="shared" si="20"/>
        <v>0</v>
      </c>
      <c r="K50" s="503">
        <f t="shared" si="20"/>
        <v>0</v>
      </c>
      <c r="L50" s="503">
        <f ca="1">SUBTOTAL(9,L11:L49)</f>
        <v>89.750857936045534</v>
      </c>
      <c r="M50" s="503">
        <f t="shared" si="20"/>
        <v>0</v>
      </c>
    </row>
    <row r="51" spans="2:13" ht="12.75" thickTop="1" x14ac:dyDescent="0.2"/>
  </sheetData>
  <dataValidations count="2">
    <dataValidation type="list" allowBlank="1" showInputMessage="1" showErrorMessage="1" sqref="H4" xr:uid="{00000000-0002-0000-0400-000000000000}">
      <formula1>Equipt_BaseLamp_lst</formula1>
    </dataValidation>
    <dataValidation type="list" allowBlank="1" showInputMessage="1" showErrorMessage="1" sqref="C13:C14 C19:C21 C26 C31:C32 C37:C45" xr:uid="{00000000-0002-0000-0400-000001000000}">
      <formula1>Denominator_lst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6">
    <tabColor theme="4"/>
  </sheetPr>
  <dimension ref="A1:M49"/>
  <sheetViews>
    <sheetView showGridLines="0" zoomScaleNormal="100" workbookViewId="0">
      <selection activeCell="K15" sqref="K15"/>
    </sheetView>
  </sheetViews>
  <sheetFormatPr defaultColWidth="9.1640625" defaultRowHeight="12" outlineLevelRow="1" outlineLevelCol="1" x14ac:dyDescent="0.2"/>
  <cols>
    <col min="1" max="2" width="4.6640625" style="190" customWidth="1"/>
    <col min="3" max="3" width="32" style="190" customWidth="1"/>
    <col min="4" max="6" width="16.5" style="190" customWidth="1" outlineLevel="1"/>
    <col min="7" max="12" width="12.6640625" style="190" customWidth="1"/>
    <col min="13" max="13" width="11" style="190" bestFit="1" customWidth="1"/>
    <col min="14" max="16384" width="9.1640625" style="190"/>
  </cols>
  <sheetData>
    <row r="1" spans="1:13" ht="18.75" x14ac:dyDescent="0.3">
      <c r="A1" s="189" t="str">
        <f>A_Name_Model</f>
        <v>Public Lighting Model</v>
      </c>
      <c r="B1" s="189"/>
      <c r="C1" s="33"/>
      <c r="G1" s="33"/>
      <c r="H1" s="189"/>
      <c r="I1" s="32"/>
      <c r="J1" s="32"/>
      <c r="K1" s="189"/>
      <c r="L1" s="189"/>
      <c r="M1" s="189"/>
    </row>
    <row r="2" spans="1:13" ht="16.5" thickBot="1" x14ac:dyDescent="0.3">
      <c r="A2" s="19" t="str">
        <f ca="1">RIGHT(CELL("filename",A2),LEN(CELL("filename",A2))-FIND("]",CELL("filename",A2)))</f>
        <v>LED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4.1500000000000004" customHeight="1" thickTop="1" x14ac:dyDescent="0.2"/>
    <row r="4" spans="1:13" ht="12.75" x14ac:dyDescent="0.2">
      <c r="G4" s="702" t="s">
        <v>174</v>
      </c>
      <c r="H4" s="705" t="s">
        <v>1165</v>
      </c>
      <c r="I4" s="507" t="s">
        <v>767</v>
      </c>
    </row>
    <row r="5" spans="1:13" ht="4.1500000000000004" customHeight="1" x14ac:dyDescent="0.2"/>
    <row r="6" spans="1:13" ht="12.75" x14ac:dyDescent="0.2">
      <c r="G6" s="702" t="s">
        <v>44</v>
      </c>
      <c r="H6" s="704" t="str">
        <f>Tariff_Year</f>
        <v>2020/21</v>
      </c>
      <c r="I6" s="507"/>
    </row>
    <row r="7" spans="1:13" ht="4.1500000000000004" customHeight="1" x14ac:dyDescent="0.2">
      <c r="A7" s="192"/>
      <c r="G7" s="703"/>
      <c r="H7" s="701"/>
    </row>
    <row r="8" spans="1:13" ht="12.75" x14ac:dyDescent="0.2">
      <c r="A8" s="192"/>
      <c r="G8" s="702" t="s">
        <v>1149</v>
      </c>
      <c r="H8" s="704" t="str">
        <f>CPI_Year</f>
        <v>$June 2020</v>
      </c>
    </row>
    <row r="9" spans="1:13" ht="12.75" thickBot="1" x14ac:dyDescent="0.25">
      <c r="A9" s="192"/>
    </row>
    <row r="10" spans="1:13" ht="12.75" x14ac:dyDescent="0.2">
      <c r="A10" s="192"/>
      <c r="B10" s="184" t="s">
        <v>6</v>
      </c>
      <c r="C10" s="183"/>
      <c r="D10" s="185" t="s">
        <v>231</v>
      </c>
      <c r="E10" s="182" t="s">
        <v>443</v>
      </c>
      <c r="F10" s="181" t="s">
        <v>508</v>
      </c>
      <c r="G10" s="187" t="s">
        <v>78</v>
      </c>
      <c r="H10" s="187" t="s">
        <v>52</v>
      </c>
      <c r="I10" s="187" t="s">
        <v>51</v>
      </c>
      <c r="J10" s="187" t="s">
        <v>53</v>
      </c>
      <c r="K10" s="187" t="s">
        <v>54</v>
      </c>
      <c r="L10" s="188" t="s">
        <v>104</v>
      </c>
    </row>
    <row r="11" spans="1:13" ht="4.1500000000000004" customHeight="1" x14ac:dyDescent="0.2">
      <c r="A11" s="192"/>
      <c r="B11" s="192"/>
      <c r="C11" s="192"/>
      <c r="D11" s="193"/>
      <c r="E11" s="194"/>
      <c r="F11" s="195"/>
    </row>
    <row r="12" spans="1:13" outlineLevel="1" x14ac:dyDescent="0.2">
      <c r="C12" s="79" t="s">
        <v>369</v>
      </c>
      <c r="D12" s="193"/>
      <c r="E12" s="194"/>
      <c r="F12" s="196"/>
    </row>
    <row r="13" spans="1:13" outlineLevel="1" x14ac:dyDescent="0.2">
      <c r="C13" s="11" t="s">
        <v>626</v>
      </c>
      <c r="D13" s="388"/>
      <c r="E13" s="197"/>
      <c r="F13" s="198">
        <f>INDEX(LED_OM_Tbl[Luminaire Annuity],MATCH($H$4,LED_OM_Tbl[LED Light],0))</f>
        <v>119.42531169213512</v>
      </c>
      <c r="G13" s="192"/>
      <c r="H13" s="192"/>
      <c r="I13" s="192"/>
      <c r="J13" s="192"/>
      <c r="K13" s="199">
        <f>$F13</f>
        <v>119.42531169213512</v>
      </c>
      <c r="L13" s="192"/>
    </row>
    <row r="14" spans="1:13" outlineLevel="1" x14ac:dyDescent="0.2">
      <c r="C14" s="11" t="s">
        <v>238</v>
      </c>
      <c r="D14" s="388"/>
      <c r="E14" s="197"/>
      <c r="F14" s="198">
        <f>INDEX(LED_OM_Tbl[TFI Annuity],MATCH($H$4,LED_OM_Tbl[LED Light],0))</f>
        <v>55.046552383415246</v>
      </c>
      <c r="G14" s="192"/>
      <c r="H14" s="192"/>
      <c r="I14" s="192"/>
      <c r="J14" s="199">
        <f>$F14</f>
        <v>55.046552383415246</v>
      </c>
      <c r="K14" s="192"/>
      <c r="L14" s="192"/>
    </row>
    <row r="15" spans="1:13" ht="4.1500000000000004" customHeight="1" outlineLevel="1" x14ac:dyDescent="0.2">
      <c r="D15" s="388"/>
      <c r="E15" s="200"/>
      <c r="F15" s="201"/>
    </row>
    <row r="16" spans="1:13" x14ac:dyDescent="0.2">
      <c r="C16" s="186" t="s">
        <v>509</v>
      </c>
      <c r="D16" s="389"/>
      <c r="E16" s="202"/>
      <c r="F16" s="203"/>
      <c r="G16" s="502">
        <f t="shared" ref="G16:L16" si="0">SUBTOTAL(9,G12:G15)</f>
        <v>0</v>
      </c>
      <c r="H16" s="502">
        <f t="shared" si="0"/>
        <v>0</v>
      </c>
      <c r="I16" s="502">
        <f t="shared" si="0"/>
        <v>0</v>
      </c>
      <c r="J16" s="502">
        <f t="shared" si="0"/>
        <v>55.046552383415246</v>
      </c>
      <c r="K16" s="502">
        <f t="shared" si="0"/>
        <v>119.42531169213512</v>
      </c>
      <c r="L16" s="502">
        <f t="shared" si="0"/>
        <v>0</v>
      </c>
    </row>
    <row r="17" spans="3:12" x14ac:dyDescent="0.2">
      <c r="C17" s="38"/>
      <c r="D17" s="388"/>
      <c r="E17" s="200"/>
      <c r="F17" s="201"/>
    </row>
    <row r="18" spans="3:12" outlineLevel="1" x14ac:dyDescent="0.2">
      <c r="C18" s="79" t="s">
        <v>370</v>
      </c>
      <c r="D18" s="388"/>
      <c r="E18" s="200"/>
      <c r="F18" s="201"/>
    </row>
    <row r="19" spans="3:12" outlineLevel="1" x14ac:dyDescent="0.2">
      <c r="C19" s="11" t="s">
        <v>419</v>
      </c>
      <c r="D19" s="388"/>
      <c r="E19" s="200"/>
      <c r="F19" s="198">
        <f>INDEX(LED_OM_Tbl[LED O&amp;M Annuity],MATCH($H$4,LED_OM_Tbl[LED Light],0))</f>
        <v>17.143203614456652</v>
      </c>
      <c r="G19" s="192"/>
      <c r="H19" s="199">
        <f t="shared" ref="H19:K19" si="1">$F19</f>
        <v>17.143203614456652</v>
      </c>
      <c r="I19" s="199">
        <f t="shared" si="1"/>
        <v>17.143203614456652</v>
      </c>
      <c r="J19" s="199">
        <f t="shared" si="1"/>
        <v>17.143203614456652</v>
      </c>
      <c r="K19" s="199">
        <f t="shared" si="1"/>
        <v>17.143203614456652</v>
      </c>
    </row>
    <row r="20" spans="3:12" ht="4.1500000000000004" customHeight="1" outlineLevel="1" x14ac:dyDescent="0.2">
      <c r="C20" s="205"/>
      <c r="D20" s="388"/>
      <c r="E20" s="200"/>
      <c r="F20" s="201"/>
    </row>
    <row r="21" spans="3:12" x14ac:dyDescent="0.2">
      <c r="C21" s="186" t="s">
        <v>1154</v>
      </c>
      <c r="D21" s="389"/>
      <c r="E21" s="202"/>
      <c r="F21" s="203"/>
      <c r="G21" s="502">
        <f t="shared" ref="G21:L21" si="2">SUBTOTAL(9,G18:G20)</f>
        <v>0</v>
      </c>
      <c r="H21" s="502">
        <f t="shared" si="2"/>
        <v>17.143203614456652</v>
      </c>
      <c r="I21" s="502">
        <f t="shared" si="2"/>
        <v>17.143203614456652</v>
      </c>
      <c r="J21" s="502">
        <f t="shared" si="2"/>
        <v>17.143203614456652</v>
      </c>
      <c r="K21" s="502">
        <f t="shared" si="2"/>
        <v>17.143203614456652</v>
      </c>
      <c r="L21" s="502">
        <f t="shared" si="2"/>
        <v>0</v>
      </c>
    </row>
    <row r="22" spans="3:12" x14ac:dyDescent="0.2">
      <c r="C22" s="38"/>
      <c r="D22" s="388"/>
      <c r="E22" s="200"/>
      <c r="F22" s="201"/>
    </row>
    <row r="23" spans="3:12" outlineLevel="1" x14ac:dyDescent="0.2">
      <c r="C23" s="79" t="s">
        <v>468</v>
      </c>
      <c r="D23" s="388"/>
      <c r="E23" s="200"/>
      <c r="F23" s="201"/>
    </row>
    <row r="24" spans="3:12" outlineLevel="1" x14ac:dyDescent="0.2">
      <c r="C24" s="11" t="s">
        <v>964</v>
      </c>
      <c r="D24" s="390">
        <f>INDEX('PTRM Integration'!$8:$8,1,MATCH(Tariff_Year,'PTRM Integration'!$4:$4,0))</f>
        <v>3619982.1729570497</v>
      </c>
      <c r="E24" s="197">
        <f>INDEX(Denominator_tbl[Total Lights],MATCH(C24,Denominator_tbl[Line Item],0))</f>
        <v>192772</v>
      </c>
      <c r="F24" s="198">
        <f>D24/E24</f>
        <v>18.778568324015158</v>
      </c>
      <c r="I24" s="199">
        <f t="shared" ref="I24:K24" si="3">$F24</f>
        <v>18.778568324015158</v>
      </c>
      <c r="J24" s="199">
        <f t="shared" si="3"/>
        <v>18.778568324015158</v>
      </c>
      <c r="K24" s="199">
        <f t="shared" si="3"/>
        <v>18.778568324015158</v>
      </c>
    </row>
    <row r="25" spans="3:12" ht="4.1500000000000004" customHeight="1" outlineLevel="1" x14ac:dyDescent="0.2">
      <c r="C25" s="205"/>
      <c r="D25" s="388"/>
      <c r="E25" s="200"/>
      <c r="F25" s="201"/>
    </row>
    <row r="26" spans="3:12" x14ac:dyDescent="0.2">
      <c r="C26" s="186" t="s">
        <v>678</v>
      </c>
      <c r="D26" s="389"/>
      <c r="E26" s="202"/>
      <c r="F26" s="203"/>
      <c r="G26" s="502">
        <f t="shared" ref="G26:L26" si="4">SUBTOTAL(9,G23:G25)</f>
        <v>0</v>
      </c>
      <c r="H26" s="502">
        <f t="shared" si="4"/>
        <v>0</v>
      </c>
      <c r="I26" s="502">
        <f t="shared" si="4"/>
        <v>18.778568324015158</v>
      </c>
      <c r="J26" s="502">
        <f t="shared" si="4"/>
        <v>18.778568324015158</v>
      </c>
      <c r="K26" s="502">
        <f t="shared" si="4"/>
        <v>18.778568324015158</v>
      </c>
      <c r="L26" s="502">
        <f t="shared" si="4"/>
        <v>0</v>
      </c>
    </row>
    <row r="27" spans="3:12" x14ac:dyDescent="0.2">
      <c r="C27" s="38"/>
      <c r="D27" s="388"/>
      <c r="E27" s="200"/>
      <c r="F27" s="201"/>
    </row>
    <row r="28" spans="3:12" outlineLevel="1" x14ac:dyDescent="0.2">
      <c r="C28" s="79" t="s">
        <v>679</v>
      </c>
      <c r="D28" s="388"/>
      <c r="E28" s="197"/>
      <c r="F28" s="201"/>
    </row>
    <row r="29" spans="3:12" outlineLevel="1" x14ac:dyDescent="0.2">
      <c r="C29" s="11" t="s">
        <v>500</v>
      </c>
      <c r="D29" s="390">
        <f>INDEX('Column Inspections'!$8:$8,MATCH(Tariff_Year,'Column Inspections'!$4:$4,0))</f>
        <v>1638731.0757482024</v>
      </c>
      <c r="E29" s="197">
        <f>INDEX(Denominator_tbl[Total Lights],MATCH(C29,Denominator_tbl[Line Item],0))</f>
        <v>192772</v>
      </c>
      <c r="F29" s="198">
        <f>D29/E29</f>
        <v>8.5008770762776873</v>
      </c>
      <c r="I29" s="199">
        <f t="shared" ref="I29:K30" si="5">$F29</f>
        <v>8.5008770762776873</v>
      </c>
      <c r="J29" s="199">
        <f t="shared" si="5"/>
        <v>8.5008770762776873</v>
      </c>
      <c r="K29" s="199">
        <f t="shared" si="5"/>
        <v>8.5008770762776873</v>
      </c>
    </row>
    <row r="30" spans="3:12" outlineLevel="1" x14ac:dyDescent="0.2">
      <c r="C30" s="11" t="s">
        <v>632</v>
      </c>
      <c r="D30" s="390">
        <f>INDEX('Cable Faults'!$8:$8,MATCH(Tariff_Year,'Cable Faults'!$4:$4,0))</f>
        <v>1658373.6135892307</v>
      </c>
      <c r="E30" s="197">
        <f>INDEX(Denominator_tbl[Total Lights],MATCH(C30,Denominator_tbl[Line Item],0))</f>
        <v>192772</v>
      </c>
      <c r="F30" s="198">
        <f>D30/E30</f>
        <v>8.6027722573259116</v>
      </c>
      <c r="H30" s="206"/>
      <c r="I30" s="199">
        <f t="shared" si="5"/>
        <v>8.6027722573259116</v>
      </c>
      <c r="J30" s="199">
        <f t="shared" si="5"/>
        <v>8.6027722573259116</v>
      </c>
      <c r="K30" s="199">
        <f t="shared" si="5"/>
        <v>8.6027722573259116</v>
      </c>
    </row>
    <row r="31" spans="3:12" ht="4.1500000000000004" customHeight="1" outlineLevel="1" x14ac:dyDescent="0.2">
      <c r="C31" s="205"/>
      <c r="D31" s="388"/>
      <c r="E31" s="200"/>
      <c r="F31" s="201"/>
    </row>
    <row r="32" spans="3:12" x14ac:dyDescent="0.2">
      <c r="C32" s="186" t="s">
        <v>680</v>
      </c>
      <c r="D32" s="389"/>
      <c r="E32" s="202"/>
      <c r="F32" s="203"/>
      <c r="G32" s="502">
        <f t="shared" ref="G32:L32" si="6">SUBTOTAL(9,G28:G31)</f>
        <v>0</v>
      </c>
      <c r="H32" s="502">
        <f t="shared" si="6"/>
        <v>0</v>
      </c>
      <c r="I32" s="502">
        <f t="shared" si="6"/>
        <v>17.103649333603599</v>
      </c>
      <c r="J32" s="502">
        <f t="shared" si="6"/>
        <v>17.103649333603599</v>
      </c>
      <c r="K32" s="502">
        <f t="shared" si="6"/>
        <v>17.103649333603599</v>
      </c>
      <c r="L32" s="502">
        <f t="shared" si="6"/>
        <v>0</v>
      </c>
    </row>
    <row r="33" spans="2:12" x14ac:dyDescent="0.2">
      <c r="C33" s="38"/>
      <c r="D33" s="388"/>
      <c r="E33" s="200"/>
      <c r="F33" s="201"/>
    </row>
    <row r="34" spans="2:12" outlineLevel="1" x14ac:dyDescent="0.2">
      <c r="C34" s="79" t="s">
        <v>25</v>
      </c>
      <c r="D34" s="388"/>
      <c r="E34" s="197"/>
      <c r="F34" s="201"/>
    </row>
    <row r="35" spans="2:12" outlineLevel="1" x14ac:dyDescent="0.2">
      <c r="C35" s="11" t="s">
        <v>55</v>
      </c>
      <c r="D35" s="390">
        <f>INDEX(GSL!$8:$8,1,MATCH(Tariff_Year,GSL!$4:$4,0))</f>
        <v>69532.076052954129</v>
      </c>
      <c r="E35" s="197">
        <f>INDEX(Denominator_tbl[Total Lights],MATCH(C35,Denominator_tbl[Line Item],0))</f>
        <v>192772</v>
      </c>
      <c r="F35" s="198">
        <f>D35/E35</f>
        <v>0.36069593121902627</v>
      </c>
      <c r="G35" s="192"/>
      <c r="H35" s="192"/>
      <c r="I35" s="199">
        <f t="shared" ref="I35:K41" si="7">$F35</f>
        <v>0.36069593121902627</v>
      </c>
      <c r="J35" s="199">
        <f t="shared" si="7"/>
        <v>0.36069593121902627</v>
      </c>
      <c r="K35" s="199">
        <f t="shared" si="7"/>
        <v>0.36069593121902627</v>
      </c>
    </row>
    <row r="36" spans="2:12" outlineLevel="1" x14ac:dyDescent="0.2">
      <c r="C36" s="11" t="s">
        <v>240</v>
      </c>
      <c r="D36" s="390">
        <f>INDEX(Table20[],MATCH(C36,Table20[[ ]],0),MATCH(Tariff_Year,Table20[#Headers],0))</f>
        <v>117947.02293603239</v>
      </c>
      <c r="E36" s="197">
        <f>INDEX(Denominator_tbl[Total Lights],MATCH(C36,Denominator_tbl[Line Item],0))</f>
        <v>226795</v>
      </c>
      <c r="F36" s="198">
        <f>D36/E36</f>
        <v>0.52006006717975439</v>
      </c>
      <c r="G36" s="199">
        <f>$F36</f>
        <v>0.52006006717975439</v>
      </c>
      <c r="H36" s="199">
        <f>$F36</f>
        <v>0.52006006717975439</v>
      </c>
      <c r="I36" s="199">
        <f>$F36</f>
        <v>0.52006006717975439</v>
      </c>
      <c r="J36" s="199">
        <f>$F36</f>
        <v>0.52006006717975439</v>
      </c>
      <c r="K36" s="199">
        <f>$F36</f>
        <v>0.52006006717975439</v>
      </c>
    </row>
    <row r="37" spans="2:12" outlineLevel="1" x14ac:dyDescent="0.2">
      <c r="C37" s="11" t="s">
        <v>235</v>
      </c>
      <c r="D37" s="390">
        <f>INDEX(Table20[],MATCH(C37,Table20[[ ]],0),MATCH(Tariff_Year,Table20[#Headers],0))</f>
        <v>67785.645365535849</v>
      </c>
      <c r="E37" s="197">
        <f>INDEX(Denominator_tbl[Total Lights],MATCH(C37,Denominator_tbl[Line Item],0))</f>
        <v>226795</v>
      </c>
      <c r="F37" s="198">
        <f t="shared" ref="F37:F43" si="8">D37/E37</f>
        <v>0.29888509608031855</v>
      </c>
      <c r="G37" s="199">
        <f t="shared" ref="G37:K43" si="9">$F37</f>
        <v>0.29888509608031855</v>
      </c>
      <c r="H37" s="199">
        <f t="shared" si="9"/>
        <v>0.29888509608031855</v>
      </c>
      <c r="I37" s="199">
        <f t="shared" si="7"/>
        <v>0.29888509608031855</v>
      </c>
      <c r="J37" s="199">
        <f t="shared" si="7"/>
        <v>0.29888509608031855</v>
      </c>
      <c r="K37" s="199">
        <f t="shared" si="7"/>
        <v>0.29888509608031855</v>
      </c>
    </row>
    <row r="38" spans="2:12" outlineLevel="1" x14ac:dyDescent="0.2">
      <c r="C38" s="11" t="s">
        <v>236</v>
      </c>
      <c r="D38" s="390">
        <f>INDEX(Table20[],MATCH(C38,Table20[[ ]],0),MATCH(Tariff_Year,Table20[#Headers],0))</f>
        <v>94899.903511750177</v>
      </c>
      <c r="E38" s="197">
        <f>INDEX(Denominator_tbl[Total Lights],MATCH(C38,Denominator_tbl[Line Item],0))</f>
        <v>226795</v>
      </c>
      <c r="F38" s="198">
        <f t="shared" si="8"/>
        <v>0.41843913451244596</v>
      </c>
      <c r="G38" s="199">
        <f t="shared" si="9"/>
        <v>0.41843913451244596</v>
      </c>
      <c r="H38" s="199">
        <f t="shared" si="9"/>
        <v>0.41843913451244596</v>
      </c>
      <c r="I38" s="199">
        <f t="shared" si="7"/>
        <v>0.41843913451244596</v>
      </c>
      <c r="J38" s="199">
        <f t="shared" si="7"/>
        <v>0.41843913451244596</v>
      </c>
      <c r="K38" s="199">
        <f t="shared" si="7"/>
        <v>0.41843913451244596</v>
      </c>
    </row>
    <row r="39" spans="2:12" outlineLevel="1" x14ac:dyDescent="0.2">
      <c r="C39" s="11" t="s">
        <v>237</v>
      </c>
      <c r="D39" s="390">
        <f>INDEX(Table20[],MATCH(C39,Table20[[ ]],0),MATCH(Tariff_Year,Table20[#Headers],0))</f>
        <v>237927.61523303081</v>
      </c>
      <c r="E39" s="197">
        <f>INDEX(Denominator_tbl[Total Lights],MATCH(C39,Denominator_tbl[Line Item],0))</f>
        <v>226795</v>
      </c>
      <c r="F39" s="198">
        <f t="shared" si="8"/>
        <v>1.049086687241918</v>
      </c>
      <c r="G39" s="199">
        <f t="shared" si="9"/>
        <v>1.049086687241918</v>
      </c>
      <c r="H39" s="199">
        <f t="shared" si="9"/>
        <v>1.049086687241918</v>
      </c>
      <c r="I39" s="199">
        <f t="shared" si="7"/>
        <v>1.049086687241918</v>
      </c>
      <c r="J39" s="199">
        <f t="shared" si="7"/>
        <v>1.049086687241918</v>
      </c>
      <c r="K39" s="199">
        <f t="shared" si="7"/>
        <v>1.049086687241918</v>
      </c>
    </row>
    <row r="40" spans="2:12" outlineLevel="1" x14ac:dyDescent="0.2">
      <c r="C40" s="11" t="s">
        <v>974</v>
      </c>
      <c r="D40" s="390">
        <f>INDEX(Table20[],MATCH(C40,Table20[[ ]],0),MATCH(Tariff_Year,Table20[#Headers],0))</f>
        <v>135571.2907310717</v>
      </c>
      <c r="E40" s="197">
        <f>INDEX(Denominator_tbl[Total Lights],MATCH(C40,Denominator_tbl[Line Item],0))</f>
        <v>226795</v>
      </c>
      <c r="F40" s="198">
        <f t="shared" ref="F40" si="10">D40/E40</f>
        <v>0.59777019216063709</v>
      </c>
      <c r="G40" s="199">
        <f t="shared" si="9"/>
        <v>0.59777019216063709</v>
      </c>
      <c r="H40" s="199">
        <f t="shared" si="9"/>
        <v>0.59777019216063709</v>
      </c>
      <c r="I40" s="199">
        <f t="shared" si="7"/>
        <v>0.59777019216063709</v>
      </c>
      <c r="J40" s="199">
        <f t="shared" si="7"/>
        <v>0.59777019216063709</v>
      </c>
      <c r="K40" s="199">
        <f t="shared" si="7"/>
        <v>0.59777019216063709</v>
      </c>
    </row>
    <row r="41" spans="2:12" outlineLevel="1" x14ac:dyDescent="0.2">
      <c r="C41" s="11" t="s">
        <v>26</v>
      </c>
      <c r="D41" s="390">
        <f>INDEX(Table20[],MATCH(C41,Table20[[ ]],0),MATCH(Tariff_Year,Table20[#Headers],0))</f>
        <v>203356.93609660756</v>
      </c>
      <c r="E41" s="197">
        <f>INDEX(Denominator_tbl[Total Lights],MATCH(C41,Denominator_tbl[Line Item],0))</f>
        <v>192772</v>
      </c>
      <c r="F41" s="198">
        <f t="shared" si="8"/>
        <v>1.0549090951829496</v>
      </c>
      <c r="G41" s="192"/>
      <c r="H41" s="192"/>
      <c r="I41" s="199">
        <f t="shared" si="7"/>
        <v>1.0549090951829496</v>
      </c>
      <c r="J41" s="199">
        <f t="shared" si="7"/>
        <v>1.0549090951829496</v>
      </c>
      <c r="K41" s="199">
        <f t="shared" si="7"/>
        <v>1.0549090951829496</v>
      </c>
    </row>
    <row r="42" spans="2:12" outlineLevel="1" x14ac:dyDescent="0.2">
      <c r="C42" s="11" t="s">
        <v>783</v>
      </c>
      <c r="D42" s="390"/>
      <c r="E42" s="197">
        <f>INDEX(Denominator_tbl[Total Lights],MATCH(C42,Denominator_tbl[Line Item],0))</f>
        <v>34023</v>
      </c>
      <c r="F42" s="198"/>
      <c r="G42" s="199">
        <f>SUM(G21,G32,G34:G41)*Margin</f>
        <v>0.17795768063170206</v>
      </c>
      <c r="H42" s="199">
        <f>SUM(H21,H32,H34:H41)*Margin</f>
        <v>1.2356933436436777</v>
      </c>
    </row>
    <row r="43" spans="2:12" outlineLevel="1" x14ac:dyDescent="0.2">
      <c r="C43" s="11" t="s">
        <v>1254</v>
      </c>
      <c r="D43" s="390">
        <f>Use_of_Pole*Lights_on_Stobi_Poles*__DynamicYrNominal</f>
        <v>1041201.9291230352</v>
      </c>
      <c r="E43" s="197">
        <f>INDEX(Denominator_tbl[Total Lights],MATCH(C43,Denominator_tbl[Line Item],0))</f>
        <v>192772</v>
      </c>
      <c r="F43" s="198">
        <f t="shared" si="8"/>
        <v>5.4012093515813246</v>
      </c>
      <c r="G43" s="192"/>
      <c r="I43" s="199">
        <f t="shared" si="9"/>
        <v>5.4012093515813246</v>
      </c>
      <c r="J43" s="199">
        <f t="shared" si="9"/>
        <v>5.4012093515813246</v>
      </c>
      <c r="K43" s="199">
        <f t="shared" si="9"/>
        <v>5.4012093515813246</v>
      </c>
    </row>
    <row r="44" spans="2:12" ht="4.1500000000000004" customHeight="1" outlineLevel="1" x14ac:dyDescent="0.2">
      <c r="C44" s="205"/>
      <c r="D44" s="388"/>
      <c r="E44" s="200"/>
      <c r="F44" s="201"/>
    </row>
    <row r="45" spans="2:12" x14ac:dyDescent="0.2">
      <c r="C45" s="186" t="s">
        <v>510</v>
      </c>
      <c r="D45" s="389"/>
      <c r="E45" s="202"/>
      <c r="F45" s="203"/>
      <c r="G45" s="502">
        <f t="shared" ref="G45:L45" si="11">SUBTOTAL(9,G34:G44)</f>
        <v>3.0621988578067763</v>
      </c>
      <c r="H45" s="502">
        <f t="shared" si="11"/>
        <v>4.1199345208187514</v>
      </c>
      <c r="I45" s="502">
        <f t="shared" si="11"/>
        <v>9.7010555551583746</v>
      </c>
      <c r="J45" s="502">
        <f t="shared" si="11"/>
        <v>9.7010555551583746</v>
      </c>
      <c r="K45" s="502">
        <f t="shared" si="11"/>
        <v>9.7010555551583746</v>
      </c>
      <c r="L45" s="502">
        <f t="shared" si="11"/>
        <v>0</v>
      </c>
    </row>
    <row r="46" spans="2:12" x14ac:dyDescent="0.2">
      <c r="C46" s="205"/>
      <c r="D46" s="193"/>
      <c r="E46" s="194"/>
      <c r="F46" s="196"/>
    </row>
    <row r="47" spans="2:12" ht="4.1500000000000004" customHeight="1" x14ac:dyDescent="0.2">
      <c r="D47" s="193"/>
      <c r="E47" s="194"/>
      <c r="F47" s="195"/>
    </row>
    <row r="48" spans="2:12" ht="12.75" thickBot="1" x14ac:dyDescent="0.25">
      <c r="B48" s="207" t="s">
        <v>234</v>
      </c>
      <c r="C48" s="207"/>
      <c r="D48" s="208"/>
      <c r="E48" s="209"/>
      <c r="F48" s="210"/>
      <c r="G48" s="503">
        <f t="shared" ref="G48:L48" si="12">SUBTOTAL(9,G11:G47)</f>
        <v>3.0621988578067763</v>
      </c>
      <c r="H48" s="503">
        <f t="shared" si="12"/>
        <v>21.263138135275408</v>
      </c>
      <c r="I48" s="503">
        <f t="shared" si="12"/>
        <v>62.726476827233782</v>
      </c>
      <c r="J48" s="503">
        <f t="shared" si="12"/>
        <v>117.77302921064903</v>
      </c>
      <c r="K48" s="503">
        <f t="shared" si="12"/>
        <v>182.15178851936889</v>
      </c>
      <c r="L48" s="503">
        <f t="shared" si="12"/>
        <v>0</v>
      </c>
    </row>
    <row r="49" ht="12.75" thickTop="1" x14ac:dyDescent="0.2"/>
  </sheetData>
  <dataValidations count="2">
    <dataValidation type="list" allowBlank="1" showInputMessage="1" showErrorMessage="1" sqref="H4" xr:uid="{00000000-0002-0000-0500-000000000000}">
      <formula1>LED_Lst</formula1>
    </dataValidation>
    <dataValidation type="list" allowBlank="1" showInputMessage="1" showErrorMessage="1" sqref="C13:C14 C19 C24 C29:C30 C35:C43" xr:uid="{00000000-0002-0000-0500-000001000000}">
      <formula1>Denominator_lst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2">
    <tabColor theme="4" tint="-0.249977111117893"/>
  </sheetPr>
  <dimension ref="A1:O101"/>
  <sheetViews>
    <sheetView showGridLines="0" zoomScaleNormal="100" workbookViewId="0">
      <selection activeCell="K10" sqref="K10"/>
    </sheetView>
  </sheetViews>
  <sheetFormatPr defaultRowHeight="12" x14ac:dyDescent="0.2"/>
  <cols>
    <col min="1" max="1" width="7.5" customWidth="1"/>
    <col min="2" max="2" width="7.33203125" bestFit="1" customWidth="1"/>
    <col min="3" max="5" width="2.5" customWidth="1"/>
    <col min="6" max="6" width="21.5" customWidth="1"/>
    <col min="7" max="7" width="10" bestFit="1" customWidth="1"/>
    <col min="8" max="14" width="18.1640625" customWidth="1"/>
    <col min="15" max="15" width="4.6640625" customWidth="1"/>
  </cols>
  <sheetData>
    <row r="1" spans="1:15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</row>
    <row r="2" spans="1:15" ht="16.5" thickBot="1" x14ac:dyDescent="0.3">
      <c r="A2" s="394" t="s">
        <v>1260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.75" thickTop="1" x14ac:dyDescent="0.25">
      <c r="A3" s="6"/>
      <c r="B3" s="558"/>
      <c r="C3" s="558"/>
      <c r="D3" s="34"/>
      <c r="E3" s="558"/>
      <c r="F3" s="337"/>
      <c r="G3" s="337"/>
      <c r="H3" s="558"/>
      <c r="I3" s="558"/>
      <c r="J3" s="558"/>
      <c r="K3" s="558"/>
      <c r="L3" s="558"/>
      <c r="M3" s="558"/>
      <c r="N3" s="558"/>
    </row>
    <row r="4" spans="1:15" s="558" customFormat="1" ht="15" x14ac:dyDescent="0.25">
      <c r="A4" s="6"/>
      <c r="B4" s="5" t="s">
        <v>527</v>
      </c>
      <c r="D4" s="34"/>
      <c r="F4" s="38"/>
      <c r="H4" s="693" t="s">
        <v>1261</v>
      </c>
      <c r="I4" s="693" t="s">
        <v>1261</v>
      </c>
      <c r="J4" s="721" t="s">
        <v>1034</v>
      </c>
      <c r="K4" s="721" t="s">
        <v>1034</v>
      </c>
      <c r="L4" s="721" t="s">
        <v>1034</v>
      </c>
      <c r="M4" s="721" t="s">
        <v>1034</v>
      </c>
      <c r="N4" s="721" t="s">
        <v>1034</v>
      </c>
    </row>
    <row r="5" spans="1:15" ht="15" x14ac:dyDescent="0.25">
      <c r="A5" s="6"/>
      <c r="B5" s="558"/>
      <c r="C5" s="558"/>
      <c r="D5" s="34"/>
      <c r="E5" s="558"/>
      <c r="F5" s="1"/>
      <c r="G5" s="720"/>
      <c r="H5" s="3" t="s">
        <v>251</v>
      </c>
      <c r="I5" s="3" t="s">
        <v>252</v>
      </c>
      <c r="J5" s="3" t="s">
        <v>253</v>
      </c>
      <c r="K5" s="3" t="s">
        <v>254</v>
      </c>
      <c r="L5" s="3" t="s">
        <v>255</v>
      </c>
      <c r="M5" s="3" t="s">
        <v>256</v>
      </c>
      <c r="N5" s="3" t="s">
        <v>257</v>
      </c>
    </row>
    <row r="6" spans="1:15" s="558" customFormat="1" ht="4.1500000000000004" customHeight="1" x14ac:dyDescent="0.2">
      <c r="H6" s="53"/>
      <c r="I6" s="53"/>
      <c r="J6" s="53"/>
      <c r="K6" s="53"/>
      <c r="L6" s="53"/>
      <c r="M6" s="53"/>
      <c r="N6" s="53"/>
    </row>
    <row r="7" spans="1:15" x14ac:dyDescent="0.2">
      <c r="A7" s="558"/>
      <c r="B7" s="558"/>
      <c r="C7" s="558"/>
      <c r="D7" s="558"/>
      <c r="E7" s="558"/>
      <c r="F7" s="558" t="s">
        <v>725</v>
      </c>
      <c r="G7" s="411" t="s">
        <v>42</v>
      </c>
      <c r="H7" s="124">
        <v>1575960.5684585068</v>
      </c>
      <c r="I7" s="124">
        <v>981811.84030122811</v>
      </c>
      <c r="J7" s="124">
        <v>672604.34078562143</v>
      </c>
      <c r="K7" s="124">
        <v>676888.59172811115</v>
      </c>
      <c r="L7" s="124">
        <v>681847.21550414083</v>
      </c>
      <c r="M7" s="124">
        <v>686369.48038787988</v>
      </c>
      <c r="N7" s="124">
        <v>690415.71738912037</v>
      </c>
    </row>
    <row r="8" spans="1:15" s="558" customFormat="1" x14ac:dyDescent="0.2">
      <c r="F8" s="558" t="s">
        <v>1169</v>
      </c>
      <c r="G8" s="411" t="s">
        <v>42</v>
      </c>
      <c r="H8" s="124">
        <v>4697711.753350026</v>
      </c>
      <c r="I8" s="124">
        <v>3952092.9656658443</v>
      </c>
      <c r="J8" s="124">
        <v>2806046.0828929264</v>
      </c>
      <c r="K8" s="124">
        <v>2105695.974082923</v>
      </c>
      <c r="L8" s="124">
        <v>1684913.3315309356</v>
      </c>
      <c r="M8" s="124">
        <v>1311121.9734034794</v>
      </c>
      <c r="N8" s="124">
        <v>1227375.2521975632</v>
      </c>
    </row>
    <row r="9" spans="1:15" s="558" customFormat="1" x14ac:dyDescent="0.2">
      <c r="F9" s="558" t="s">
        <v>1212</v>
      </c>
      <c r="G9" s="411" t="s">
        <v>42</v>
      </c>
      <c r="H9" s="53">
        <v>0</v>
      </c>
      <c r="I9" s="53">
        <v>27521.7294095367</v>
      </c>
      <c r="J9" s="53">
        <v>397872.78708273184</v>
      </c>
      <c r="K9" s="53">
        <v>1096148.7605675361</v>
      </c>
      <c r="L9" s="53">
        <v>1708320.4159647643</v>
      </c>
      <c r="M9" s="53">
        <v>2281318.6414323607</v>
      </c>
      <c r="N9" s="53">
        <v>1761514.0180146501</v>
      </c>
    </row>
    <row r="10" spans="1:15" x14ac:dyDescent="0.2">
      <c r="A10" s="558"/>
      <c r="B10" s="558"/>
      <c r="C10" s="558"/>
      <c r="D10" s="558"/>
      <c r="E10" s="558"/>
      <c r="F10" s="558" t="s">
        <v>1168</v>
      </c>
      <c r="G10" s="411" t="s">
        <v>42</v>
      </c>
      <c r="H10" s="53">
        <v>1621730.0638224208</v>
      </c>
      <c r="I10" s="53">
        <v>1627903.5196209806</v>
      </c>
      <c r="J10" s="53">
        <v>1638731.0757482024</v>
      </c>
      <c r="K10" s="53">
        <v>1649169.21111254</v>
      </c>
      <c r="L10" s="53">
        <v>1661250.3863027454</v>
      </c>
      <c r="M10" s="53">
        <v>1672268.418076213</v>
      </c>
      <c r="N10" s="53">
        <v>1682126.6570314209</v>
      </c>
    </row>
    <row r="11" spans="1:15" x14ac:dyDescent="0.2">
      <c r="A11" s="558"/>
      <c r="B11" s="558"/>
      <c r="C11" s="558"/>
      <c r="D11" s="558"/>
      <c r="E11" s="558"/>
      <c r="F11" s="558" t="s">
        <v>22</v>
      </c>
      <c r="G11" s="411" t="s">
        <v>42</v>
      </c>
      <c r="H11" s="53">
        <v>1583483.8609070601</v>
      </c>
      <c r="I11" s="53">
        <v>1620079.2576721038</v>
      </c>
      <c r="J11" s="53">
        <v>1658373.6135892307</v>
      </c>
      <c r="K11" s="53">
        <v>1715296.2223081279</v>
      </c>
      <c r="L11" s="53">
        <v>1758994.4637585583</v>
      </c>
      <c r="M11" s="53">
        <v>1801999.8993713856</v>
      </c>
      <c r="N11" s="53">
        <v>1844146.799122713</v>
      </c>
    </row>
    <row r="12" spans="1:15" ht="4.1500000000000004" customHeight="1" x14ac:dyDescent="0.2">
      <c r="A12" s="558"/>
      <c r="B12" s="558"/>
      <c r="C12" s="558"/>
      <c r="D12" s="558"/>
      <c r="E12" s="558"/>
      <c r="F12" s="558"/>
      <c r="G12" s="558"/>
      <c r="H12" s="53"/>
      <c r="I12" s="53"/>
      <c r="J12" s="53"/>
      <c r="K12" s="53"/>
      <c r="L12" s="53"/>
      <c r="M12" s="53"/>
      <c r="N12" s="53"/>
    </row>
    <row r="13" spans="1:15" ht="12.75" thickBot="1" x14ac:dyDescent="0.25">
      <c r="F13" s="722" t="s">
        <v>1170</v>
      </c>
      <c r="G13" s="722"/>
      <c r="H13" s="92">
        <v>9478886.2465380132</v>
      </c>
      <c r="I13" s="92">
        <v>8209409.3126696935</v>
      </c>
      <c r="J13" s="92">
        <v>7173627.9000987131</v>
      </c>
      <c r="K13" s="92">
        <v>7243198.7597992383</v>
      </c>
      <c r="L13" s="92">
        <v>7495325.8130611442</v>
      </c>
      <c r="M13" s="92">
        <v>7753078.4126713183</v>
      </c>
      <c r="N13" s="92">
        <v>7205578.4437554665</v>
      </c>
    </row>
    <row r="14" spans="1:15" ht="12.75" thickTop="1" x14ac:dyDescent="0.2"/>
    <row r="15" spans="1:15" s="558" customFormat="1" x14ac:dyDescent="0.2"/>
    <row r="16" spans="1:15" ht="12.75" x14ac:dyDescent="0.2">
      <c r="F16" s="728"/>
      <c r="G16" s="729"/>
      <c r="H16" s="730" t="s">
        <v>251</v>
      </c>
      <c r="I16" s="730" t="s">
        <v>252</v>
      </c>
      <c r="J16" s="730" t="s">
        <v>253</v>
      </c>
      <c r="K16" s="730" t="s">
        <v>254</v>
      </c>
      <c r="L16" s="730" t="s">
        <v>255</v>
      </c>
      <c r="M16" s="730" t="s">
        <v>256</v>
      </c>
      <c r="N16" s="730" t="s">
        <v>257</v>
      </c>
    </row>
    <row r="17" spans="2:14" s="558" customFormat="1" ht="4.1500000000000004" customHeight="1" x14ac:dyDescent="0.2"/>
    <row r="18" spans="2:14" x14ac:dyDescent="0.2">
      <c r="F18" s="558" t="s">
        <v>725</v>
      </c>
      <c r="G18" s="48" t="s">
        <v>443</v>
      </c>
      <c r="H18" s="93">
        <v>25984</v>
      </c>
      <c r="I18" s="93">
        <v>15364</v>
      </c>
      <c r="J18" s="93">
        <v>9861</v>
      </c>
      <c r="K18" s="93">
        <v>9861</v>
      </c>
      <c r="L18" s="93">
        <v>9861</v>
      </c>
      <c r="M18" s="93">
        <v>9861</v>
      </c>
      <c r="N18" s="93">
        <v>9861</v>
      </c>
    </row>
    <row r="19" spans="2:14" x14ac:dyDescent="0.2">
      <c r="F19" s="558" t="s">
        <v>1169</v>
      </c>
      <c r="G19" s="48" t="s">
        <v>444</v>
      </c>
      <c r="H19" s="37">
        <v>31074.75</v>
      </c>
      <c r="I19" s="37">
        <v>25012.442260945689</v>
      </c>
      <c r="J19" s="37">
        <v>17330.866878455257</v>
      </c>
      <c r="K19" s="37">
        <v>12704.531335868887</v>
      </c>
      <c r="L19" s="37">
        <v>9957.5182213932094</v>
      </c>
      <c r="M19" s="37">
        <v>7413.144581901437</v>
      </c>
      <c r="N19" s="37">
        <v>6897.1032398688412</v>
      </c>
    </row>
    <row r="20" spans="2:14" s="558" customFormat="1" x14ac:dyDescent="0.2">
      <c r="F20" s="558" t="s">
        <v>1212</v>
      </c>
      <c r="G20" s="48" t="s">
        <v>443</v>
      </c>
      <c r="H20" s="37">
        <v>0</v>
      </c>
      <c r="I20" s="37">
        <v>2000</v>
      </c>
      <c r="J20" s="37">
        <v>14102.5</v>
      </c>
      <c r="K20" s="37">
        <v>34016.5</v>
      </c>
      <c r="L20" s="37">
        <v>51441.958567433918</v>
      </c>
      <c r="M20" s="37">
        <v>61858.255104783602</v>
      </c>
      <c r="N20" s="37">
        <v>48967.825863930346</v>
      </c>
    </row>
    <row r="21" spans="2:14" x14ac:dyDescent="0.2">
      <c r="F21" s="558" t="s">
        <v>1168</v>
      </c>
      <c r="G21" s="48" t="s">
        <v>21</v>
      </c>
      <c r="H21" s="37">
        <v>9000</v>
      </c>
      <c r="I21" s="37">
        <v>9000</v>
      </c>
      <c r="J21" s="37">
        <v>9000</v>
      </c>
      <c r="K21" s="37">
        <v>9000</v>
      </c>
      <c r="L21" s="37">
        <v>9000</v>
      </c>
      <c r="M21" s="37">
        <v>9000</v>
      </c>
      <c r="N21" s="37">
        <v>9000</v>
      </c>
    </row>
    <row r="22" spans="2:14" x14ac:dyDescent="0.2">
      <c r="F22" s="558" t="s">
        <v>22</v>
      </c>
      <c r="G22" s="48" t="s">
        <v>444</v>
      </c>
      <c r="H22" s="37">
        <v>1040</v>
      </c>
      <c r="I22" s="37">
        <v>1060</v>
      </c>
      <c r="J22" s="37">
        <v>1080</v>
      </c>
      <c r="K22" s="37">
        <v>1110</v>
      </c>
      <c r="L22" s="37">
        <v>1130</v>
      </c>
      <c r="M22" s="37">
        <v>1150</v>
      </c>
      <c r="N22" s="37">
        <v>1170</v>
      </c>
    </row>
    <row r="23" spans="2:14" ht="4.1500000000000004" customHeight="1" x14ac:dyDescent="0.2"/>
    <row r="26" spans="2:14" ht="15" x14ac:dyDescent="0.25">
      <c r="B26" s="5" t="s">
        <v>1171</v>
      </c>
      <c r="C26" s="558"/>
      <c r="D26" s="34"/>
      <c r="E26" s="558"/>
      <c r="F26" s="38"/>
      <c r="G26" s="558"/>
      <c r="H26" s="693" t="s">
        <v>1261</v>
      </c>
      <c r="I26" s="693" t="s">
        <v>1261</v>
      </c>
      <c r="J26" s="721" t="s">
        <v>1034</v>
      </c>
      <c r="K26" s="721" t="s">
        <v>1034</v>
      </c>
      <c r="L26" s="721" t="s">
        <v>1034</v>
      </c>
      <c r="M26" s="721" t="s">
        <v>1034</v>
      </c>
      <c r="N26" s="721" t="s">
        <v>1034</v>
      </c>
    </row>
    <row r="27" spans="2:14" ht="15" x14ac:dyDescent="0.25">
      <c r="B27" s="558"/>
      <c r="C27" s="558"/>
      <c r="D27" s="34"/>
      <c r="E27" s="558"/>
      <c r="F27" s="1"/>
      <c r="G27" s="720"/>
      <c r="H27" s="3" t="s">
        <v>251</v>
      </c>
      <c r="I27" s="3" t="s">
        <v>252</v>
      </c>
      <c r="J27" s="3" t="s">
        <v>253</v>
      </c>
      <c r="K27" s="3" t="s">
        <v>254</v>
      </c>
      <c r="L27" s="3" t="s">
        <v>255</v>
      </c>
      <c r="M27" s="3" t="s">
        <v>256</v>
      </c>
      <c r="N27" s="3" t="s">
        <v>257</v>
      </c>
    </row>
    <row r="28" spans="2:14" s="558" customFormat="1" ht="4.1500000000000004" customHeight="1" x14ac:dyDescent="0.25">
      <c r="D28" s="34"/>
    </row>
    <row r="29" spans="2:14" x14ac:dyDescent="0.2">
      <c r="B29" s="558"/>
      <c r="C29" s="558"/>
      <c r="D29" s="558"/>
      <c r="E29" s="38" t="s">
        <v>1172</v>
      </c>
      <c r="F29" s="558"/>
      <c r="G29" s="558"/>
      <c r="H29" s="53"/>
      <c r="I29" s="53"/>
      <c r="J29" s="53"/>
      <c r="K29" s="53"/>
      <c r="L29" s="53"/>
      <c r="M29" s="53"/>
      <c r="N29" s="53"/>
    </row>
    <row r="30" spans="2:14" x14ac:dyDescent="0.2">
      <c r="B30" s="558"/>
      <c r="C30" s="558"/>
      <c r="D30" s="558"/>
      <c r="E30" s="38"/>
      <c r="F30" t="s">
        <v>357</v>
      </c>
      <c r="G30" s="411" t="s">
        <v>42</v>
      </c>
      <c r="H30" s="124">
        <v>110997.96901762165</v>
      </c>
      <c r="I30" s="124">
        <v>462024.62517390744</v>
      </c>
      <c r="J30" s="124">
        <v>655233.34957485716</v>
      </c>
      <c r="K30" s="124">
        <v>851669.79485418892</v>
      </c>
      <c r="L30" s="124">
        <v>1051580.0825907395</v>
      </c>
      <c r="M30" s="124">
        <v>1058554.5536625667</v>
      </c>
      <c r="N30" s="124">
        <v>1064794.869884728</v>
      </c>
    </row>
    <row r="31" spans="2:14" x14ac:dyDescent="0.2">
      <c r="B31" s="558"/>
      <c r="C31" s="558"/>
      <c r="D31" s="558"/>
      <c r="E31" s="558"/>
      <c r="F31" s="558" t="s">
        <v>958</v>
      </c>
      <c r="G31" s="411" t="s">
        <v>42</v>
      </c>
      <c r="H31" s="53">
        <v>3000443.3724813913</v>
      </c>
      <c r="I31" s="53">
        <v>3011865.1898043286</v>
      </c>
      <c r="J31" s="53">
        <v>819027.58813220426</v>
      </c>
      <c r="K31" s="53">
        <v>824244.50319445611</v>
      </c>
      <c r="L31" s="53">
        <v>830282.59933132154</v>
      </c>
      <c r="M31" s="53">
        <v>835789.34300814278</v>
      </c>
      <c r="N31" s="53">
        <v>840716.42945582513</v>
      </c>
    </row>
    <row r="32" spans="2:14" x14ac:dyDescent="0.2">
      <c r="B32" s="558"/>
      <c r="C32" s="558"/>
      <c r="D32" s="558"/>
      <c r="E32" s="558"/>
      <c r="F32" s="558" t="s">
        <v>1174</v>
      </c>
      <c r="G32" s="411" t="s">
        <v>42</v>
      </c>
      <c r="H32" s="53">
        <v>12662.353475496462</v>
      </c>
      <c r="I32" s="53">
        <v>12710.555381122154</v>
      </c>
      <c r="J32" s="53">
        <v>12770.054608378872</v>
      </c>
      <c r="K32" s="53">
        <v>12851.395324122232</v>
      </c>
      <c r="L32" s="53">
        <v>12945.539671047414</v>
      </c>
      <c r="M32" s="53">
        <v>13031.399315443181</v>
      </c>
      <c r="N32" s="53">
        <v>13108.221102534131</v>
      </c>
    </row>
    <row r="33" spans="2:14" s="558" customFormat="1" x14ac:dyDescent="0.2">
      <c r="F33" s="558" t="s">
        <v>303</v>
      </c>
      <c r="G33" s="411" t="s">
        <v>42</v>
      </c>
      <c r="H33" s="53">
        <v>16596610.25586338</v>
      </c>
      <c r="I33" s="53">
        <v>22809804.700563606</v>
      </c>
      <c r="J33" s="53">
        <v>14375946.469280817</v>
      </c>
      <c r="K33" s="53">
        <v>7537364.1902510859</v>
      </c>
      <c r="L33" s="53">
        <v>8254888.4456735291</v>
      </c>
      <c r="M33" s="53">
        <v>138798.70621415728</v>
      </c>
      <c r="N33" s="53">
        <v>0</v>
      </c>
    </row>
    <row r="34" spans="2:14" x14ac:dyDescent="0.2">
      <c r="B34" s="558"/>
      <c r="C34" s="558"/>
      <c r="D34" s="558"/>
      <c r="E34" s="558"/>
      <c r="F34" s="558" t="s">
        <v>833</v>
      </c>
      <c r="G34" s="411" t="s">
        <v>42</v>
      </c>
      <c r="H34" s="53">
        <v>528069.98644986446</v>
      </c>
      <c r="I34" s="53">
        <v>528069.98644986446</v>
      </c>
      <c r="J34" s="53">
        <v>316841.99186991871</v>
      </c>
      <c r="K34" s="53">
        <v>105613.99728997289</v>
      </c>
      <c r="L34" s="53">
        <v>105613.99728997289</v>
      </c>
      <c r="M34" s="53">
        <v>105613.99728997289</v>
      </c>
      <c r="N34" s="53">
        <v>105613.99728997289</v>
      </c>
    </row>
    <row r="35" spans="2:14" s="558" customFormat="1" ht="4.1500000000000004" customHeight="1" x14ac:dyDescent="0.2">
      <c r="G35" s="411"/>
      <c r="H35" s="53"/>
      <c r="I35" s="53"/>
      <c r="J35" s="53"/>
      <c r="K35" s="53"/>
      <c r="L35" s="53"/>
      <c r="M35" s="53"/>
      <c r="N35" s="53"/>
    </row>
    <row r="36" spans="2:14" x14ac:dyDescent="0.2">
      <c r="B36" s="558"/>
      <c r="C36" s="558"/>
      <c r="D36" s="558"/>
      <c r="E36" s="558"/>
      <c r="F36" s="85" t="s">
        <v>1175</v>
      </c>
      <c r="G36" s="85"/>
      <c r="H36" s="88">
        <v>20248783.937287752</v>
      </c>
      <c r="I36" s="88">
        <v>26824475.057372827</v>
      </c>
      <c r="J36" s="88">
        <v>16179819.453466175</v>
      </c>
      <c r="K36" s="88">
        <v>9331743.8809138257</v>
      </c>
      <c r="L36" s="88">
        <v>10255310.664556609</v>
      </c>
      <c r="M36" s="88">
        <v>2151787.9994902825</v>
      </c>
      <c r="N36" s="88">
        <v>2024233.5177330601</v>
      </c>
    </row>
    <row r="37" spans="2:14" s="558" customFormat="1" x14ac:dyDescent="0.2">
      <c r="H37" s="53"/>
      <c r="I37" s="53"/>
      <c r="J37" s="53"/>
      <c r="K37" s="53"/>
      <c r="L37" s="53"/>
      <c r="M37" s="53"/>
      <c r="N37" s="53"/>
    </row>
    <row r="38" spans="2:14" s="558" customFormat="1" x14ac:dyDescent="0.2">
      <c r="E38" s="38" t="s">
        <v>1180</v>
      </c>
      <c r="H38" s="53"/>
      <c r="I38" s="53"/>
      <c r="J38" s="53"/>
      <c r="K38" s="53"/>
      <c r="L38" s="53"/>
      <c r="M38" s="53"/>
      <c r="N38" s="53"/>
    </row>
    <row r="39" spans="2:14" s="558" customFormat="1" x14ac:dyDescent="0.2">
      <c r="E39" s="38"/>
      <c r="F39" s="558" t="s">
        <v>357</v>
      </c>
      <c r="G39" s="411" t="s">
        <v>42</v>
      </c>
      <c r="H39" s="124"/>
      <c r="I39" s="124"/>
      <c r="J39" s="124"/>
      <c r="K39" s="124"/>
      <c r="L39" s="124"/>
      <c r="M39" s="124"/>
      <c r="N39" s="124"/>
    </row>
    <row r="40" spans="2:14" s="558" customFormat="1" x14ac:dyDescent="0.2">
      <c r="F40" s="558" t="s">
        <v>958</v>
      </c>
      <c r="G40" s="411" t="s">
        <v>42</v>
      </c>
      <c r="H40" s="53">
        <v>395231.73632712668</v>
      </c>
      <c r="I40" s="53">
        <v>396736.26886853657</v>
      </c>
      <c r="J40" s="53">
        <v>398593.42622433952</v>
      </c>
      <c r="K40" s="53">
        <v>401132.32488796872</v>
      </c>
      <c r="L40" s="53">
        <v>404070.86500790989</v>
      </c>
      <c r="M40" s="53">
        <v>406750.81359729631</v>
      </c>
      <c r="N40" s="53">
        <v>409148.66233516834</v>
      </c>
    </row>
    <row r="41" spans="2:14" s="558" customFormat="1" x14ac:dyDescent="0.2">
      <c r="F41" s="558" t="s">
        <v>1174</v>
      </c>
      <c r="G41" s="411" t="s">
        <v>42</v>
      </c>
      <c r="H41" s="53">
        <v>12350.102848041339</v>
      </c>
      <c r="I41" s="53">
        <v>12397.116106129648</v>
      </c>
      <c r="J41" s="53">
        <v>12455.148096582405</v>
      </c>
      <c r="K41" s="53">
        <v>12534.482969606424</v>
      </c>
      <c r="L41" s="53">
        <v>12626.305739310152</v>
      </c>
      <c r="M41" s="53">
        <v>12710.04810527995</v>
      </c>
      <c r="N41" s="53">
        <v>12784.975485358191</v>
      </c>
    </row>
    <row r="42" spans="2:14" s="558" customFormat="1" x14ac:dyDescent="0.2">
      <c r="F42" s="558" t="s">
        <v>640</v>
      </c>
      <c r="G42" s="411" t="s">
        <v>42</v>
      </c>
      <c r="H42" s="53">
        <v>2073504.1321314732</v>
      </c>
      <c r="I42" s="53">
        <v>1382314.0118702305</v>
      </c>
      <c r="J42" s="53">
        <v>637846.37626629148</v>
      </c>
      <c r="K42" s="53">
        <v>297013.32733759057</v>
      </c>
      <c r="L42" s="53">
        <v>11513.189945662825</v>
      </c>
      <c r="M42" s="53">
        <v>204.36664992818163</v>
      </c>
      <c r="N42" s="53">
        <v>178.86273746491949</v>
      </c>
    </row>
    <row r="43" spans="2:14" s="558" customFormat="1" x14ac:dyDescent="0.2">
      <c r="F43" s="558" t="s">
        <v>833</v>
      </c>
      <c r="G43" s="411" t="s">
        <v>42</v>
      </c>
      <c r="H43" s="53"/>
      <c r="I43" s="53"/>
      <c r="J43" s="53"/>
      <c r="K43" s="53"/>
      <c r="L43" s="53"/>
      <c r="M43" s="53"/>
      <c r="N43" s="53"/>
    </row>
    <row r="44" spans="2:14" s="558" customFormat="1" ht="4.1500000000000004" customHeight="1" x14ac:dyDescent="0.2">
      <c r="G44" s="411"/>
      <c r="H44" s="53"/>
      <c r="I44" s="53"/>
      <c r="J44" s="53"/>
      <c r="K44" s="53"/>
      <c r="L44" s="53"/>
      <c r="M44" s="53"/>
      <c r="N44" s="53"/>
    </row>
    <row r="45" spans="2:14" s="558" customFormat="1" x14ac:dyDescent="0.2">
      <c r="F45" s="85" t="s">
        <v>1176</v>
      </c>
      <c r="G45" s="85"/>
      <c r="H45" s="88">
        <v>2481085.9713066411</v>
      </c>
      <c r="I45" s="88">
        <v>1791447.3968448967</v>
      </c>
      <c r="J45" s="88">
        <v>1048894.9505872135</v>
      </c>
      <c r="K45" s="88">
        <v>710680.13519516564</v>
      </c>
      <c r="L45" s="88">
        <v>428210.36069288285</v>
      </c>
      <c r="M45" s="88">
        <v>419665.22835250443</v>
      </c>
      <c r="N45" s="88">
        <v>422112.50055799144</v>
      </c>
    </row>
    <row r="46" spans="2:14" s="558" customFormat="1" ht="4.1500000000000004" customHeight="1" x14ac:dyDescent="0.2">
      <c r="H46" s="53"/>
      <c r="I46" s="53"/>
      <c r="J46" s="53"/>
      <c r="K46" s="53"/>
      <c r="L46" s="53"/>
      <c r="M46" s="53"/>
      <c r="N46" s="53"/>
    </row>
    <row r="47" spans="2:14" ht="12.75" thickBot="1" x14ac:dyDescent="0.25">
      <c r="B47" s="558"/>
      <c r="C47" s="558"/>
      <c r="D47" s="558"/>
      <c r="E47" s="558"/>
      <c r="F47" s="722" t="s">
        <v>1177</v>
      </c>
      <c r="G47" s="722"/>
      <c r="H47" s="92">
        <v>22729869.908594392</v>
      </c>
      <c r="I47" s="92">
        <v>28615922.454217725</v>
      </c>
      <c r="J47" s="92">
        <v>17228714.40405339</v>
      </c>
      <c r="K47" s="92">
        <v>10042424.016108992</v>
      </c>
      <c r="L47" s="92">
        <v>10683521.025249491</v>
      </c>
      <c r="M47" s="92">
        <v>2571453.2278427868</v>
      </c>
      <c r="N47" s="92">
        <v>2446346.0182910515</v>
      </c>
    </row>
    <row r="48" spans="2:14" ht="12.75" thickTop="1" x14ac:dyDescent="0.2">
      <c r="B48" s="558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</row>
    <row r="49" spans="2:14" x14ac:dyDescent="0.2">
      <c r="B49" s="558"/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</row>
    <row r="50" spans="2:14" ht="12.75" x14ac:dyDescent="0.2">
      <c r="B50" s="558"/>
      <c r="C50" s="558"/>
      <c r="D50" s="558"/>
      <c r="E50" s="558"/>
      <c r="F50" s="728"/>
      <c r="G50" s="729"/>
      <c r="H50" s="730" t="s">
        <v>251</v>
      </c>
      <c r="I50" s="730" t="s">
        <v>252</v>
      </c>
      <c r="J50" s="730" t="s">
        <v>253</v>
      </c>
      <c r="K50" s="730" t="s">
        <v>254</v>
      </c>
      <c r="L50" s="730" t="s">
        <v>255</v>
      </c>
      <c r="M50" s="730" t="s">
        <v>256</v>
      </c>
      <c r="N50" s="730" t="s">
        <v>257</v>
      </c>
    </row>
    <row r="51" spans="2:14" ht="4.1500000000000004" customHeight="1" x14ac:dyDescent="0.2">
      <c r="B51" s="558"/>
      <c r="C51" s="558"/>
      <c r="D51" s="558"/>
      <c r="E51" s="558"/>
      <c r="F51" s="558"/>
      <c r="G51" s="558"/>
      <c r="H51" s="37"/>
      <c r="I51" s="37"/>
      <c r="J51" s="37"/>
      <c r="K51" s="37"/>
      <c r="L51" s="37"/>
      <c r="M51" s="37"/>
      <c r="N51" s="37"/>
    </row>
    <row r="52" spans="2:14" x14ac:dyDescent="0.2">
      <c r="B52" s="558"/>
      <c r="C52" s="558"/>
      <c r="D52" s="558"/>
      <c r="E52" s="38" t="s">
        <v>1172</v>
      </c>
      <c r="F52" s="558"/>
      <c r="G52" s="558"/>
      <c r="H52" s="37"/>
      <c r="I52" s="37"/>
      <c r="J52" s="37"/>
      <c r="K52" s="37"/>
      <c r="L52" s="37"/>
      <c r="M52" s="37"/>
      <c r="N52" s="37"/>
    </row>
    <row r="53" spans="2:14" x14ac:dyDescent="0.2">
      <c r="B53" s="558"/>
      <c r="C53" s="558"/>
      <c r="D53" s="558"/>
      <c r="E53" s="38"/>
      <c r="F53" s="558" t="s">
        <v>357</v>
      </c>
      <c r="G53" s="48" t="s">
        <v>372</v>
      </c>
      <c r="H53" s="731">
        <v>0.6</v>
      </c>
      <c r="I53" s="731">
        <v>2.5</v>
      </c>
      <c r="J53" s="731">
        <v>3.5</v>
      </c>
      <c r="K53" s="731">
        <v>4.5</v>
      </c>
      <c r="L53" s="731">
        <v>5.5</v>
      </c>
      <c r="M53" s="731">
        <v>5.5</v>
      </c>
      <c r="N53" s="731">
        <v>5.5</v>
      </c>
    </row>
    <row r="54" spans="2:14" x14ac:dyDescent="0.2">
      <c r="B54" s="558"/>
      <c r="C54" s="558"/>
      <c r="D54" s="558"/>
      <c r="E54" s="558"/>
      <c r="F54" s="558" t="s">
        <v>958</v>
      </c>
      <c r="G54" s="48" t="s">
        <v>21</v>
      </c>
      <c r="H54" s="37">
        <v>554.18719211822656</v>
      </c>
      <c r="I54" s="37">
        <v>554.18719211822656</v>
      </c>
      <c r="J54" s="37">
        <v>150</v>
      </c>
      <c r="K54" s="37">
        <v>150</v>
      </c>
      <c r="L54" s="37">
        <v>150</v>
      </c>
      <c r="M54" s="37">
        <v>150</v>
      </c>
      <c r="N54" s="37">
        <v>150</v>
      </c>
    </row>
    <row r="55" spans="2:14" x14ac:dyDescent="0.2">
      <c r="B55" s="558"/>
      <c r="C55" s="558"/>
      <c r="D55" s="558"/>
      <c r="E55" s="558"/>
      <c r="F55" s="558" t="s">
        <v>1174</v>
      </c>
      <c r="G55" s="48" t="s">
        <v>20</v>
      </c>
      <c r="H55" s="37">
        <v>120</v>
      </c>
      <c r="I55" s="37">
        <v>120</v>
      </c>
      <c r="J55" s="37">
        <v>120</v>
      </c>
      <c r="K55" s="37">
        <v>120</v>
      </c>
      <c r="L55" s="37">
        <v>120</v>
      </c>
      <c r="M55" s="37">
        <v>120</v>
      </c>
      <c r="N55" s="37">
        <v>120</v>
      </c>
    </row>
    <row r="56" spans="2:14" s="558" customFormat="1" x14ac:dyDescent="0.2">
      <c r="F56" s="558" t="s">
        <v>303</v>
      </c>
      <c r="G56" s="48" t="s">
        <v>1189</v>
      </c>
      <c r="H56" s="37">
        <v>33000</v>
      </c>
      <c r="I56" s="37">
        <v>44679.084093009442</v>
      </c>
      <c r="J56" s="37">
        <v>25742.646896741189</v>
      </c>
      <c r="K56" s="37">
        <v>10005.751677679107</v>
      </c>
      <c r="L56" s="37">
        <v>10878.092578182346</v>
      </c>
      <c r="M56" s="37">
        <v>181.7004767633079</v>
      </c>
      <c r="N56" s="37">
        <v>0</v>
      </c>
    </row>
    <row r="57" spans="2:14" x14ac:dyDescent="0.2">
      <c r="B57" s="558"/>
      <c r="C57" s="558"/>
      <c r="D57" s="558"/>
      <c r="E57" s="558"/>
      <c r="F57" s="558" t="s">
        <v>833</v>
      </c>
      <c r="G57" s="48" t="s">
        <v>57</v>
      </c>
      <c r="H57" s="37"/>
      <c r="I57" s="37"/>
      <c r="J57" s="37"/>
      <c r="K57" s="37"/>
      <c r="L57" s="37"/>
      <c r="M57" s="37"/>
      <c r="N57" s="37"/>
    </row>
    <row r="58" spans="2:14" x14ac:dyDescent="0.2">
      <c r="E58" s="558"/>
      <c r="F58" s="558"/>
      <c r="G58" s="558"/>
      <c r="H58" s="37"/>
      <c r="I58" s="37"/>
      <c r="J58" s="37"/>
      <c r="K58" s="37"/>
      <c r="L58" s="37"/>
      <c r="M58" s="37"/>
      <c r="N58" s="37"/>
    </row>
    <row r="59" spans="2:14" x14ac:dyDescent="0.2">
      <c r="E59" s="38" t="s">
        <v>1180</v>
      </c>
      <c r="F59" s="558"/>
      <c r="G59" s="558"/>
      <c r="H59" s="37"/>
      <c r="I59" s="37"/>
      <c r="J59" s="37"/>
      <c r="K59" s="37"/>
      <c r="L59" s="37"/>
      <c r="M59" s="37"/>
      <c r="N59" s="37"/>
    </row>
    <row r="60" spans="2:14" x14ac:dyDescent="0.2">
      <c r="E60" s="38"/>
      <c r="F60" s="558" t="s">
        <v>357</v>
      </c>
      <c r="G60" s="48" t="s">
        <v>372</v>
      </c>
      <c r="H60" s="93"/>
      <c r="I60" s="93"/>
      <c r="J60" s="93"/>
      <c r="K60" s="93"/>
      <c r="L60" s="93"/>
      <c r="M60" s="93"/>
      <c r="N60" s="93"/>
    </row>
    <row r="61" spans="2:14" x14ac:dyDescent="0.2">
      <c r="E61" s="558"/>
      <c r="F61" s="558" t="s">
        <v>958</v>
      </c>
      <c r="G61" s="48" t="s">
        <v>21</v>
      </c>
      <c r="H61" s="37">
        <v>73</v>
      </c>
      <c r="I61" s="37">
        <v>73</v>
      </c>
      <c r="J61" s="37">
        <v>73</v>
      </c>
      <c r="K61" s="37">
        <v>73</v>
      </c>
      <c r="L61" s="37">
        <v>73</v>
      </c>
      <c r="M61" s="37">
        <v>73</v>
      </c>
      <c r="N61" s="37">
        <v>73</v>
      </c>
    </row>
    <row r="62" spans="2:14" x14ac:dyDescent="0.2">
      <c r="E62" s="558"/>
      <c r="F62" s="558" t="s">
        <v>1174</v>
      </c>
      <c r="G62" s="48" t="s">
        <v>20</v>
      </c>
      <c r="H62" s="37">
        <v>245.5</v>
      </c>
      <c r="I62" s="37">
        <v>245.5</v>
      </c>
      <c r="J62" s="37">
        <v>245.5</v>
      </c>
      <c r="K62" s="37">
        <v>245.5</v>
      </c>
      <c r="L62" s="37">
        <v>245.5</v>
      </c>
      <c r="M62" s="37">
        <v>245.5</v>
      </c>
      <c r="N62" s="37">
        <v>245.5</v>
      </c>
    </row>
    <row r="63" spans="2:14" s="558" customFormat="1" x14ac:dyDescent="0.2">
      <c r="F63" s="558" t="s">
        <v>640</v>
      </c>
      <c r="G63" s="48" t="s">
        <v>1189</v>
      </c>
      <c r="H63" s="37">
        <v>4953</v>
      </c>
      <c r="I63" s="37">
        <v>3121.2701767262442</v>
      </c>
      <c r="J63" s="37">
        <v>1171.5564434504874</v>
      </c>
      <c r="K63" s="37">
        <v>481.3384172755492</v>
      </c>
      <c r="L63" s="37">
        <v>18.623905831464736</v>
      </c>
      <c r="M63" s="37">
        <v>0.43197898266157653</v>
      </c>
      <c r="N63" s="37">
        <v>0.38955236523001824</v>
      </c>
    </row>
    <row r="64" spans="2:14" x14ac:dyDescent="0.2">
      <c r="E64" s="558"/>
      <c r="F64" s="558" t="s">
        <v>833</v>
      </c>
      <c r="G64" s="48" t="s">
        <v>57</v>
      </c>
      <c r="H64" s="37"/>
      <c r="I64" s="37"/>
      <c r="J64" s="37"/>
      <c r="K64" s="37"/>
      <c r="L64" s="37"/>
      <c r="M64" s="37"/>
      <c r="N64" s="37"/>
    </row>
    <row r="65" spans="2:14" ht="4.1500000000000004" customHeight="1" x14ac:dyDescent="0.2">
      <c r="E65" s="558"/>
      <c r="F65" s="558"/>
      <c r="G65" s="411"/>
      <c r="H65" s="37"/>
      <c r="I65" s="37"/>
      <c r="J65" s="37"/>
      <c r="K65" s="37"/>
      <c r="L65" s="37"/>
      <c r="M65" s="37"/>
      <c r="N65" s="37"/>
    </row>
    <row r="68" spans="2:14" ht="12.75" x14ac:dyDescent="0.2">
      <c r="B68" s="5" t="s">
        <v>1222</v>
      </c>
      <c r="H68" s="693" t="s">
        <v>1261</v>
      </c>
      <c r="I68" s="693" t="s">
        <v>1261</v>
      </c>
      <c r="J68" s="721" t="s">
        <v>1034</v>
      </c>
      <c r="K68" s="721" t="s">
        <v>1034</v>
      </c>
      <c r="L68" s="721" t="s">
        <v>1034</v>
      </c>
      <c r="M68" s="721" t="s">
        <v>1034</v>
      </c>
      <c r="N68" s="721" t="s">
        <v>1034</v>
      </c>
    </row>
    <row r="69" spans="2:14" s="558" customFormat="1" ht="12.75" x14ac:dyDescent="0.2">
      <c r="F69" s="1"/>
      <c r="G69" s="720"/>
      <c r="H69" s="3" t="s">
        <v>251</v>
      </c>
      <c r="I69" s="3" t="s">
        <v>252</v>
      </c>
      <c r="J69" s="3" t="s">
        <v>253</v>
      </c>
      <c r="K69" s="3" t="s">
        <v>254</v>
      </c>
      <c r="L69" s="3" t="s">
        <v>255</v>
      </c>
      <c r="M69" s="3" t="s">
        <v>256</v>
      </c>
      <c r="N69" s="3" t="s">
        <v>257</v>
      </c>
    </row>
    <row r="70" spans="2:14" s="558" customFormat="1" ht="4.1500000000000004" customHeight="1" x14ac:dyDescent="0.2"/>
    <row r="71" spans="2:14" s="558" customFormat="1" x14ac:dyDescent="0.2">
      <c r="F71" s="558" t="s">
        <v>1169</v>
      </c>
      <c r="G71" s="558" t="s">
        <v>50</v>
      </c>
      <c r="H71" s="53">
        <v>4542375.6141068768</v>
      </c>
      <c r="I71" s="53">
        <v>3673545.0902173538</v>
      </c>
      <c r="J71" s="53">
        <v>2455247.5052821003</v>
      </c>
      <c r="K71" s="53">
        <v>1718935.5423290622</v>
      </c>
      <c r="L71" s="53">
        <v>1260423.3356729997</v>
      </c>
      <c r="M71" s="53">
        <v>861284.32962635811</v>
      </c>
      <c r="N71" s="53">
        <v>764795.0246762404</v>
      </c>
    </row>
    <row r="72" spans="2:14" s="558" customFormat="1" x14ac:dyDescent="0.2">
      <c r="F72" s="558" t="s">
        <v>1169</v>
      </c>
      <c r="G72" s="558" t="s">
        <v>161</v>
      </c>
      <c r="H72" s="53">
        <v>155336.13924314937</v>
      </c>
      <c r="I72" s="53">
        <v>278547.87544849043</v>
      </c>
      <c r="J72" s="53">
        <v>350798.57761082635</v>
      </c>
      <c r="K72" s="53">
        <v>386760.43175386084</v>
      </c>
      <c r="L72" s="53">
        <v>424489.99585793575</v>
      </c>
      <c r="M72" s="53">
        <v>449837.64377712138</v>
      </c>
      <c r="N72" s="53">
        <v>462580.22752132273</v>
      </c>
    </row>
    <row r="73" spans="2:14" s="558" customFormat="1" ht="4.1500000000000004" customHeight="1" x14ac:dyDescent="0.2">
      <c r="H73" s="53"/>
      <c r="I73" s="53"/>
      <c r="J73" s="53"/>
      <c r="K73" s="53"/>
      <c r="L73" s="53"/>
      <c r="M73" s="53"/>
      <c r="N73" s="53"/>
    </row>
    <row r="74" spans="2:14" s="558" customFormat="1" ht="12.75" thickBot="1" x14ac:dyDescent="0.25">
      <c r="F74" s="722" t="s">
        <v>64</v>
      </c>
      <c r="G74" s="722"/>
      <c r="H74" s="92">
        <v>4697711.753350026</v>
      </c>
      <c r="I74" s="92">
        <v>3952092.9656658443</v>
      </c>
      <c r="J74" s="92">
        <v>2806046.0828929264</v>
      </c>
      <c r="K74" s="92">
        <v>2105695.974082923</v>
      </c>
      <c r="L74" s="92">
        <v>1684913.3315309356</v>
      </c>
      <c r="M74" s="92">
        <v>1311121.9734034794</v>
      </c>
      <c r="N74" s="92">
        <v>1227375.2521975632</v>
      </c>
    </row>
    <row r="75" spans="2:14" ht="12.75" thickTop="1" x14ac:dyDescent="0.2"/>
    <row r="76" spans="2:14" s="558" customFormat="1" ht="12.75" x14ac:dyDescent="0.2">
      <c r="B76" s="5"/>
      <c r="C76"/>
      <c r="D76" s="431"/>
    </row>
    <row r="77" spans="2:14" s="558" customFormat="1" ht="12.75" x14ac:dyDescent="0.2">
      <c r="F77" s="728"/>
      <c r="G77" s="729"/>
      <c r="H77" s="730" t="s">
        <v>251</v>
      </c>
      <c r="I77" s="730" t="s">
        <v>252</v>
      </c>
      <c r="J77" s="730" t="s">
        <v>253</v>
      </c>
      <c r="K77" s="730" t="s">
        <v>254</v>
      </c>
      <c r="L77" s="730" t="s">
        <v>255</v>
      </c>
      <c r="M77" s="730" t="s">
        <v>256</v>
      </c>
      <c r="N77" s="730" t="s">
        <v>257</v>
      </c>
    </row>
    <row r="78" spans="2:14" s="558" customFormat="1" ht="4.1500000000000004" customHeight="1" x14ac:dyDescent="0.2"/>
    <row r="79" spans="2:14" s="558" customFormat="1" x14ac:dyDescent="0.2">
      <c r="F79" s="558" t="s">
        <v>194</v>
      </c>
      <c r="H79" s="37">
        <v>13028.23</v>
      </c>
      <c r="I79" s="37">
        <v>10706.610303047248</v>
      </c>
      <c r="J79" s="37">
        <v>7768.7792008765427</v>
      </c>
      <c r="K79" s="37">
        <v>5743.9332919178332</v>
      </c>
      <c r="L79" s="37">
        <v>4652.5218078462058</v>
      </c>
      <c r="M79" s="37">
        <v>3258.9365329637085</v>
      </c>
      <c r="N79" s="37">
        <v>2757.7387515431719</v>
      </c>
    </row>
    <row r="80" spans="2:14" s="558" customFormat="1" x14ac:dyDescent="0.2">
      <c r="F80" s="558" t="s">
        <v>195</v>
      </c>
      <c r="H80" s="37">
        <v>3283.25</v>
      </c>
      <c r="I80" s="37">
        <v>3008.8969589992194</v>
      </c>
      <c r="J80" s="37">
        <v>2506.3190244811881</v>
      </c>
      <c r="K80" s="37">
        <v>2082.6543608686311</v>
      </c>
      <c r="L80" s="37">
        <v>1735.0313787506548</v>
      </c>
      <c r="M80" s="37">
        <v>1355.6191444183739</v>
      </c>
      <c r="N80" s="37">
        <v>1317.7416894828864</v>
      </c>
    </row>
    <row r="81" spans="4:14" s="558" customFormat="1" x14ac:dyDescent="0.2">
      <c r="F81" s="558" t="s">
        <v>215</v>
      </c>
      <c r="H81" s="37">
        <v>9456.09</v>
      </c>
      <c r="I81" s="37">
        <v>7561.1656508242986</v>
      </c>
      <c r="J81" s="37">
        <v>5113.8246215974023</v>
      </c>
      <c r="K81" s="37">
        <v>3552.4648272824629</v>
      </c>
      <c r="L81" s="37">
        <v>2631.3997080204049</v>
      </c>
      <c r="M81" s="37">
        <v>1855.9874423134843</v>
      </c>
      <c r="N81" s="37">
        <v>1857.7444154925176</v>
      </c>
    </row>
    <row r="82" spans="4:14" s="558" customFormat="1" x14ac:dyDescent="0.2">
      <c r="F82" s="558" t="s">
        <v>242</v>
      </c>
      <c r="H82" s="37">
        <v>5307.18</v>
      </c>
      <c r="I82" s="37">
        <v>3735.7693480749226</v>
      </c>
      <c r="J82" s="37">
        <v>1941.9440315001243</v>
      </c>
      <c r="K82" s="37">
        <v>1325.4788557999593</v>
      </c>
      <c r="L82" s="37">
        <v>938.56532677594407</v>
      </c>
      <c r="M82" s="37">
        <v>942.60146220587058</v>
      </c>
      <c r="N82" s="37">
        <v>963.87838335026515</v>
      </c>
    </row>
    <row r="83" spans="4:14" s="558" customFormat="1" x14ac:dyDescent="0.2">
      <c r="F83" s="558" t="s">
        <v>67</v>
      </c>
      <c r="G83" s="148"/>
      <c r="H83" s="37">
        <v>1040</v>
      </c>
      <c r="I83" s="37">
        <v>1060</v>
      </c>
      <c r="J83" s="37">
        <v>1080</v>
      </c>
      <c r="K83" s="37">
        <v>1110</v>
      </c>
      <c r="L83" s="37">
        <v>1130</v>
      </c>
      <c r="M83" s="37">
        <v>1150</v>
      </c>
      <c r="N83" s="37">
        <v>1170</v>
      </c>
    </row>
    <row r="84" spans="4:14" s="558" customFormat="1" ht="4.1500000000000004" customHeight="1" x14ac:dyDescent="0.2">
      <c r="H84" s="37"/>
      <c r="I84" s="37"/>
      <c r="J84" s="37"/>
      <c r="K84" s="37"/>
      <c r="L84" s="37"/>
      <c r="M84" s="37"/>
      <c r="N84" s="37"/>
    </row>
    <row r="85" spans="4:14" s="558" customFormat="1" ht="12.75" thickBot="1" x14ac:dyDescent="0.25">
      <c r="F85" s="722" t="s">
        <v>64</v>
      </c>
      <c r="G85" s="722"/>
      <c r="H85" s="723">
        <v>32114.75</v>
      </c>
      <c r="I85" s="723">
        <v>26072.442260945689</v>
      </c>
      <c r="J85" s="723">
        <v>18410.866878455257</v>
      </c>
      <c r="K85" s="723">
        <v>13814.531335868887</v>
      </c>
      <c r="L85" s="723">
        <v>11087.518221393209</v>
      </c>
      <c r="M85" s="723">
        <v>8563.144581901437</v>
      </c>
      <c r="N85" s="723">
        <v>8067.1032398688412</v>
      </c>
    </row>
    <row r="86" spans="4:14" ht="12.75" thickTop="1" x14ac:dyDescent="0.2"/>
    <row r="88" spans="4:14" s="558" customFormat="1" x14ac:dyDescent="0.2">
      <c r="D88" s="431" t="s">
        <v>1241</v>
      </c>
    </row>
    <row r="89" spans="4:14" ht="15" x14ac:dyDescent="0.3">
      <c r="F89" s="741"/>
      <c r="G89" s="742"/>
      <c r="H89" s="743" t="s">
        <v>251</v>
      </c>
      <c r="I89" s="743" t="s">
        <v>252</v>
      </c>
      <c r="J89" s="743" t="s">
        <v>253</v>
      </c>
      <c r="K89" s="743" t="s">
        <v>254</v>
      </c>
      <c r="L89" s="743" t="s">
        <v>255</v>
      </c>
      <c r="M89" s="743" t="s">
        <v>256</v>
      </c>
      <c r="N89" s="743" t="s">
        <v>257</v>
      </c>
    </row>
    <row r="90" spans="4:14" ht="4.1500000000000004" customHeight="1" x14ac:dyDescent="0.2"/>
    <row r="91" spans="4:14" x14ac:dyDescent="0.2">
      <c r="F91" t="s">
        <v>194</v>
      </c>
      <c r="G91" t="s">
        <v>50</v>
      </c>
      <c r="H91" s="37">
        <v>13028.23</v>
      </c>
      <c r="I91" s="37">
        <v>10706.610303047248</v>
      </c>
      <c r="J91" s="37">
        <v>7768.7792008765427</v>
      </c>
      <c r="K91" s="37">
        <v>5743.9332919178332</v>
      </c>
      <c r="L91" s="37">
        <v>4652.5218078462058</v>
      </c>
      <c r="M91" s="37">
        <v>3258.9365329637085</v>
      </c>
      <c r="N91" s="37">
        <v>2757.7387515431719</v>
      </c>
    </row>
    <row r="92" spans="4:14" x14ac:dyDescent="0.2">
      <c r="F92" t="s">
        <v>195</v>
      </c>
      <c r="G92" s="558" t="s">
        <v>50</v>
      </c>
      <c r="H92" s="37">
        <v>2929.07</v>
      </c>
      <c r="I92" s="37">
        <v>2394.397787650541</v>
      </c>
      <c r="J92" s="37">
        <v>1735.9314364315512</v>
      </c>
      <c r="K92" s="37">
        <v>1238.5139223442209</v>
      </c>
      <c r="L92" s="37">
        <v>815.08995780617533</v>
      </c>
      <c r="M92" s="37">
        <v>413.44966119516499</v>
      </c>
      <c r="N92" s="37">
        <v>354.25285849785126</v>
      </c>
    </row>
    <row r="93" spans="4:14" s="558" customFormat="1" x14ac:dyDescent="0.2">
      <c r="F93" s="558" t="s">
        <v>195</v>
      </c>
      <c r="G93" s="558" t="s">
        <v>161</v>
      </c>
      <c r="H93" s="37">
        <v>354.18</v>
      </c>
      <c r="I93" s="37">
        <v>614.49917134867849</v>
      </c>
      <c r="J93" s="37">
        <v>770.38758804963686</v>
      </c>
      <c r="K93" s="37">
        <v>844.14043852441011</v>
      </c>
      <c r="L93" s="37">
        <v>919.94142094447932</v>
      </c>
      <c r="M93" s="37">
        <v>942.169483223209</v>
      </c>
      <c r="N93" s="37">
        <v>963.48883098503518</v>
      </c>
    </row>
    <row r="94" spans="4:14" x14ac:dyDescent="0.2">
      <c r="F94" t="s">
        <v>215</v>
      </c>
      <c r="G94" s="558" t="s">
        <v>50</v>
      </c>
      <c r="H94" s="37">
        <v>9279</v>
      </c>
      <c r="I94" s="37">
        <v>7253.9160651499596</v>
      </c>
      <c r="J94" s="37">
        <v>4728.6308275725842</v>
      </c>
      <c r="K94" s="37">
        <v>3130.3946080202577</v>
      </c>
      <c r="L94" s="37">
        <v>2171.4289975481652</v>
      </c>
      <c r="M94" s="37">
        <v>1384.9027007018797</v>
      </c>
      <c r="N94" s="37">
        <v>1376</v>
      </c>
    </row>
    <row r="95" spans="4:14" s="558" customFormat="1" x14ac:dyDescent="0.2">
      <c r="F95" s="558" t="s">
        <v>215</v>
      </c>
      <c r="G95" s="558" t="s">
        <v>161</v>
      </c>
      <c r="H95" s="37">
        <v>177.09</v>
      </c>
      <c r="I95" s="37">
        <v>307.24958567433924</v>
      </c>
      <c r="J95" s="37">
        <v>385.19379402481843</v>
      </c>
      <c r="K95" s="37">
        <v>422.07021926220506</v>
      </c>
      <c r="L95" s="37">
        <v>459.97071047223966</v>
      </c>
      <c r="M95" s="37">
        <v>471.0847416116045</v>
      </c>
      <c r="N95" s="37">
        <v>481.74441549251759</v>
      </c>
    </row>
    <row r="96" spans="4:14" x14ac:dyDescent="0.2">
      <c r="F96" t="s">
        <v>242</v>
      </c>
      <c r="G96" s="558" t="s">
        <v>50</v>
      </c>
      <c r="H96" s="37">
        <v>4953</v>
      </c>
      <c r="I96" s="37">
        <v>3121.2701767262442</v>
      </c>
      <c r="J96" s="37">
        <v>1171.5564434504874</v>
      </c>
      <c r="K96" s="37">
        <v>481.3384172755492</v>
      </c>
      <c r="L96" s="37">
        <v>18.623905831464736</v>
      </c>
      <c r="M96" s="37">
        <v>0.43197898266157653</v>
      </c>
      <c r="N96" s="37">
        <v>0.38955236523001824</v>
      </c>
    </row>
    <row r="97" spans="6:14" s="558" customFormat="1" x14ac:dyDescent="0.2">
      <c r="F97" s="558" t="s">
        <v>242</v>
      </c>
      <c r="G97" s="558" t="s">
        <v>161</v>
      </c>
      <c r="H97" s="37">
        <v>354.18</v>
      </c>
      <c r="I97" s="37">
        <v>614.49917134867849</v>
      </c>
      <c r="J97" s="37">
        <v>770.38758804963686</v>
      </c>
      <c r="K97" s="37">
        <v>844.14043852441011</v>
      </c>
      <c r="L97" s="37">
        <v>919.94142094447932</v>
      </c>
      <c r="M97" s="37">
        <v>942.169483223209</v>
      </c>
      <c r="N97" s="37">
        <v>963.48883098503518</v>
      </c>
    </row>
    <row r="98" spans="6:14" x14ac:dyDescent="0.2">
      <c r="F98" t="s">
        <v>67</v>
      </c>
      <c r="G98" s="148"/>
      <c r="H98" s="37">
        <v>1040</v>
      </c>
      <c r="I98" s="37">
        <v>1060</v>
      </c>
      <c r="J98" s="37">
        <v>1080</v>
      </c>
      <c r="K98" s="37">
        <v>1110</v>
      </c>
      <c r="L98" s="37">
        <v>1130</v>
      </c>
      <c r="M98" s="37">
        <v>1150</v>
      </c>
      <c r="N98" s="37">
        <v>1170</v>
      </c>
    </row>
    <row r="99" spans="6:14" ht="4.1500000000000004" customHeight="1" x14ac:dyDescent="0.2">
      <c r="H99" s="37"/>
      <c r="I99" s="37"/>
      <c r="J99" s="37"/>
      <c r="K99" s="37"/>
      <c r="L99" s="37"/>
      <c r="M99" s="37"/>
      <c r="N99" s="37"/>
    </row>
    <row r="100" spans="6:14" ht="12.75" thickBot="1" x14ac:dyDescent="0.25">
      <c r="F100" s="722" t="s">
        <v>64</v>
      </c>
      <c r="G100" s="722"/>
      <c r="H100" s="723">
        <v>32114.75</v>
      </c>
      <c r="I100" s="723">
        <v>26072.442260945689</v>
      </c>
      <c r="J100" s="723">
        <v>18410.866878455257</v>
      </c>
      <c r="K100" s="723">
        <v>13814.531335868885</v>
      </c>
      <c r="L100" s="723">
        <v>11087.518221393208</v>
      </c>
      <c r="M100" s="723">
        <v>8563.144581901437</v>
      </c>
      <c r="N100" s="723">
        <v>8067.1032398688412</v>
      </c>
    </row>
    <row r="101" spans="6:14" ht="12.75" thickTop="1" x14ac:dyDescent="0.2"/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2">
    <tabColor theme="3" tint="0.79998168889431442"/>
    <pageSetUpPr fitToPage="1"/>
  </sheetPr>
  <dimension ref="A1:S46"/>
  <sheetViews>
    <sheetView showGridLines="0" zoomScaleNormal="100" workbookViewId="0">
      <selection activeCell="B6" sqref="B6"/>
    </sheetView>
  </sheetViews>
  <sheetFormatPr defaultRowHeight="12" x14ac:dyDescent="0.2"/>
  <cols>
    <col min="1" max="1" width="7.5" customWidth="1"/>
    <col min="2" max="2" width="7.33203125" bestFit="1" customWidth="1"/>
    <col min="3" max="5" width="2.5" customWidth="1"/>
    <col min="6" max="6" width="21.5" customWidth="1"/>
    <col min="7" max="7" width="10" bestFit="1" customWidth="1"/>
    <col min="8" max="18" width="18.1640625" customWidth="1"/>
    <col min="19" max="19" width="4.6640625" customWidth="1"/>
  </cols>
  <sheetData>
    <row r="1" spans="1:19" s="558" customFormat="1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s="558" customFormat="1" ht="16.5" thickBot="1" x14ac:dyDescent="0.3">
      <c r="A2" s="394" t="s">
        <v>1262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558" customFormat="1" ht="15.75" thickTop="1" x14ac:dyDescent="0.25">
      <c r="A3" s="6"/>
      <c r="D3" s="34"/>
      <c r="F3" s="337"/>
      <c r="G3" s="337"/>
    </row>
    <row r="12" spans="1:19" x14ac:dyDescent="0.2">
      <c r="O12">
        <v>1000000</v>
      </c>
    </row>
    <row r="38" spans="1:14" s="558" customFormat="1" ht="15" x14ac:dyDescent="0.25">
      <c r="A38" s="6"/>
      <c r="B38" s="5" t="s">
        <v>1221</v>
      </c>
      <c r="D38" s="34"/>
      <c r="F38" s="38"/>
      <c r="H38" s="693" t="s">
        <v>1261</v>
      </c>
      <c r="I38" s="693" t="s">
        <v>1261</v>
      </c>
      <c r="J38" s="721" t="s">
        <v>1034</v>
      </c>
      <c r="K38" s="721" t="s">
        <v>1034</v>
      </c>
      <c r="L38" s="721" t="s">
        <v>1034</v>
      </c>
      <c r="M38" s="721" t="s">
        <v>1034</v>
      </c>
      <c r="N38" s="721" t="s">
        <v>1034</v>
      </c>
    </row>
    <row r="39" spans="1:14" s="558" customFormat="1" ht="15" x14ac:dyDescent="0.25">
      <c r="A39" s="6"/>
      <c r="D39" s="34"/>
      <c r="F39" s="1"/>
      <c r="G39" s="720"/>
      <c r="H39" s="3" t="s">
        <v>251</v>
      </c>
      <c r="I39" s="3" t="s">
        <v>252</v>
      </c>
      <c r="J39" s="3" t="s">
        <v>253</v>
      </c>
      <c r="K39" s="3" t="s">
        <v>254</v>
      </c>
      <c r="L39" s="3" t="s">
        <v>255</v>
      </c>
      <c r="M39" s="3" t="s">
        <v>256</v>
      </c>
      <c r="N39" s="3" t="s">
        <v>257</v>
      </c>
    </row>
    <row r="40" spans="1:14" s="558" customFormat="1" ht="4.1500000000000004" customHeight="1" x14ac:dyDescent="0.2">
      <c r="H40" s="53"/>
      <c r="I40" s="53"/>
      <c r="J40" s="53"/>
      <c r="K40" s="53"/>
      <c r="L40" s="53"/>
      <c r="M40" s="53"/>
      <c r="N40" s="53"/>
    </row>
    <row r="41" spans="1:14" s="558" customFormat="1" x14ac:dyDescent="0.2">
      <c r="F41" s="558" t="s">
        <v>1172</v>
      </c>
      <c r="G41" s="411" t="s">
        <v>42</v>
      </c>
      <c r="H41" s="744">
        <v>3.6521736814243719</v>
      </c>
      <c r="I41" s="744">
        <v>4.014670356809221</v>
      </c>
      <c r="J41" s="744">
        <v>1.8038729841853585</v>
      </c>
      <c r="K41" s="744">
        <v>1.7943796906627398</v>
      </c>
      <c r="L41" s="744">
        <v>2.0004222188830805</v>
      </c>
      <c r="M41" s="744">
        <v>2.0129892932761253</v>
      </c>
      <c r="N41" s="744">
        <v>2.0242335177330602</v>
      </c>
    </row>
    <row r="42" spans="1:14" s="558" customFormat="1" x14ac:dyDescent="0.2">
      <c r="F42" s="558" t="s">
        <v>1180</v>
      </c>
      <c r="G42" s="411" t="s">
        <v>42</v>
      </c>
      <c r="H42" s="744">
        <v>0.40758183917516794</v>
      </c>
      <c r="I42" s="744">
        <v>0.40913338497466617</v>
      </c>
      <c r="J42" s="744">
        <v>0.41104857432092201</v>
      </c>
      <c r="K42" s="744">
        <v>0.41366680785757509</v>
      </c>
      <c r="L42" s="744">
        <v>0.41669717074722007</v>
      </c>
      <c r="M42" s="744">
        <v>0.41946086170257629</v>
      </c>
      <c r="N42" s="744">
        <v>0.42193363782052656</v>
      </c>
    </row>
    <row r="43" spans="1:14" s="558" customFormat="1" x14ac:dyDescent="0.2">
      <c r="F43" s="558" t="s">
        <v>303</v>
      </c>
      <c r="G43" s="411" t="s">
        <v>42</v>
      </c>
      <c r="H43" s="745">
        <v>18.67011438799485</v>
      </c>
      <c r="I43" s="745">
        <v>24.192118712433839</v>
      </c>
      <c r="J43" s="745">
        <v>15.013792845547108</v>
      </c>
      <c r="K43" s="745">
        <v>7.8343775175886767</v>
      </c>
      <c r="L43" s="745">
        <v>8.2664016356191912</v>
      </c>
      <c r="M43" s="745">
        <v>0.13900307286408548</v>
      </c>
      <c r="N43" s="745">
        <v>1.7886273746491949E-4</v>
      </c>
    </row>
    <row r="44" spans="1:14" s="558" customFormat="1" ht="4.1500000000000004" customHeight="1" x14ac:dyDescent="0.2"/>
    <row r="45" spans="1:14" s="558" customFormat="1" ht="12.75" thickBot="1" x14ac:dyDescent="0.25">
      <c r="F45" s="722" t="s">
        <v>1256</v>
      </c>
      <c r="G45" s="722"/>
      <c r="H45" s="746">
        <v>22.729869908594388</v>
      </c>
      <c r="I45" s="746">
        <v>28.615922454217724</v>
      </c>
      <c r="J45" s="746">
        <v>17.228714404053388</v>
      </c>
      <c r="K45" s="746">
        <v>10.042424016108992</v>
      </c>
      <c r="L45" s="746">
        <v>10.683521025249492</v>
      </c>
      <c r="M45" s="746">
        <v>2.5714532278427873</v>
      </c>
      <c r="N45" s="746">
        <v>2.4463460182910519</v>
      </c>
    </row>
    <row r="46" spans="1:14" s="558" customFormat="1" ht="12.75" thickTop="1" x14ac:dyDescent="0.2"/>
  </sheetData>
  <pageMargins left="0.26" right="0.37" top="0.75" bottom="0.75" header="0.3" footer="0.3"/>
  <pageSetup paperSize="9" scale="6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3">
    <tabColor theme="3" tint="0.79998168889431442"/>
    <pageSetUpPr fitToPage="1"/>
  </sheetPr>
  <dimension ref="A1:S48"/>
  <sheetViews>
    <sheetView showGridLines="0" zoomScaleNormal="100" workbookViewId="0">
      <selection activeCell="P41" sqref="P41"/>
    </sheetView>
  </sheetViews>
  <sheetFormatPr defaultColWidth="9.1640625" defaultRowHeight="12" x14ac:dyDescent="0.2"/>
  <cols>
    <col min="1" max="1" width="7.5" style="558" customWidth="1"/>
    <col min="2" max="2" width="7.33203125" style="558" bestFit="1" customWidth="1"/>
    <col min="3" max="5" width="2.5" style="558" customWidth="1"/>
    <col min="6" max="6" width="21.5" style="558" customWidth="1"/>
    <col min="7" max="7" width="10" style="558" bestFit="1" customWidth="1"/>
    <col min="8" max="18" width="18.1640625" style="558" customWidth="1"/>
    <col min="19" max="19" width="4.6640625" style="558" customWidth="1"/>
    <col min="20" max="16384" width="9.1640625" style="558"/>
  </cols>
  <sheetData>
    <row r="1" spans="1:19" ht="18.75" x14ac:dyDescent="0.3">
      <c r="A1" s="31" t="s">
        <v>19</v>
      </c>
      <c r="B1" s="31"/>
      <c r="C1" s="31"/>
      <c r="D1" s="33"/>
      <c r="E1" s="31"/>
      <c r="F1" s="32"/>
      <c r="G1" s="32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9" ht="16.5" thickBot="1" x14ac:dyDescent="0.3">
      <c r="A2" s="394" t="s">
        <v>1263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5.75" thickTop="1" x14ac:dyDescent="0.25">
      <c r="A3" s="6"/>
      <c r="D3" s="34"/>
      <c r="F3" s="337"/>
      <c r="G3" s="337"/>
    </row>
    <row r="12" spans="1:19" x14ac:dyDescent="0.2">
      <c r="O12" s="558">
        <v>1000000</v>
      </c>
    </row>
    <row r="38" spans="1:14" ht="15" x14ac:dyDescent="0.25">
      <c r="A38" s="6"/>
      <c r="B38" s="5" t="s">
        <v>1223</v>
      </c>
      <c r="D38" s="34"/>
      <c r="F38" s="38"/>
      <c r="H38" s="693" t="s">
        <v>1261</v>
      </c>
      <c r="I38" s="693" t="s">
        <v>1261</v>
      </c>
      <c r="J38" s="721" t="s">
        <v>1034</v>
      </c>
      <c r="K38" s="721" t="s">
        <v>1034</v>
      </c>
      <c r="L38" s="721" t="s">
        <v>1034</v>
      </c>
      <c r="M38" s="721" t="s">
        <v>1034</v>
      </c>
      <c r="N38" s="721" t="s">
        <v>1034</v>
      </c>
    </row>
    <row r="39" spans="1:14" ht="15" x14ac:dyDescent="0.25">
      <c r="A39" s="6"/>
      <c r="D39" s="34"/>
      <c r="F39" s="1"/>
      <c r="G39" s="720"/>
      <c r="H39" s="3" t="s">
        <v>251</v>
      </c>
      <c r="I39" s="3" t="s">
        <v>252</v>
      </c>
      <c r="J39" s="3" t="s">
        <v>253</v>
      </c>
      <c r="K39" s="3" t="s">
        <v>254</v>
      </c>
      <c r="L39" s="3" t="s">
        <v>255</v>
      </c>
      <c r="M39" s="3" t="s">
        <v>256</v>
      </c>
      <c r="N39" s="3" t="s">
        <v>257</v>
      </c>
    </row>
    <row r="40" spans="1:14" ht="4.1500000000000004" customHeight="1" x14ac:dyDescent="0.2">
      <c r="H40" s="53"/>
      <c r="I40" s="53"/>
      <c r="J40" s="53"/>
      <c r="K40" s="53"/>
      <c r="L40" s="53"/>
      <c r="M40" s="53"/>
      <c r="N40" s="53"/>
    </row>
    <row r="41" spans="1:14" x14ac:dyDescent="0.2">
      <c r="F41" s="558" t="s">
        <v>725</v>
      </c>
      <c r="G41" s="411"/>
      <c r="H41" s="760">
        <v>1.5759605684585067</v>
      </c>
      <c r="I41" s="760">
        <v>0.98181184030122814</v>
      </c>
      <c r="J41" s="760">
        <v>0.67260434078562148</v>
      </c>
      <c r="K41" s="760">
        <v>0.67688859172811111</v>
      </c>
      <c r="L41" s="760">
        <v>0.68184721550414085</v>
      </c>
      <c r="M41" s="760">
        <v>0.68636948038787993</v>
      </c>
      <c r="N41" s="760">
        <v>0.69041571738912033</v>
      </c>
    </row>
    <row r="42" spans="1:14" x14ac:dyDescent="0.2">
      <c r="F42" s="558" t="s">
        <v>1169</v>
      </c>
      <c r="G42" s="411"/>
      <c r="H42" s="760">
        <v>4.6977117533500259</v>
      </c>
      <c r="I42" s="760">
        <v>3.9520929656658441</v>
      </c>
      <c r="J42" s="760">
        <v>2.8060460828929266</v>
      </c>
      <c r="K42" s="760">
        <v>2.1056959740829231</v>
      </c>
      <c r="L42" s="760">
        <v>1.6849133315309357</v>
      </c>
      <c r="M42" s="760">
        <v>1.3111219734034794</v>
      </c>
      <c r="N42" s="760">
        <v>1.2273752521975632</v>
      </c>
    </row>
    <row r="43" spans="1:14" x14ac:dyDescent="0.2">
      <c r="F43" s="558" t="s">
        <v>1212</v>
      </c>
      <c r="G43" s="411"/>
      <c r="H43" s="760">
        <v>0</v>
      </c>
      <c r="I43" s="760">
        <v>2.7521729409536701E-2</v>
      </c>
      <c r="J43" s="760">
        <v>0.39787278708273183</v>
      </c>
      <c r="K43" s="760">
        <v>1.0961487605675362</v>
      </c>
      <c r="L43" s="760">
        <v>1.7083204159647642</v>
      </c>
      <c r="M43" s="760">
        <v>2.2813186414323607</v>
      </c>
      <c r="N43" s="760">
        <v>1.76151401801465</v>
      </c>
    </row>
    <row r="44" spans="1:14" x14ac:dyDescent="0.2">
      <c r="F44" s="558" t="s">
        <v>1168</v>
      </c>
      <c r="G44" s="411"/>
      <c r="H44" s="760">
        <v>1.6217300638224208</v>
      </c>
      <c r="I44" s="760">
        <v>1.6279035196209806</v>
      </c>
      <c r="J44" s="760">
        <v>1.6387310757482023</v>
      </c>
      <c r="K44" s="760">
        <v>1.64916921111254</v>
      </c>
      <c r="L44" s="760">
        <v>1.6612503863027455</v>
      </c>
      <c r="M44" s="760">
        <v>1.6722684180762131</v>
      </c>
      <c r="N44" s="760">
        <v>1.6821266570314208</v>
      </c>
    </row>
    <row r="45" spans="1:14" x14ac:dyDescent="0.2">
      <c r="F45" s="558" t="s">
        <v>22</v>
      </c>
      <c r="G45" s="411"/>
      <c r="H45" s="504">
        <v>1.5834838609070601</v>
      </c>
      <c r="I45" s="504">
        <v>1.6200792576721039</v>
      </c>
      <c r="J45" s="504">
        <v>1.6583736135892306</v>
      </c>
      <c r="K45" s="504">
        <v>1.7152962223081278</v>
      </c>
      <c r="L45" s="504">
        <v>1.7589944637585582</v>
      </c>
      <c r="M45" s="504">
        <v>1.8019998993713855</v>
      </c>
      <c r="N45" s="504">
        <v>1.844146799122713</v>
      </c>
    </row>
    <row r="46" spans="1:14" ht="4.1500000000000004" customHeight="1" x14ac:dyDescent="0.2">
      <c r="H46" s="761"/>
      <c r="I46" s="761"/>
      <c r="J46" s="761"/>
      <c r="K46" s="761"/>
      <c r="L46" s="761"/>
      <c r="M46" s="761"/>
      <c r="N46" s="761"/>
    </row>
    <row r="47" spans="1:14" ht="12.75" thickBot="1" x14ac:dyDescent="0.25">
      <c r="F47" s="722" t="s">
        <v>1170</v>
      </c>
      <c r="G47" s="722"/>
      <c r="H47" s="762">
        <v>9.4788862465380141</v>
      </c>
      <c r="I47" s="762">
        <v>8.2094093126696936</v>
      </c>
      <c r="J47" s="762">
        <v>7.1736279000987135</v>
      </c>
      <c r="K47" s="762">
        <v>7.2431987597992382</v>
      </c>
      <c r="L47" s="762">
        <v>7.495325813061144</v>
      </c>
      <c r="M47" s="762">
        <v>7.7530784126713188</v>
      </c>
      <c r="N47" s="762">
        <v>7.2055784437554671</v>
      </c>
    </row>
    <row r="48" spans="1:14" ht="12.75" thickTop="1" x14ac:dyDescent="0.2"/>
  </sheetData>
  <pageMargins left="0.28000000000000003" right="0.21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112</vt:i4>
      </vt:variant>
    </vt:vector>
  </HeadingPairs>
  <TitlesOfParts>
    <vt:vector size="151" baseType="lpstr">
      <vt:lpstr>Contents</vt:lpstr>
      <vt:lpstr>Administration</vt:lpstr>
      <vt:lpstr>HID Tariffs</vt:lpstr>
      <vt:lpstr>LED Tariffs</vt:lpstr>
      <vt:lpstr>HID</vt:lpstr>
      <vt:lpstr>LED</vt:lpstr>
      <vt:lpstr>Total Exp</vt:lpstr>
      <vt:lpstr>CAPEX Graph</vt:lpstr>
      <vt:lpstr>OPEX Graph</vt:lpstr>
      <vt:lpstr>SLO Summary</vt:lpstr>
      <vt:lpstr>Controls</vt:lpstr>
      <vt:lpstr>PTRM Integration</vt:lpstr>
      <vt:lpstr>Cable Replacement</vt:lpstr>
      <vt:lpstr>Column Replacement</vt:lpstr>
      <vt:lpstr>Brackets Replacement</vt:lpstr>
      <vt:lpstr>GSL</vt:lpstr>
      <vt:lpstr>Column Inspections</vt:lpstr>
      <vt:lpstr>Bulk Lamp</vt:lpstr>
      <vt:lpstr>LED Conversions</vt:lpstr>
      <vt:lpstr>LED CAPEX</vt:lpstr>
      <vt:lpstr>Cable Faults</vt:lpstr>
      <vt:lpstr>SLO</vt:lpstr>
      <vt:lpstr>SLO HID OPEX</vt:lpstr>
      <vt:lpstr>SLO LED OPEX</vt:lpstr>
      <vt:lpstr>Luminaire_Annuity</vt:lpstr>
      <vt:lpstr>TFI_Annuity_Calcs</vt:lpstr>
      <vt:lpstr>LED Annuity</vt:lpstr>
      <vt:lpstr>HID_Annuity</vt:lpstr>
      <vt:lpstr>Global Assumptions</vt:lpstr>
      <vt:lpstr>SLO Costs</vt:lpstr>
      <vt:lpstr>AMP</vt:lpstr>
      <vt:lpstr>Lists</vt:lpstr>
      <vt:lpstr>CableFault_Data</vt:lpstr>
      <vt:lpstr>GSL_Data</vt:lpstr>
      <vt:lpstr>Column_Data</vt:lpstr>
      <vt:lpstr>SLO_Data</vt:lpstr>
      <vt:lpstr>SLO_Fittings_Data</vt:lpstr>
      <vt:lpstr>Lights_Data</vt:lpstr>
      <vt:lpstr>LED_PriceData</vt:lpstr>
      <vt:lpstr>__DeleteLED_Name</vt:lpstr>
      <vt:lpstr>__DynamicYrNominal</vt:lpstr>
      <vt:lpstr>__NewLED_Cat</vt:lpstr>
      <vt:lpstr>__NewLED_Name</vt:lpstr>
      <vt:lpstr>__PTRM_ImportTo</vt:lpstr>
      <vt:lpstr>__PTRM_ImportTo1</vt:lpstr>
      <vt:lpstr>__PTRM_LastUpdated</vt:lpstr>
      <vt:lpstr>__PTRM_LastUpdated1</vt:lpstr>
      <vt:lpstr>__PTRM_OutputFrom</vt:lpstr>
      <vt:lpstr>__PTRM_OutputFrom1</vt:lpstr>
      <vt:lpstr>__RAB_ImportTo</vt:lpstr>
      <vt:lpstr>__RAB_LastUpdated</vt:lpstr>
      <vt:lpstr>__RAB_OutputFrom</vt:lpstr>
      <vt:lpstr>__UpdatedAnnuities</vt:lpstr>
      <vt:lpstr>__UpdatedRAB_PTRM</vt:lpstr>
      <vt:lpstr>__UpdatedTariffs</vt:lpstr>
      <vt:lpstr>A_Name_File</vt:lpstr>
      <vt:lpstr>A_Name_Model</vt:lpstr>
      <vt:lpstr>A3stdlife</vt:lpstr>
      <vt:lpstr>A3taxstdlife</vt:lpstr>
      <vt:lpstr>AnnuityAdvanceZero</vt:lpstr>
      <vt:lpstr>AnnuityArrearsZero</vt:lpstr>
      <vt:lpstr>'OPEX Graph'!Base_Light_lst</vt:lpstr>
      <vt:lpstr>'SLO LED OPEX'!Base_Light_lst</vt:lpstr>
      <vt:lpstr>'SLO Summary'!Base_Light_lst</vt:lpstr>
      <vt:lpstr>Base_Light_lst</vt:lpstr>
      <vt:lpstr>BulkLamp_Costs</vt:lpstr>
      <vt:lpstr>Corporate_Overheads</vt:lpstr>
      <vt:lpstr>CPI_Year</vt:lpstr>
      <vt:lpstr>'OPEX Graph'!Denominator_lst</vt:lpstr>
      <vt:lpstr>'SLO LED OPEX'!Denominator_lst</vt:lpstr>
      <vt:lpstr>'SLO Summary'!Denominator_lst</vt:lpstr>
      <vt:lpstr>Denominator_lst</vt:lpstr>
      <vt:lpstr>'OPEX Graph'!Equipt_BaseLamp_lst</vt:lpstr>
      <vt:lpstr>'SLO LED OPEX'!Equipt_BaseLamp_lst</vt:lpstr>
      <vt:lpstr>'SLO Summary'!Equipt_BaseLamp_lst</vt:lpstr>
      <vt:lpstr>Equipt_BaseLamp_lst</vt:lpstr>
      <vt:lpstr>Extended_Waranty</vt:lpstr>
      <vt:lpstr>FY_19</vt:lpstr>
      <vt:lpstr>FY_20</vt:lpstr>
      <vt:lpstr>FY_21</vt:lpstr>
      <vt:lpstr>FY_22</vt:lpstr>
      <vt:lpstr>FY_23</vt:lpstr>
      <vt:lpstr>FY_24</vt:lpstr>
      <vt:lpstr>FY_25</vt:lpstr>
      <vt:lpstr>FY_26</vt:lpstr>
      <vt:lpstr>FY_27</vt:lpstr>
      <vt:lpstr>FY_28</vt:lpstr>
      <vt:lpstr>HID_Annuity_Input</vt:lpstr>
      <vt:lpstr>HID_LED</vt:lpstr>
      <vt:lpstr>'OPEX Graph'!HID_lst</vt:lpstr>
      <vt:lpstr>'SLO LED OPEX'!HID_lst</vt:lpstr>
      <vt:lpstr>'SLO Summary'!HID_lst</vt:lpstr>
      <vt:lpstr>HID_lst</vt:lpstr>
      <vt:lpstr>HID_Year</vt:lpstr>
      <vt:lpstr>Labour_BulkLamp</vt:lpstr>
      <vt:lpstr>Labour_CableFault</vt:lpstr>
      <vt:lpstr>Labour_LED_Conversion</vt:lpstr>
      <vt:lpstr>Labour_SLO</vt:lpstr>
      <vt:lpstr>LED_Annuity_Input</vt:lpstr>
      <vt:lpstr>LED_HID_Switch</vt:lpstr>
      <vt:lpstr>'OPEX Graph'!LED_Lst</vt:lpstr>
      <vt:lpstr>'SLO LED OPEX'!LED_Lst</vt:lpstr>
      <vt:lpstr>'SLO Summary'!LED_Lst</vt:lpstr>
      <vt:lpstr>LED_Lst</vt:lpstr>
      <vt:lpstr>LED_OM_Annuity</vt:lpstr>
      <vt:lpstr>LED_OM_Input</vt:lpstr>
      <vt:lpstr>LED_Year</vt:lpstr>
      <vt:lpstr>Lights_on_Stobi_Poles</vt:lpstr>
      <vt:lpstr>Luminaire_Annuity_Input</vt:lpstr>
      <vt:lpstr>Luminaire_Annuity_Output</vt:lpstr>
      <vt:lpstr>Margin</vt:lpstr>
      <vt:lpstr>Material_On_Costs</vt:lpstr>
      <vt:lpstr>NPV_Advance</vt:lpstr>
      <vt:lpstr>NPV_Arrears</vt:lpstr>
      <vt:lpstr>PE_Cell</vt:lpstr>
      <vt:lpstr>'CAPEX Graph'!Print_Area</vt:lpstr>
      <vt:lpstr>'OPEX Graph'!Print_Area</vt:lpstr>
      <vt:lpstr>'SLO Summary'!Print_Area</vt:lpstr>
      <vt:lpstr>'OPEX Graph'!RegYear_Lst</vt:lpstr>
      <vt:lpstr>'SLO LED OPEX'!RegYear_Lst</vt:lpstr>
      <vt:lpstr>'SLO Summary'!RegYear_Lst</vt:lpstr>
      <vt:lpstr>RegYear_Lst</vt:lpstr>
      <vt:lpstr>RegYrNominal</vt:lpstr>
      <vt:lpstr>Rounding</vt:lpstr>
      <vt:lpstr>rvanilla</vt:lpstr>
      <vt:lpstr>Start_Year</vt:lpstr>
      <vt:lpstr>Tariff_HID_Input</vt:lpstr>
      <vt:lpstr>Tariff_HID_Output</vt:lpstr>
      <vt:lpstr>Tariff_LED_Input</vt:lpstr>
      <vt:lpstr>Tariff_LED_Output</vt:lpstr>
      <vt:lpstr>Tariff_Year</vt:lpstr>
      <vt:lpstr>'OPEX Graph'!Tariffs_lst</vt:lpstr>
      <vt:lpstr>'SLO LED OPEX'!Tariffs_lst</vt:lpstr>
      <vt:lpstr>'SLO Summary'!Tariffs_lst</vt:lpstr>
      <vt:lpstr>Tariffs_lst</vt:lpstr>
      <vt:lpstr>Tax_Rate</vt:lpstr>
      <vt:lpstr>TFI_Annuity_Input</vt:lpstr>
      <vt:lpstr>TFI_Annuity_Output</vt:lpstr>
      <vt:lpstr>TFI_HID_Annuity_Input</vt:lpstr>
      <vt:lpstr>Use_of_Pole</vt:lpstr>
      <vt:lpstr>WACC</vt:lpstr>
      <vt:lpstr>AMP!Year_lst</vt:lpstr>
      <vt:lpstr>'Bulk Lamp'!Year_lst</vt:lpstr>
      <vt:lpstr>'Cable Faults'!Year_lst</vt:lpstr>
      <vt:lpstr>'Cable Replacement'!Year_lst</vt:lpstr>
      <vt:lpstr>LED!Year_lst</vt:lpstr>
      <vt:lpstr>'OPEX Graph'!Year_lst</vt:lpstr>
      <vt:lpstr>'PTRM Integration'!Year_lst</vt:lpstr>
      <vt:lpstr>'SLO LED OPEX'!Year_lst</vt:lpstr>
      <vt:lpstr>'SLO Summary'!Year_lst</vt:lpstr>
      <vt:lpstr>Year_lst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SLF</dc:creator>
  <cp:lastModifiedBy>Debbie Voltz</cp:lastModifiedBy>
  <cp:lastPrinted>2019-01-17T02:04:26Z</cp:lastPrinted>
  <dcterms:created xsi:type="dcterms:W3CDTF">2013-08-01T04:51:30Z</dcterms:created>
  <dcterms:modified xsi:type="dcterms:W3CDTF">2019-01-30T23:32:49Z</dcterms:modified>
</cp:coreProperties>
</file>