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omments9.xml" ContentType="application/vnd.openxmlformats-officedocument.spreadsheetml.comments+xml"/>
  <Override PartName="/xl/customProperty14.bin" ContentType="application/vnd.openxmlformats-officedocument.spreadsheetml.customProperty"/>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R:\CorpStrategy\_RegNew\02_Team Shared\11_Sales_Tariffs\01_Annual\APP\2020-21\3. IPP Submission 10.06.2020\"/>
    </mc:Choice>
  </mc:AlternateContent>
  <xr:revisionPtr revIDLastSave="0" documentId="13_ncr:1_{83B2CEA3-1281-4837-8D39-3A1139C64072}" xr6:coauthVersionLast="45" xr6:coauthVersionMax="45" xr10:uidLastSave="{00000000-0000-0000-0000-000000000000}"/>
  <bookViews>
    <workbookView xWindow="-120" yWindow="-120" windowWidth="25440" windowHeight="15390" tabRatio="860" firstSheet="1" activeTab="13" xr2:uid="{FBAD8413-E484-4B68-84F3-75106456C7E6}"/>
  </bookViews>
  <sheets>
    <sheet name="Formulae" sheetId="1" r:id="rId1"/>
    <sheet name="Model Update" sheetId="10" r:id="rId2"/>
    <sheet name="Outcome - DUoS" sheetId="4" r:id="rId3"/>
    <sheet name="TUoS" sheetId="13" r:id="rId4"/>
    <sheet name="JSO" sheetId="14" r:id="rId5"/>
    <sheet name="DUoS (t)" sheetId="2" r:id="rId6"/>
    <sheet name="TUoS (t)" sheetId="8" r:id="rId7"/>
    <sheet name="JSO (t)" sheetId="9" r:id="rId8"/>
    <sheet name="NUoS (t)" sheetId="16" r:id="rId9"/>
    <sheet name="Q (t)" sheetId="3" r:id="rId10"/>
    <sheet name="Cust Specific" sheetId="17" r:id="rId11"/>
    <sheet name="Pricing Scheule (t)" sheetId="20" r:id="rId12"/>
    <sheet name="2020-25 Pricing Schedule" sheetId="11" r:id="rId13"/>
    <sheet name="TSS REC" sheetId="19" r:id="rId14"/>
    <sheet name="RIN REC"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tn1" localSheetId="0">Formulae!#REF!</definedName>
    <definedName name="_ftnref1" localSheetId="0">Formulae!$D$23</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Base_date">'[2]Tables 16 - 26'!$E$1</definedName>
    <definedName name="CRCP_y4">'[3]Business &amp; other details'!$F$39</definedName>
    <definedName name="CRCP_y5">'[3]Business &amp; other details'!$G$39</definedName>
    <definedName name="Days_Summer_Demand">'Model Update'!$G$9</definedName>
    <definedName name="Days_Year">'Model Update'!$F$9</definedName>
    <definedName name="dms_DollarReal">'[3]Business &amp; other details'!$C$74</definedName>
    <definedName name="dms_FRCPlength_Num">'[3]Business &amp; other details'!$C$83</definedName>
    <definedName name="dms_Reg_Year_Span">'[3]Business &amp; other details'!$B$3</definedName>
    <definedName name="dms_TradingName">'[3]Business &amp; other details'!$C$14</definedName>
    <definedName name="DNSP">[4]Outcomes!$B$3</definedName>
    <definedName name="DNSP_list">[5]Cover!$C$82:$C$84</definedName>
    <definedName name="Drc">'[1]PTRM input'!$G$233</definedName>
    <definedName name="Drpc">'[1]PTRM input'!$G$231</definedName>
    <definedName name="Drpt">'[1]PTRM input'!$G$232</definedName>
    <definedName name="Dv">'[1]PTRM input'!$G$219</definedName>
    <definedName name="ERC_Final_Calc">'[1]Equity raising costs'!$Q$54</definedName>
    <definedName name="ERC_Yr01_Inc">'[1]PTRM input'!$G$70</definedName>
    <definedName name="f">'[1]PTRM input'!$G$216</definedName>
    <definedName name="FRCP_y1">'[3]Business &amp; other details'!$C$35</definedName>
    <definedName name="FRCP_y2">'[3]Business &amp; other details'!$D$35</definedName>
    <definedName name="FRCP_y3">'[3]Business &amp; other details'!$E$35</definedName>
    <definedName name="FRCP_y4">'[3]Business &amp; other details'!$F$35</definedName>
    <definedName name="FRCP_y5">'[3]Business &amp; other details'!$G$35</definedName>
    <definedName name="g">'[1]PTRM input'!$G$218</definedName>
    <definedName name="Icpr">'[1]PTRM input'!$G$229</definedName>
    <definedName name="NSW_list">[5]Cover!#REF!</definedName>
    <definedName name="P_0_RevCap">'[1]X factors'!$G$63</definedName>
    <definedName name="P_0_RevYld">'[1]X factors'!$G$83</definedName>
    <definedName name="P_0_WAPC">'[1]X factors'!$G$47</definedName>
    <definedName name="_xlnm.Print_Area" localSheetId="10">'Cust Specific'!$A$1:$U$397</definedName>
    <definedName name="_xlnm.Print_Area" localSheetId="5">'DUoS (t)'!$B$1:$V$127</definedName>
    <definedName name="_xlnm.Print_Area" localSheetId="7">'JSO (t)'!$B$1:$V$127</definedName>
    <definedName name="_xlnm.Print_Area" localSheetId="8">'NUoS (t)'!$B$1:$V$127</definedName>
    <definedName name="_xlnm.Print_Area" localSheetId="11">'Pricing Scheule (t)'!$B$1:$CC$105</definedName>
    <definedName name="_xlnm.Print_Area" localSheetId="9">'Q (t)'!$B$1:$X$133</definedName>
    <definedName name="_xlnm.Print_Area" localSheetId="6">'TUoS (t)'!$B$1:$BM$127</definedName>
    <definedName name="_xlnm.Print_Titles" localSheetId="5">'DUoS (t)'!$B:$E,'DUoS (t)'!$11:$15</definedName>
    <definedName name="_xlnm.Print_Titles" localSheetId="7">'JSO (t)'!$B:$E,'JSO (t)'!$11:$15</definedName>
    <definedName name="_xlnm.Print_Titles" localSheetId="8">'NUoS (t)'!$B:$E,'NUoS (t)'!$11:$15</definedName>
    <definedName name="_xlnm.Print_Titles" localSheetId="9">'Q (t)'!$B:$E,'Q (t)'!$11:$15</definedName>
    <definedName name="_xlnm.Print_Titles" localSheetId="6">'TUoS (t)'!$B:$E,'TUoS (t)'!$1:$15</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A_list">[5]Cover!#REF!</definedName>
    <definedName name="Seo">'[1]PTRM input'!$G$230</definedName>
    <definedName name="SheetHeader">'[3]Business &amp; other details'!$B$1</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0">[1]WACC!$P$18</definedName>
    <definedName name="VIC_list">[5]Cover!#REF!</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YEAR">[4]Outcomes!$B$4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4" i="20" l="1"/>
  <c r="G64" i="20"/>
  <c r="I64" i="20"/>
  <c r="J64" i="20"/>
  <c r="K64" i="20"/>
  <c r="Y64" i="20"/>
  <c r="AA64" i="20"/>
  <c r="AC64" i="20"/>
  <c r="AD64" i="20"/>
  <c r="AE64" i="20"/>
  <c r="AS64" i="20"/>
  <c r="AU64" i="20"/>
  <c r="AW64" i="20"/>
  <c r="AX64" i="20"/>
  <c r="AY64" i="20"/>
  <c r="BM64" i="20"/>
  <c r="BO64" i="20"/>
  <c r="BQ64" i="20"/>
  <c r="BR64" i="20"/>
  <c r="BS64" i="20"/>
  <c r="H28" i="8"/>
  <c r="L32" i="9"/>
  <c r="AC17" i="3" l="1"/>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6" i="3"/>
  <c r="AB17" i="3"/>
  <c r="BM20" i="2"/>
  <c r="BM16" i="2"/>
  <c r="BM17" i="2"/>
  <c r="N22" i="4" l="1"/>
  <c r="N41" i="4"/>
  <c r="N42" i="4"/>
  <c r="N43" i="4"/>
  <c r="N44" i="4"/>
  <c r="N40" i="4"/>
  <c r="N31" i="4"/>
  <c r="N32" i="4"/>
  <c r="N33" i="4"/>
  <c r="N34" i="4"/>
  <c r="N30" i="4"/>
  <c r="BR136" i="16"/>
  <c r="BR135" i="16"/>
  <c r="BR132" i="16"/>
  <c r="BR131" i="16"/>
  <c r="BR128" i="16"/>
  <c r="F117" i="11"/>
  <c r="K71" i="2" l="1"/>
  <c r="K70" i="2"/>
  <c r="I71" i="2"/>
  <c r="I70" i="2"/>
  <c r="X142" i="11" l="1"/>
  <c r="W142" i="11"/>
  <c r="V142" i="11"/>
  <c r="X141" i="11"/>
  <c r="W141" i="11"/>
  <c r="V141" i="11"/>
  <c r="X140" i="11"/>
  <c r="W140" i="11"/>
  <c r="V140" i="11"/>
  <c r="X139" i="11"/>
  <c r="W139" i="11"/>
  <c r="V139" i="11"/>
  <c r="X137" i="11"/>
  <c r="W137" i="11"/>
  <c r="V137" i="11"/>
  <c r="X136" i="11"/>
  <c r="W136" i="11"/>
  <c r="V136" i="11"/>
  <c r="X135" i="11"/>
  <c r="W135" i="11"/>
  <c r="V135" i="11"/>
  <c r="X134" i="11"/>
  <c r="W134" i="11"/>
  <c r="V134" i="11"/>
  <c r="T142" i="11"/>
  <c r="S142" i="11"/>
  <c r="R142" i="11"/>
  <c r="T141" i="11"/>
  <c r="S141" i="11"/>
  <c r="R141" i="11"/>
  <c r="T140" i="11"/>
  <c r="S140" i="11"/>
  <c r="R140" i="11"/>
  <c r="T139" i="11"/>
  <c r="S139" i="11"/>
  <c r="R139" i="11"/>
  <c r="T137" i="11"/>
  <c r="S137" i="11"/>
  <c r="R137" i="11"/>
  <c r="T136" i="11"/>
  <c r="S136" i="11"/>
  <c r="R136" i="11"/>
  <c r="T135" i="11"/>
  <c r="S135" i="11"/>
  <c r="R135" i="11"/>
  <c r="T134" i="11"/>
  <c r="S134" i="11"/>
  <c r="R134" i="11"/>
  <c r="P142" i="11"/>
  <c r="O142" i="11"/>
  <c r="N142" i="11"/>
  <c r="P141" i="11"/>
  <c r="O141" i="11"/>
  <c r="N141" i="11"/>
  <c r="P140" i="11"/>
  <c r="O140" i="11"/>
  <c r="N140" i="11"/>
  <c r="P139" i="11"/>
  <c r="O139" i="11"/>
  <c r="N139" i="11"/>
  <c r="P137" i="11"/>
  <c r="O137" i="11"/>
  <c r="N137" i="11"/>
  <c r="P136" i="11"/>
  <c r="O136" i="11"/>
  <c r="N136" i="11"/>
  <c r="P135" i="11"/>
  <c r="O135" i="11"/>
  <c r="N135" i="11"/>
  <c r="P134" i="11"/>
  <c r="O134" i="11"/>
  <c r="N134" i="11"/>
  <c r="L142" i="11"/>
  <c r="K142" i="11"/>
  <c r="J142" i="11"/>
  <c r="L141" i="11"/>
  <c r="K141" i="11"/>
  <c r="J141" i="11"/>
  <c r="L140" i="11"/>
  <c r="K140" i="11"/>
  <c r="J140" i="11"/>
  <c r="L139" i="11"/>
  <c r="K139" i="11"/>
  <c r="J139" i="11"/>
  <c r="L137" i="11"/>
  <c r="K137" i="11"/>
  <c r="J137" i="11"/>
  <c r="L136" i="11"/>
  <c r="K136" i="11"/>
  <c r="J136" i="11"/>
  <c r="L135" i="11"/>
  <c r="K135" i="11"/>
  <c r="J135" i="11"/>
  <c r="L134" i="11"/>
  <c r="K134" i="11"/>
  <c r="J134" i="11"/>
  <c r="X131" i="11"/>
  <c r="W131" i="11"/>
  <c r="V131" i="11"/>
  <c r="X130" i="11"/>
  <c r="W130" i="11"/>
  <c r="V130" i="11"/>
  <c r="X129" i="11"/>
  <c r="W129" i="11"/>
  <c r="V129" i="11"/>
  <c r="X128" i="11"/>
  <c r="W128" i="11"/>
  <c r="V128" i="11"/>
  <c r="X127" i="11"/>
  <c r="W127" i="11"/>
  <c r="V127" i="11"/>
  <c r="X125" i="11"/>
  <c r="W125" i="11"/>
  <c r="V125" i="11"/>
  <c r="X124" i="11"/>
  <c r="W124" i="11"/>
  <c r="V124" i="11"/>
  <c r="X123" i="11"/>
  <c r="W123" i="11"/>
  <c r="V123" i="11"/>
  <c r="X122" i="11"/>
  <c r="W122" i="11"/>
  <c r="V122" i="11"/>
  <c r="X120" i="11"/>
  <c r="W120" i="11"/>
  <c r="V120" i="11"/>
  <c r="X119" i="11"/>
  <c r="W119" i="11"/>
  <c r="V119" i="11"/>
  <c r="X118" i="11"/>
  <c r="W118" i="11"/>
  <c r="V118" i="11"/>
  <c r="X117" i="11"/>
  <c r="W117" i="11"/>
  <c r="V117" i="11"/>
  <c r="X116" i="11"/>
  <c r="W116" i="11"/>
  <c r="V116" i="11"/>
  <c r="X114" i="11"/>
  <c r="W114" i="11"/>
  <c r="V114" i="11"/>
  <c r="X113" i="11"/>
  <c r="W113" i="11"/>
  <c r="V113" i="11"/>
  <c r="X112" i="11"/>
  <c r="W112" i="11"/>
  <c r="V112" i="11"/>
  <c r="X111" i="11"/>
  <c r="W111" i="11"/>
  <c r="V111" i="11"/>
  <c r="X110" i="11"/>
  <c r="W110" i="11"/>
  <c r="V110" i="11"/>
  <c r="X108" i="11"/>
  <c r="W108" i="11"/>
  <c r="V108" i="11"/>
  <c r="X107" i="11"/>
  <c r="W107" i="11"/>
  <c r="V107" i="11"/>
  <c r="X106" i="11"/>
  <c r="W106" i="11"/>
  <c r="V106" i="11"/>
  <c r="X105" i="11"/>
  <c r="W105" i="11"/>
  <c r="V105" i="11"/>
  <c r="X104" i="11"/>
  <c r="W104" i="11"/>
  <c r="V104" i="11"/>
  <c r="T131" i="11"/>
  <c r="S131" i="11"/>
  <c r="R131" i="11"/>
  <c r="T130" i="11"/>
  <c r="S130" i="11"/>
  <c r="R130" i="11"/>
  <c r="T129" i="11"/>
  <c r="S129" i="11"/>
  <c r="R129" i="11"/>
  <c r="T128" i="11"/>
  <c r="S128" i="11"/>
  <c r="R128" i="11"/>
  <c r="T127" i="11"/>
  <c r="S127" i="11"/>
  <c r="R127" i="11"/>
  <c r="T125" i="11"/>
  <c r="S125" i="11"/>
  <c r="R125" i="11"/>
  <c r="T124" i="11"/>
  <c r="S124" i="11"/>
  <c r="R124" i="11"/>
  <c r="T123" i="11"/>
  <c r="S123" i="11"/>
  <c r="R123" i="11"/>
  <c r="T122" i="11"/>
  <c r="S122" i="11"/>
  <c r="R122" i="11"/>
  <c r="T120" i="11"/>
  <c r="S120" i="11"/>
  <c r="R120" i="11"/>
  <c r="T119" i="11"/>
  <c r="S119" i="11"/>
  <c r="R119" i="11"/>
  <c r="T118" i="11"/>
  <c r="S118" i="11"/>
  <c r="R118" i="11"/>
  <c r="T117" i="11"/>
  <c r="S117" i="11"/>
  <c r="R117" i="11"/>
  <c r="T116" i="11"/>
  <c r="S116" i="11"/>
  <c r="R116" i="11"/>
  <c r="T114" i="11"/>
  <c r="S114" i="11"/>
  <c r="R114" i="11"/>
  <c r="T113" i="11"/>
  <c r="S113" i="11"/>
  <c r="R113" i="11"/>
  <c r="T112" i="11"/>
  <c r="S112" i="11"/>
  <c r="R112" i="11"/>
  <c r="T111" i="11"/>
  <c r="S111" i="11"/>
  <c r="R111" i="11"/>
  <c r="T110" i="11"/>
  <c r="S110" i="11"/>
  <c r="R110" i="11"/>
  <c r="T108" i="11"/>
  <c r="S108" i="11"/>
  <c r="R108" i="11"/>
  <c r="T107" i="11"/>
  <c r="S107" i="11"/>
  <c r="R107" i="11"/>
  <c r="T106" i="11"/>
  <c r="S106" i="11"/>
  <c r="R106" i="11"/>
  <c r="T105" i="11"/>
  <c r="S105" i="11"/>
  <c r="R105" i="11"/>
  <c r="T104" i="11"/>
  <c r="S104" i="11"/>
  <c r="R104" i="11"/>
  <c r="P131" i="11"/>
  <c r="O131" i="11"/>
  <c r="N131" i="11"/>
  <c r="P130" i="11"/>
  <c r="O130" i="11"/>
  <c r="N130" i="11"/>
  <c r="P129" i="11"/>
  <c r="O129" i="11"/>
  <c r="N129" i="11"/>
  <c r="P128" i="11"/>
  <c r="O128" i="11"/>
  <c r="N128" i="11"/>
  <c r="P127" i="11"/>
  <c r="O127" i="11"/>
  <c r="N127" i="11"/>
  <c r="P125" i="11"/>
  <c r="O125" i="11"/>
  <c r="N125" i="11"/>
  <c r="P124" i="11"/>
  <c r="O124" i="11"/>
  <c r="N124" i="11"/>
  <c r="P123" i="11"/>
  <c r="O123" i="11"/>
  <c r="N123" i="11"/>
  <c r="P122" i="11"/>
  <c r="O122" i="11"/>
  <c r="N122" i="11"/>
  <c r="P120" i="11"/>
  <c r="O120" i="11"/>
  <c r="N120" i="11"/>
  <c r="P119" i="11"/>
  <c r="O119" i="11"/>
  <c r="N119" i="11"/>
  <c r="P118" i="11"/>
  <c r="O118" i="11"/>
  <c r="N118" i="11"/>
  <c r="P117" i="11"/>
  <c r="O117" i="11"/>
  <c r="N117" i="11"/>
  <c r="P116" i="11"/>
  <c r="O116" i="11"/>
  <c r="N116" i="11"/>
  <c r="P114" i="11"/>
  <c r="O114" i="11"/>
  <c r="N114" i="11"/>
  <c r="P113" i="11"/>
  <c r="O113" i="11"/>
  <c r="N113" i="11"/>
  <c r="P112" i="11"/>
  <c r="O112" i="11"/>
  <c r="N112" i="11"/>
  <c r="P111" i="11"/>
  <c r="O111" i="11"/>
  <c r="N111" i="11"/>
  <c r="P110" i="11"/>
  <c r="O110" i="11"/>
  <c r="N110" i="11"/>
  <c r="P108" i="11"/>
  <c r="O108" i="11"/>
  <c r="N108" i="11"/>
  <c r="P107" i="11"/>
  <c r="O107" i="11"/>
  <c r="N107" i="11"/>
  <c r="P106" i="11"/>
  <c r="O106" i="11"/>
  <c r="N106" i="11"/>
  <c r="P105" i="11"/>
  <c r="O105" i="11"/>
  <c r="N105" i="11"/>
  <c r="P104" i="11"/>
  <c r="O104" i="11"/>
  <c r="N104" i="11"/>
  <c r="L131" i="11"/>
  <c r="K131" i="11"/>
  <c r="J131" i="11"/>
  <c r="L130" i="11"/>
  <c r="K130" i="11"/>
  <c r="J130" i="11"/>
  <c r="L129" i="11"/>
  <c r="K129" i="11"/>
  <c r="J129" i="11"/>
  <c r="L128" i="11"/>
  <c r="K128" i="11"/>
  <c r="J128" i="11"/>
  <c r="L127" i="11"/>
  <c r="K127" i="11"/>
  <c r="J127" i="11"/>
  <c r="L125" i="11"/>
  <c r="K125" i="11"/>
  <c r="J125" i="11"/>
  <c r="L124" i="11"/>
  <c r="K124" i="11"/>
  <c r="J124" i="11"/>
  <c r="L123" i="11"/>
  <c r="K123" i="11"/>
  <c r="J123" i="11"/>
  <c r="L122" i="11"/>
  <c r="K122" i="11"/>
  <c r="J122" i="11"/>
  <c r="L120" i="11"/>
  <c r="K120" i="11"/>
  <c r="J120" i="11"/>
  <c r="L119" i="11"/>
  <c r="K119" i="11"/>
  <c r="J119" i="11"/>
  <c r="L118" i="11"/>
  <c r="K118" i="11"/>
  <c r="J118" i="11"/>
  <c r="L117" i="11"/>
  <c r="K117" i="11"/>
  <c r="J117" i="11"/>
  <c r="L116" i="11"/>
  <c r="K116" i="11"/>
  <c r="J116" i="11"/>
  <c r="L114" i="11"/>
  <c r="K114" i="11"/>
  <c r="J114" i="11"/>
  <c r="L113" i="11"/>
  <c r="K113" i="11"/>
  <c r="J113" i="11"/>
  <c r="L112" i="11"/>
  <c r="K112" i="11"/>
  <c r="J112" i="11"/>
  <c r="L111" i="11"/>
  <c r="K111" i="11"/>
  <c r="J111" i="11"/>
  <c r="L110" i="11"/>
  <c r="K110" i="11"/>
  <c r="J110" i="11"/>
  <c r="L108" i="11"/>
  <c r="K108" i="11"/>
  <c r="J108" i="11"/>
  <c r="L107" i="11"/>
  <c r="K107" i="11"/>
  <c r="J107" i="11"/>
  <c r="L106" i="11"/>
  <c r="K106" i="11"/>
  <c r="J106" i="11"/>
  <c r="L105" i="11"/>
  <c r="K105" i="11"/>
  <c r="J105" i="11"/>
  <c r="L104" i="11"/>
  <c r="K104" i="11"/>
  <c r="J104" i="11"/>
  <c r="X92" i="11"/>
  <c r="W92" i="11"/>
  <c r="V92" i="11"/>
  <c r="X91" i="11"/>
  <c r="W91" i="11"/>
  <c r="V91" i="11"/>
  <c r="X90" i="11"/>
  <c r="W90" i="11"/>
  <c r="V90" i="11"/>
  <c r="X89" i="11"/>
  <c r="W89" i="11"/>
  <c r="V89" i="11"/>
  <c r="X88" i="11"/>
  <c r="W88" i="11"/>
  <c r="V88" i="11"/>
  <c r="X86" i="11"/>
  <c r="W86" i="11"/>
  <c r="V86" i="11"/>
  <c r="X85" i="11"/>
  <c r="W85" i="11"/>
  <c r="V85" i="11"/>
  <c r="X84" i="11"/>
  <c r="W84" i="11"/>
  <c r="V84" i="11"/>
  <c r="X82" i="11"/>
  <c r="W82" i="11"/>
  <c r="V82" i="11"/>
  <c r="X81" i="11"/>
  <c r="W81" i="11"/>
  <c r="V81" i="11"/>
  <c r="X79" i="11"/>
  <c r="W79" i="11"/>
  <c r="V79" i="11"/>
  <c r="X78" i="11"/>
  <c r="W78" i="11"/>
  <c r="V78" i="11"/>
  <c r="X77" i="11"/>
  <c r="W77" i="11"/>
  <c r="V77" i="11"/>
  <c r="X76" i="11"/>
  <c r="W76" i="11"/>
  <c r="V76" i="11"/>
  <c r="X74" i="11"/>
  <c r="W74" i="11"/>
  <c r="V74" i="11"/>
  <c r="X73" i="11"/>
  <c r="W73" i="11"/>
  <c r="V73" i="11"/>
  <c r="X72" i="11"/>
  <c r="W72" i="11"/>
  <c r="V72" i="11"/>
  <c r="X71" i="11"/>
  <c r="W71" i="11"/>
  <c r="V71" i="11"/>
  <c r="X70" i="11"/>
  <c r="W70" i="11"/>
  <c r="V70" i="11"/>
  <c r="X68" i="11"/>
  <c r="W68" i="11"/>
  <c r="V68" i="11"/>
  <c r="X67" i="11"/>
  <c r="W67" i="11"/>
  <c r="V67" i="11"/>
  <c r="X66" i="11"/>
  <c r="W66" i="11"/>
  <c r="V66" i="11"/>
  <c r="X65" i="11"/>
  <c r="W65" i="11"/>
  <c r="V65" i="11"/>
  <c r="X64" i="11"/>
  <c r="W64" i="11"/>
  <c r="V64" i="11"/>
  <c r="T92" i="11"/>
  <c r="S92" i="11"/>
  <c r="R92" i="11"/>
  <c r="T91" i="11"/>
  <c r="S91" i="11"/>
  <c r="R91" i="11"/>
  <c r="T90" i="11"/>
  <c r="S90" i="11"/>
  <c r="R90" i="11"/>
  <c r="T89" i="11"/>
  <c r="S89" i="11"/>
  <c r="R89" i="11"/>
  <c r="T88" i="11"/>
  <c r="S88" i="11"/>
  <c r="R88" i="11"/>
  <c r="T86" i="11"/>
  <c r="S86" i="11"/>
  <c r="R86" i="11"/>
  <c r="T85" i="11"/>
  <c r="S85" i="11"/>
  <c r="R85" i="11"/>
  <c r="T84" i="11"/>
  <c r="S84" i="11"/>
  <c r="R84" i="11"/>
  <c r="T82" i="11"/>
  <c r="S82" i="11"/>
  <c r="R82" i="11"/>
  <c r="T81" i="11"/>
  <c r="S81" i="11"/>
  <c r="R81" i="11"/>
  <c r="T79" i="11"/>
  <c r="S79" i="11"/>
  <c r="R79" i="11"/>
  <c r="T78" i="11"/>
  <c r="S78" i="11"/>
  <c r="R78" i="11"/>
  <c r="T77" i="11"/>
  <c r="S77" i="11"/>
  <c r="R77" i="11"/>
  <c r="T76" i="11"/>
  <c r="S76" i="11"/>
  <c r="R76" i="11"/>
  <c r="T74" i="11"/>
  <c r="S74" i="11"/>
  <c r="R74" i="11"/>
  <c r="T73" i="11"/>
  <c r="S73" i="11"/>
  <c r="R73" i="11"/>
  <c r="T72" i="11"/>
  <c r="S72" i="11"/>
  <c r="R72" i="11"/>
  <c r="T71" i="11"/>
  <c r="S71" i="11"/>
  <c r="R71" i="11"/>
  <c r="T70" i="11"/>
  <c r="S70" i="11"/>
  <c r="R70" i="11"/>
  <c r="T68" i="11"/>
  <c r="S68" i="11"/>
  <c r="R68" i="11"/>
  <c r="T67" i="11"/>
  <c r="S67" i="11"/>
  <c r="R67" i="11"/>
  <c r="T66" i="11"/>
  <c r="S66" i="11"/>
  <c r="R66" i="11"/>
  <c r="T65" i="11"/>
  <c r="S65" i="11"/>
  <c r="R65" i="11"/>
  <c r="T64" i="11"/>
  <c r="S64" i="11"/>
  <c r="R64" i="11"/>
  <c r="P92" i="11"/>
  <c r="O92" i="11"/>
  <c r="N92" i="11"/>
  <c r="P91" i="11"/>
  <c r="O91" i="11"/>
  <c r="N91" i="11"/>
  <c r="P90" i="11"/>
  <c r="O90" i="11"/>
  <c r="N90" i="11"/>
  <c r="P89" i="11"/>
  <c r="O89" i="11"/>
  <c r="N89" i="11"/>
  <c r="P88" i="11"/>
  <c r="O88" i="11"/>
  <c r="N88" i="11"/>
  <c r="P86" i="11"/>
  <c r="O86" i="11"/>
  <c r="N86" i="11"/>
  <c r="P85" i="11"/>
  <c r="O85" i="11"/>
  <c r="N85" i="11"/>
  <c r="P84" i="11"/>
  <c r="O84" i="11"/>
  <c r="N84" i="11"/>
  <c r="P82" i="11"/>
  <c r="O82" i="11"/>
  <c r="N82" i="11"/>
  <c r="P81" i="11"/>
  <c r="O81" i="11"/>
  <c r="N81" i="11"/>
  <c r="P79" i="11"/>
  <c r="O79" i="11"/>
  <c r="N79" i="11"/>
  <c r="P78" i="11"/>
  <c r="O78" i="11"/>
  <c r="N78" i="11"/>
  <c r="P77" i="11"/>
  <c r="O77" i="11"/>
  <c r="N77" i="11"/>
  <c r="P76" i="11"/>
  <c r="O76" i="11"/>
  <c r="N76" i="11"/>
  <c r="P74" i="11"/>
  <c r="O74" i="11"/>
  <c r="N74" i="11"/>
  <c r="P73" i="11"/>
  <c r="O73" i="11"/>
  <c r="N73" i="11"/>
  <c r="P72" i="11"/>
  <c r="O72" i="11"/>
  <c r="N72" i="11"/>
  <c r="P71" i="11"/>
  <c r="O71" i="11"/>
  <c r="N71" i="11"/>
  <c r="P70" i="11"/>
  <c r="O70" i="11"/>
  <c r="N70" i="11"/>
  <c r="P68" i="11"/>
  <c r="O68" i="11"/>
  <c r="N68" i="11"/>
  <c r="P67" i="11"/>
  <c r="O67" i="11"/>
  <c r="N67" i="11"/>
  <c r="P66" i="11"/>
  <c r="O66" i="11"/>
  <c r="N66" i="11"/>
  <c r="P65" i="11"/>
  <c r="O65" i="11"/>
  <c r="N65" i="11"/>
  <c r="P64" i="11"/>
  <c r="O64" i="11"/>
  <c r="N64" i="11"/>
  <c r="L92" i="11"/>
  <c r="K92" i="11"/>
  <c r="J92" i="11"/>
  <c r="L91" i="11"/>
  <c r="K91" i="11"/>
  <c r="J91" i="11"/>
  <c r="L90" i="11"/>
  <c r="K90" i="11"/>
  <c r="J90" i="11"/>
  <c r="L89" i="11"/>
  <c r="K89" i="11"/>
  <c r="J89" i="11"/>
  <c r="L88" i="11"/>
  <c r="K88" i="11"/>
  <c r="J88" i="11"/>
  <c r="L86" i="11"/>
  <c r="K86" i="11"/>
  <c r="J86" i="11"/>
  <c r="L85" i="11"/>
  <c r="K85" i="11"/>
  <c r="J85" i="11"/>
  <c r="L84" i="11"/>
  <c r="K84" i="11"/>
  <c r="J84" i="11"/>
  <c r="L82" i="11"/>
  <c r="K82" i="11"/>
  <c r="J82" i="11"/>
  <c r="L81" i="11"/>
  <c r="K81" i="11"/>
  <c r="J81" i="11"/>
  <c r="L79" i="11"/>
  <c r="K79" i="11"/>
  <c r="J79" i="11"/>
  <c r="L78" i="11"/>
  <c r="K78" i="11"/>
  <c r="J78" i="11"/>
  <c r="L77" i="11"/>
  <c r="K77" i="11"/>
  <c r="J77" i="11"/>
  <c r="L76" i="11"/>
  <c r="K76" i="11"/>
  <c r="J76" i="11"/>
  <c r="L74" i="11"/>
  <c r="K74" i="11"/>
  <c r="J74" i="11"/>
  <c r="L73" i="11"/>
  <c r="K73" i="11"/>
  <c r="J73" i="11"/>
  <c r="L72" i="11"/>
  <c r="K72" i="11"/>
  <c r="J72" i="11"/>
  <c r="L71" i="11"/>
  <c r="K71" i="11"/>
  <c r="J71" i="11"/>
  <c r="L70" i="11"/>
  <c r="K70" i="11"/>
  <c r="J70" i="11"/>
  <c r="L68" i="11"/>
  <c r="K68" i="11"/>
  <c r="J68" i="11"/>
  <c r="L67" i="11"/>
  <c r="K67" i="11"/>
  <c r="J67" i="11"/>
  <c r="L66" i="11"/>
  <c r="K66" i="11"/>
  <c r="J66" i="11"/>
  <c r="L65" i="11"/>
  <c r="K65" i="11"/>
  <c r="J65" i="11"/>
  <c r="L64" i="11"/>
  <c r="K64" i="11"/>
  <c r="J64" i="11"/>
  <c r="X52" i="11"/>
  <c r="W52" i="11"/>
  <c r="V52" i="11"/>
  <c r="X50" i="11"/>
  <c r="W50" i="11"/>
  <c r="V50" i="11"/>
  <c r="X48" i="11"/>
  <c r="W48" i="11"/>
  <c r="V48" i="11"/>
  <c r="X47" i="11"/>
  <c r="W47" i="11"/>
  <c r="V47" i="11"/>
  <c r="X46" i="11"/>
  <c r="W46" i="11"/>
  <c r="V46" i="11"/>
  <c r="X45" i="11"/>
  <c r="W45" i="11"/>
  <c r="V45" i="11"/>
  <c r="X43" i="11"/>
  <c r="W43" i="11"/>
  <c r="V43" i="11"/>
  <c r="X42" i="11"/>
  <c r="W42" i="11"/>
  <c r="V42" i="11"/>
  <c r="X41" i="11"/>
  <c r="W41" i="11"/>
  <c r="V41" i="11"/>
  <c r="X40" i="11"/>
  <c r="W40" i="11"/>
  <c r="V40" i="11"/>
  <c r="X39" i="11"/>
  <c r="W39" i="11"/>
  <c r="V39" i="11"/>
  <c r="X37" i="11"/>
  <c r="W37" i="11"/>
  <c r="V37" i="11"/>
  <c r="X36" i="11"/>
  <c r="W36" i="11"/>
  <c r="V36" i="11"/>
  <c r="X35" i="11"/>
  <c r="W35" i="11"/>
  <c r="V35" i="11"/>
  <c r="X34" i="11"/>
  <c r="W34" i="11"/>
  <c r="V34" i="11"/>
  <c r="X32" i="11"/>
  <c r="W32" i="11"/>
  <c r="V32" i="11"/>
  <c r="X31" i="11"/>
  <c r="W31" i="11"/>
  <c r="V31" i="11"/>
  <c r="X30" i="11"/>
  <c r="W30" i="11"/>
  <c r="V30" i="11"/>
  <c r="X28" i="11"/>
  <c r="W28" i="11"/>
  <c r="V28" i="11"/>
  <c r="X27" i="11"/>
  <c r="W27" i="11"/>
  <c r="V27" i="11"/>
  <c r="T52" i="11"/>
  <c r="S52" i="11"/>
  <c r="R52" i="11"/>
  <c r="T50" i="11"/>
  <c r="S50" i="11"/>
  <c r="R50" i="11"/>
  <c r="T48" i="11"/>
  <c r="S48" i="11"/>
  <c r="R48" i="11"/>
  <c r="T47" i="11"/>
  <c r="S47" i="11"/>
  <c r="R47" i="11"/>
  <c r="T46" i="11"/>
  <c r="S46" i="11"/>
  <c r="R46" i="11"/>
  <c r="T45" i="11"/>
  <c r="S45" i="11"/>
  <c r="R45" i="11"/>
  <c r="T43" i="11"/>
  <c r="S43" i="11"/>
  <c r="R43" i="11"/>
  <c r="T42" i="11"/>
  <c r="S42" i="11"/>
  <c r="R42" i="11"/>
  <c r="T41" i="11"/>
  <c r="S41" i="11"/>
  <c r="R41" i="11"/>
  <c r="T40" i="11"/>
  <c r="S40" i="11"/>
  <c r="R40" i="11"/>
  <c r="T39" i="11"/>
  <c r="S39" i="11"/>
  <c r="R39" i="11"/>
  <c r="T37" i="11"/>
  <c r="S37" i="11"/>
  <c r="R37" i="11"/>
  <c r="T36" i="11"/>
  <c r="S36" i="11"/>
  <c r="R36" i="11"/>
  <c r="T35" i="11"/>
  <c r="S35" i="11"/>
  <c r="R35" i="11"/>
  <c r="T34" i="11"/>
  <c r="S34" i="11"/>
  <c r="R34" i="11"/>
  <c r="T32" i="11"/>
  <c r="S32" i="11"/>
  <c r="R32" i="11"/>
  <c r="T31" i="11"/>
  <c r="S31" i="11"/>
  <c r="R31" i="11"/>
  <c r="T30" i="11"/>
  <c r="S30" i="11"/>
  <c r="R30" i="11"/>
  <c r="T28" i="11"/>
  <c r="S28" i="11"/>
  <c r="R28" i="11"/>
  <c r="T27" i="11"/>
  <c r="S27" i="11"/>
  <c r="R27" i="11"/>
  <c r="P52" i="11"/>
  <c r="O52" i="11"/>
  <c r="N52" i="11"/>
  <c r="P50" i="11"/>
  <c r="O50" i="11"/>
  <c r="N50" i="11"/>
  <c r="P48" i="11"/>
  <c r="O48" i="11"/>
  <c r="N48" i="11"/>
  <c r="P47" i="11"/>
  <c r="O47" i="11"/>
  <c r="N47" i="11"/>
  <c r="P46" i="11"/>
  <c r="O46" i="11"/>
  <c r="N46" i="11"/>
  <c r="P45" i="11"/>
  <c r="O45" i="11"/>
  <c r="N45" i="11"/>
  <c r="P43" i="11"/>
  <c r="O43" i="11"/>
  <c r="N43" i="11"/>
  <c r="P42" i="11"/>
  <c r="O42" i="11"/>
  <c r="N42" i="11"/>
  <c r="P41" i="11"/>
  <c r="O41" i="11"/>
  <c r="N41" i="11"/>
  <c r="P40" i="11"/>
  <c r="O40" i="11"/>
  <c r="N40" i="11"/>
  <c r="P39" i="11"/>
  <c r="O39" i="11"/>
  <c r="N39" i="11"/>
  <c r="P37" i="11"/>
  <c r="O37" i="11"/>
  <c r="N37" i="11"/>
  <c r="P36" i="11"/>
  <c r="O36" i="11"/>
  <c r="N36" i="11"/>
  <c r="P35" i="11"/>
  <c r="O35" i="11"/>
  <c r="N35" i="11"/>
  <c r="P34" i="11"/>
  <c r="O34" i="11"/>
  <c r="N34" i="11"/>
  <c r="P32" i="11"/>
  <c r="O32" i="11"/>
  <c r="N32" i="11"/>
  <c r="P31" i="11"/>
  <c r="O31" i="11"/>
  <c r="N31" i="11"/>
  <c r="P30" i="11"/>
  <c r="O30" i="11"/>
  <c r="N30" i="11"/>
  <c r="P28" i="11"/>
  <c r="O28" i="11"/>
  <c r="N28" i="11"/>
  <c r="P27" i="11"/>
  <c r="O27" i="11"/>
  <c r="N27" i="11"/>
  <c r="L52" i="11"/>
  <c r="K52" i="11"/>
  <c r="J52" i="11"/>
  <c r="L50" i="11"/>
  <c r="K50" i="11"/>
  <c r="J50" i="11"/>
  <c r="L48" i="11"/>
  <c r="K48" i="11"/>
  <c r="J48" i="11"/>
  <c r="L47" i="11"/>
  <c r="K47" i="11"/>
  <c r="J47" i="11"/>
  <c r="L46" i="11"/>
  <c r="K46" i="11"/>
  <c r="J46" i="11"/>
  <c r="L45" i="11"/>
  <c r="K45" i="11"/>
  <c r="J45" i="11"/>
  <c r="L43" i="11"/>
  <c r="K43" i="11"/>
  <c r="J43" i="11"/>
  <c r="L42" i="11"/>
  <c r="K42" i="11"/>
  <c r="J42" i="11"/>
  <c r="L41" i="11"/>
  <c r="K41" i="11"/>
  <c r="J41" i="11"/>
  <c r="L40" i="11"/>
  <c r="K40" i="11"/>
  <c r="J40" i="11"/>
  <c r="L39" i="11"/>
  <c r="K39" i="11"/>
  <c r="J39" i="11"/>
  <c r="L37" i="11"/>
  <c r="K37" i="11"/>
  <c r="J37" i="11"/>
  <c r="L36" i="11"/>
  <c r="K36" i="11"/>
  <c r="J36" i="11"/>
  <c r="L35" i="11"/>
  <c r="K35" i="11"/>
  <c r="J35" i="11"/>
  <c r="L34" i="11"/>
  <c r="K34" i="11"/>
  <c r="J34" i="11"/>
  <c r="L32" i="11"/>
  <c r="K32" i="11"/>
  <c r="J32" i="11"/>
  <c r="L31" i="11"/>
  <c r="K31" i="11"/>
  <c r="J31" i="11"/>
  <c r="L30" i="11"/>
  <c r="K30" i="11"/>
  <c r="J30" i="11"/>
  <c r="J29" i="11"/>
  <c r="L28" i="11"/>
  <c r="K28" i="11"/>
  <c r="J28" i="11"/>
  <c r="L27" i="11"/>
  <c r="K27" i="11"/>
  <c r="J27" i="11"/>
  <c r="S74" i="3"/>
  <c r="S75" i="3"/>
  <c r="H117" i="11" l="1"/>
  <c r="G117" i="11"/>
  <c r="S74" i="9"/>
  <c r="S74" i="8"/>
  <c r="S74" i="2"/>
  <c r="H90" i="11"/>
  <c r="G90" i="11"/>
  <c r="H89" i="11"/>
  <c r="G89" i="11"/>
  <c r="F90" i="11"/>
  <c r="F89" i="11"/>
  <c r="BS61" i="20"/>
  <c r="BR61" i="20"/>
  <c r="BS37" i="20"/>
  <c r="BR37" i="20"/>
  <c r="AY61" i="20"/>
  <c r="AX61" i="20"/>
  <c r="AY37" i="20"/>
  <c r="AX37" i="20"/>
  <c r="K37" i="20"/>
  <c r="J37" i="20"/>
  <c r="T51" i="3"/>
  <c r="S51" i="3"/>
  <c r="T75" i="3"/>
  <c r="T51" i="2"/>
  <c r="S51" i="2"/>
  <c r="G51" i="2"/>
  <c r="H72" i="11"/>
  <c r="H71" i="11"/>
  <c r="G71" i="11"/>
  <c r="G72" i="11"/>
  <c r="F72" i="11"/>
  <c r="F71" i="11"/>
  <c r="X24" i="11"/>
  <c r="W24" i="11"/>
  <c r="V24" i="11"/>
  <c r="X23" i="11"/>
  <c r="W23" i="11"/>
  <c r="V23" i="11"/>
  <c r="X22" i="11"/>
  <c r="W22" i="11"/>
  <c r="V22" i="11"/>
  <c r="X21" i="11"/>
  <c r="W21" i="11"/>
  <c r="V21" i="11"/>
  <c r="X20" i="11"/>
  <c r="W20" i="11"/>
  <c r="V20" i="11"/>
  <c r="X19" i="11"/>
  <c r="W19" i="11"/>
  <c r="V19" i="11"/>
  <c r="X18" i="11"/>
  <c r="W18" i="11"/>
  <c r="V18" i="11"/>
  <c r="X17" i="11"/>
  <c r="W17" i="11"/>
  <c r="V17" i="11"/>
  <c r="X16" i="11"/>
  <c r="W16" i="11"/>
  <c r="V16" i="11"/>
  <c r="X15" i="11"/>
  <c r="W15" i="11"/>
  <c r="V15" i="11"/>
  <c r="X14" i="11"/>
  <c r="W14" i="11"/>
  <c r="V14" i="11"/>
  <c r="X13" i="11"/>
  <c r="W13" i="11"/>
  <c r="V13" i="11"/>
  <c r="X12" i="11"/>
  <c r="W12" i="11"/>
  <c r="V12" i="11"/>
  <c r="X11" i="11"/>
  <c r="W11" i="11"/>
  <c r="V11" i="11"/>
  <c r="X10" i="11"/>
  <c r="W10" i="11"/>
  <c r="V10" i="11"/>
  <c r="X9" i="11"/>
  <c r="W9" i="11"/>
  <c r="V9" i="11"/>
  <c r="X8" i="11"/>
  <c r="W8" i="11"/>
  <c r="V8" i="11"/>
  <c r="X7" i="11"/>
  <c r="W7" i="11"/>
  <c r="V7" i="11"/>
  <c r="X6" i="11"/>
  <c r="W6" i="11"/>
  <c r="V6" i="11"/>
  <c r="T24" i="11"/>
  <c r="S24" i="11"/>
  <c r="R24" i="11"/>
  <c r="T23" i="11"/>
  <c r="S23" i="11"/>
  <c r="R23" i="11"/>
  <c r="T22" i="11"/>
  <c r="S22" i="11"/>
  <c r="R22" i="11"/>
  <c r="T21" i="11"/>
  <c r="S21" i="11"/>
  <c r="R21" i="11"/>
  <c r="T20" i="11"/>
  <c r="S20" i="11"/>
  <c r="R20" i="11"/>
  <c r="T19" i="11"/>
  <c r="S19" i="11"/>
  <c r="R19" i="11"/>
  <c r="T18" i="11"/>
  <c r="S18" i="11"/>
  <c r="R18" i="11"/>
  <c r="T17" i="11"/>
  <c r="S17" i="11"/>
  <c r="R17" i="11"/>
  <c r="T16" i="11"/>
  <c r="S16" i="11"/>
  <c r="R16" i="11"/>
  <c r="T15" i="11"/>
  <c r="S15" i="11"/>
  <c r="R15" i="11"/>
  <c r="T14" i="11"/>
  <c r="S14" i="11"/>
  <c r="R14" i="11"/>
  <c r="T13" i="11"/>
  <c r="S13" i="11"/>
  <c r="R13" i="11"/>
  <c r="T12" i="11"/>
  <c r="S12" i="11"/>
  <c r="R12" i="11"/>
  <c r="T11" i="11"/>
  <c r="S11" i="11"/>
  <c r="R11" i="11"/>
  <c r="T10" i="11"/>
  <c r="S10" i="11"/>
  <c r="R10" i="11"/>
  <c r="T9" i="11"/>
  <c r="S9" i="11"/>
  <c r="R9" i="11"/>
  <c r="T8" i="11"/>
  <c r="S8" i="11"/>
  <c r="R8" i="11"/>
  <c r="T7" i="11"/>
  <c r="S7" i="11"/>
  <c r="R7" i="11"/>
  <c r="T6" i="11"/>
  <c r="S6" i="11"/>
  <c r="R6" i="11"/>
  <c r="P24" i="11"/>
  <c r="O24" i="11"/>
  <c r="N24" i="11"/>
  <c r="P23" i="11"/>
  <c r="O23" i="11"/>
  <c r="N23" i="11"/>
  <c r="P22" i="11"/>
  <c r="O22" i="11"/>
  <c r="N22" i="11"/>
  <c r="P21" i="11"/>
  <c r="O21" i="11"/>
  <c r="N21" i="11"/>
  <c r="P20" i="11"/>
  <c r="O20" i="11"/>
  <c r="N20" i="11"/>
  <c r="P19" i="11"/>
  <c r="O19" i="11"/>
  <c r="N19" i="11"/>
  <c r="P18" i="11"/>
  <c r="O18" i="11"/>
  <c r="N18" i="11"/>
  <c r="P17" i="11"/>
  <c r="O17" i="11"/>
  <c r="N17" i="11"/>
  <c r="P16" i="11"/>
  <c r="O16" i="11"/>
  <c r="N16" i="11"/>
  <c r="P15" i="11"/>
  <c r="O15" i="11"/>
  <c r="N15" i="11"/>
  <c r="P14" i="11"/>
  <c r="O14" i="11"/>
  <c r="N14" i="11"/>
  <c r="P13" i="11"/>
  <c r="O13" i="11"/>
  <c r="N13" i="11"/>
  <c r="P12" i="11"/>
  <c r="O12" i="11"/>
  <c r="N12" i="11"/>
  <c r="P11" i="11"/>
  <c r="O11" i="11"/>
  <c r="N11" i="11"/>
  <c r="P10" i="11"/>
  <c r="O10" i="11"/>
  <c r="N10" i="11"/>
  <c r="P9" i="11"/>
  <c r="O9" i="11"/>
  <c r="N9" i="11"/>
  <c r="P8" i="11"/>
  <c r="O8" i="11"/>
  <c r="N8" i="11"/>
  <c r="P7" i="11"/>
  <c r="O7" i="11"/>
  <c r="N7" i="11"/>
  <c r="P6" i="11"/>
  <c r="O6" i="11"/>
  <c r="N6"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J12" i="11"/>
  <c r="L11" i="11"/>
  <c r="K11" i="11"/>
  <c r="J11" i="11"/>
  <c r="L10" i="11"/>
  <c r="K10" i="11"/>
  <c r="J10" i="11"/>
  <c r="L9" i="11"/>
  <c r="K9" i="11"/>
  <c r="J9" i="11"/>
  <c r="L8" i="11"/>
  <c r="K8" i="11"/>
  <c r="J8" i="11"/>
  <c r="L7" i="11"/>
  <c r="K7" i="11"/>
  <c r="J7" i="11"/>
  <c r="L6" i="11"/>
  <c r="K6" i="11"/>
  <c r="J6" i="11"/>
  <c r="F65" i="11" l="1"/>
  <c r="G47" i="11"/>
  <c r="G46" i="11"/>
  <c r="F47" i="11"/>
  <c r="F46" i="11"/>
  <c r="G29" i="10"/>
  <c r="G31" i="10"/>
  <c r="I27" i="10"/>
  <c r="I28" i="10"/>
  <c r="I29" i="10"/>
  <c r="I30" i="10"/>
  <c r="I31" i="10"/>
  <c r="D24" i="19" l="1"/>
  <c r="D25" i="19"/>
  <c r="D26" i="19"/>
  <c r="D27" i="19"/>
  <c r="D23" i="19"/>
  <c r="D16" i="19"/>
  <c r="D17" i="19"/>
  <c r="D18" i="19"/>
  <c r="D19" i="19"/>
  <c r="D15" i="19"/>
  <c r="D8" i="19"/>
  <c r="D32" i="19" s="1"/>
  <c r="D9" i="19"/>
  <c r="D10" i="19"/>
  <c r="D34" i="19" s="1"/>
  <c r="D11" i="19"/>
  <c r="D35" i="19" s="1"/>
  <c r="D7" i="19"/>
  <c r="D31" i="19" s="1"/>
  <c r="D33" i="19" l="1"/>
  <c r="D36" i="19" s="1"/>
  <c r="E31" i="19" s="1"/>
  <c r="D12" i="19"/>
  <c r="E11" i="19" s="1"/>
  <c r="D28" i="19"/>
  <c r="E23" i="19" s="1"/>
  <c r="D20" i="19"/>
  <c r="E8" i="19" l="1"/>
  <c r="E9" i="19"/>
  <c r="E7" i="19"/>
  <c r="E10" i="19"/>
  <c r="E12" i="19" s="1"/>
  <c r="E25" i="19"/>
  <c r="E24" i="19"/>
  <c r="E27" i="19"/>
  <c r="E16" i="19"/>
  <c r="E15" i="19"/>
  <c r="E17" i="19"/>
  <c r="E18" i="19"/>
  <c r="E26" i="19"/>
  <c r="E19" i="19"/>
  <c r="E32" i="19"/>
  <c r="E33" i="19"/>
  <c r="E34" i="19"/>
  <c r="E35" i="19"/>
  <c r="E28" i="19" l="1"/>
  <c r="E20" i="19"/>
  <c r="E36" i="19"/>
  <c r="Y84" i="8" l="1"/>
  <c r="AA84" i="8"/>
  <c r="AC84" i="8"/>
  <c r="AD84" i="8"/>
  <c r="AU84" i="8" s="1"/>
  <c r="AE84" i="8"/>
  <c r="AF84" i="8"/>
  <c r="AG84" i="8"/>
  <c r="AH84" i="8"/>
  <c r="AY84" i="8" s="1"/>
  <c r="AI84" i="8"/>
  <c r="AL84" i="8"/>
  <c r="AM84" i="8"/>
  <c r="AP84" i="8"/>
  <c r="AR84" i="8"/>
  <c r="AT84" i="8"/>
  <c r="AV84" i="8"/>
  <c r="AW84" i="8"/>
  <c r="AX84" i="8"/>
  <c r="AZ84" i="8"/>
  <c r="BC84" i="8"/>
  <c r="BD84" i="8"/>
  <c r="BL84" i="8"/>
  <c r="BJ84" i="8" l="1"/>
  <c r="P48" i="3"/>
  <c r="T47" i="3"/>
  <c r="S47" i="3"/>
  <c r="S70" i="3"/>
  <c r="I47" i="3"/>
  <c r="K47" i="3"/>
  <c r="S64" i="3"/>
  <c r="T48" i="3"/>
  <c r="I70" i="3"/>
  <c r="K70" i="3"/>
  <c r="V126" i="16" l="1"/>
  <c r="U126" i="16"/>
  <c r="R126" i="16"/>
  <c r="Q126" i="16"/>
  <c r="P126" i="16"/>
  <c r="O126" i="16"/>
  <c r="N126" i="16"/>
  <c r="M126" i="16"/>
  <c r="L126" i="16"/>
  <c r="K126" i="16"/>
  <c r="J126" i="16"/>
  <c r="I126" i="16"/>
  <c r="V125" i="16"/>
  <c r="U125" i="16"/>
  <c r="R125" i="16"/>
  <c r="Q125" i="16"/>
  <c r="P125" i="16"/>
  <c r="O125" i="16"/>
  <c r="N125" i="16"/>
  <c r="M125" i="16"/>
  <c r="L125" i="16"/>
  <c r="K125" i="16"/>
  <c r="J125" i="16"/>
  <c r="I125" i="16"/>
  <c r="V124" i="16"/>
  <c r="U124" i="16"/>
  <c r="R124" i="16"/>
  <c r="Q124" i="16"/>
  <c r="P124" i="16"/>
  <c r="O124" i="16"/>
  <c r="N124" i="16"/>
  <c r="M124" i="16"/>
  <c r="L124" i="16"/>
  <c r="K124" i="16"/>
  <c r="J124" i="16"/>
  <c r="I124" i="16"/>
  <c r="V123" i="16"/>
  <c r="U123" i="16"/>
  <c r="R123" i="16"/>
  <c r="Q123" i="16"/>
  <c r="P123" i="16"/>
  <c r="O123" i="16"/>
  <c r="N123" i="16"/>
  <c r="M123" i="16"/>
  <c r="L123" i="16"/>
  <c r="K123" i="16"/>
  <c r="J123" i="16"/>
  <c r="I123" i="16"/>
  <c r="V122" i="16"/>
  <c r="U122" i="16"/>
  <c r="R122" i="16"/>
  <c r="Q122" i="16"/>
  <c r="P122" i="16"/>
  <c r="O122" i="16"/>
  <c r="N122" i="16"/>
  <c r="M122" i="16"/>
  <c r="L122" i="16"/>
  <c r="K122" i="16"/>
  <c r="J122" i="16"/>
  <c r="I122" i="16"/>
  <c r="V121" i="16"/>
  <c r="U121" i="16"/>
  <c r="R121" i="16"/>
  <c r="Q121" i="16"/>
  <c r="P121" i="16"/>
  <c r="O121" i="16"/>
  <c r="N121" i="16"/>
  <c r="M121" i="16"/>
  <c r="L121" i="16"/>
  <c r="K121" i="16"/>
  <c r="J121" i="16"/>
  <c r="I121" i="16"/>
  <c r="V120" i="16"/>
  <c r="U120" i="16"/>
  <c r="R120" i="16"/>
  <c r="Q120" i="16"/>
  <c r="P120" i="16"/>
  <c r="O120" i="16"/>
  <c r="N120" i="16"/>
  <c r="M120" i="16"/>
  <c r="L120" i="16"/>
  <c r="K120" i="16"/>
  <c r="J120" i="16"/>
  <c r="I120" i="16"/>
  <c r="V119" i="16"/>
  <c r="U119" i="16"/>
  <c r="R119" i="16"/>
  <c r="Q119" i="16"/>
  <c r="P119" i="16"/>
  <c r="O119" i="16"/>
  <c r="N119" i="16"/>
  <c r="M119" i="16"/>
  <c r="L119" i="16"/>
  <c r="K119" i="16"/>
  <c r="J119" i="16"/>
  <c r="I119" i="16"/>
  <c r="V118" i="16"/>
  <c r="U118" i="16"/>
  <c r="R118" i="16"/>
  <c r="Q118" i="16"/>
  <c r="P118" i="16"/>
  <c r="O118" i="16"/>
  <c r="N118" i="16"/>
  <c r="M118" i="16"/>
  <c r="L118" i="16"/>
  <c r="K118" i="16"/>
  <c r="J118" i="16"/>
  <c r="I118" i="16"/>
  <c r="V117" i="16"/>
  <c r="U117" i="16"/>
  <c r="T117" i="16"/>
  <c r="S117" i="16"/>
  <c r="R117" i="16"/>
  <c r="Q117" i="16"/>
  <c r="P117" i="16"/>
  <c r="O117" i="16"/>
  <c r="N117" i="16"/>
  <c r="M117" i="16"/>
  <c r="L117" i="16"/>
  <c r="K117" i="16"/>
  <c r="J117" i="16"/>
  <c r="I117" i="16"/>
  <c r="H117" i="16"/>
  <c r="G117" i="16"/>
  <c r="V116" i="16"/>
  <c r="U116" i="16"/>
  <c r="R116" i="16"/>
  <c r="Q116" i="16"/>
  <c r="P116" i="16"/>
  <c r="O116" i="16"/>
  <c r="N116" i="16"/>
  <c r="M116" i="16"/>
  <c r="L116" i="16"/>
  <c r="K116" i="16"/>
  <c r="J116" i="16"/>
  <c r="I116" i="16"/>
  <c r="V115" i="16"/>
  <c r="U115" i="16"/>
  <c r="R115" i="16"/>
  <c r="Q115" i="16"/>
  <c r="P115" i="16"/>
  <c r="O115" i="16"/>
  <c r="N115" i="16"/>
  <c r="M115" i="16"/>
  <c r="L115" i="16"/>
  <c r="K115" i="16"/>
  <c r="J115" i="16"/>
  <c r="I115" i="16"/>
  <c r="V114" i="16"/>
  <c r="U114" i="16"/>
  <c r="R114" i="16"/>
  <c r="Q114" i="16"/>
  <c r="P114" i="16"/>
  <c r="O114" i="16"/>
  <c r="N114" i="16"/>
  <c r="M114" i="16"/>
  <c r="L114" i="16"/>
  <c r="K114" i="16"/>
  <c r="J114" i="16"/>
  <c r="I114" i="16"/>
  <c r="V113" i="16"/>
  <c r="U113" i="16"/>
  <c r="R113" i="16"/>
  <c r="Q113" i="16"/>
  <c r="P113" i="16"/>
  <c r="O113" i="16"/>
  <c r="N113" i="16"/>
  <c r="M113" i="16"/>
  <c r="L113" i="16"/>
  <c r="K113" i="16"/>
  <c r="J113" i="16"/>
  <c r="I113" i="16"/>
  <c r="V112" i="16"/>
  <c r="U112" i="16"/>
  <c r="T112" i="16"/>
  <c r="S112" i="16"/>
  <c r="R112" i="16"/>
  <c r="Q112" i="16"/>
  <c r="P112" i="16"/>
  <c r="O112" i="16"/>
  <c r="N112" i="16"/>
  <c r="M112" i="16"/>
  <c r="L112" i="16"/>
  <c r="K112" i="16"/>
  <c r="J112" i="16"/>
  <c r="I112" i="16"/>
  <c r="H112" i="16"/>
  <c r="G112" i="16"/>
  <c r="V111" i="16"/>
  <c r="U111" i="16"/>
  <c r="R111" i="16"/>
  <c r="Q111" i="16"/>
  <c r="P111" i="16"/>
  <c r="O111" i="16"/>
  <c r="N111" i="16"/>
  <c r="M111" i="16"/>
  <c r="L111" i="16"/>
  <c r="K111" i="16"/>
  <c r="J111" i="16"/>
  <c r="I111" i="16"/>
  <c r="V110" i="16"/>
  <c r="U110" i="16"/>
  <c r="R110" i="16"/>
  <c r="Q110" i="16"/>
  <c r="P110" i="16"/>
  <c r="O110" i="16"/>
  <c r="N110" i="16"/>
  <c r="M110" i="16"/>
  <c r="L110" i="16"/>
  <c r="K110" i="16"/>
  <c r="J110" i="16"/>
  <c r="I110" i="16"/>
  <c r="V109" i="16"/>
  <c r="U109" i="16"/>
  <c r="R109" i="16"/>
  <c r="Q109" i="16"/>
  <c r="P109" i="16"/>
  <c r="O109" i="16"/>
  <c r="N109" i="16"/>
  <c r="M109" i="16"/>
  <c r="L109" i="16"/>
  <c r="K109" i="16"/>
  <c r="J109" i="16"/>
  <c r="I109" i="16"/>
  <c r="V108" i="16"/>
  <c r="U108" i="16"/>
  <c r="R108" i="16"/>
  <c r="Q108" i="16"/>
  <c r="P108" i="16"/>
  <c r="O108" i="16"/>
  <c r="N108" i="16"/>
  <c r="M108" i="16"/>
  <c r="L108" i="16"/>
  <c r="K108" i="16"/>
  <c r="J108" i="16"/>
  <c r="I108" i="16"/>
  <c r="V107" i="16"/>
  <c r="U107" i="16"/>
  <c r="R107" i="16"/>
  <c r="Q107" i="16"/>
  <c r="P107" i="16"/>
  <c r="O107" i="16"/>
  <c r="N107" i="16"/>
  <c r="M107" i="16"/>
  <c r="L107" i="16"/>
  <c r="K107" i="16"/>
  <c r="J107" i="16"/>
  <c r="I107" i="16"/>
  <c r="V106" i="16"/>
  <c r="U106" i="16"/>
  <c r="R106" i="16"/>
  <c r="Q106" i="16"/>
  <c r="P106" i="16"/>
  <c r="O106" i="16"/>
  <c r="N106" i="16"/>
  <c r="M106" i="16"/>
  <c r="L106" i="16"/>
  <c r="K106" i="16"/>
  <c r="J106" i="16"/>
  <c r="I106" i="16"/>
  <c r="V105" i="16"/>
  <c r="U105" i="16"/>
  <c r="R105" i="16"/>
  <c r="Q105" i="16"/>
  <c r="P105" i="16"/>
  <c r="O105" i="16"/>
  <c r="N105" i="16"/>
  <c r="M105" i="16"/>
  <c r="L105" i="16"/>
  <c r="K105" i="16"/>
  <c r="J105" i="16"/>
  <c r="I105" i="16"/>
  <c r="V104" i="16"/>
  <c r="U104" i="16"/>
  <c r="R104" i="16"/>
  <c r="Q104" i="16"/>
  <c r="P104" i="16"/>
  <c r="O104" i="16"/>
  <c r="N104" i="16"/>
  <c r="M104" i="16"/>
  <c r="L104" i="16"/>
  <c r="K104" i="16"/>
  <c r="J104" i="16"/>
  <c r="I104" i="16"/>
  <c r="V103" i="16"/>
  <c r="U103" i="16"/>
  <c r="R103" i="16"/>
  <c r="Q103" i="16"/>
  <c r="P103" i="16"/>
  <c r="O103" i="16"/>
  <c r="N103" i="16"/>
  <c r="M103" i="16"/>
  <c r="L103" i="16"/>
  <c r="K103" i="16"/>
  <c r="J103" i="16"/>
  <c r="I103" i="16"/>
  <c r="V102" i="16"/>
  <c r="U102" i="16"/>
  <c r="R102" i="16"/>
  <c r="Q102" i="16"/>
  <c r="P102" i="16"/>
  <c r="O102" i="16"/>
  <c r="N102" i="16"/>
  <c r="M102" i="16"/>
  <c r="L102" i="16"/>
  <c r="K102" i="16"/>
  <c r="J102" i="16"/>
  <c r="I102" i="16"/>
  <c r="V101" i="16"/>
  <c r="U101" i="16"/>
  <c r="T101" i="16"/>
  <c r="S101" i="16"/>
  <c r="R101" i="16"/>
  <c r="Q101" i="16"/>
  <c r="P101" i="16"/>
  <c r="O101" i="16"/>
  <c r="N101" i="16"/>
  <c r="M101" i="16"/>
  <c r="L101" i="16"/>
  <c r="K101" i="16"/>
  <c r="J101" i="16"/>
  <c r="I101" i="16"/>
  <c r="H101" i="16"/>
  <c r="G101" i="16"/>
  <c r="V100" i="16"/>
  <c r="U100" i="16"/>
  <c r="R100" i="16"/>
  <c r="Q100" i="16"/>
  <c r="P100" i="16"/>
  <c r="O100" i="16"/>
  <c r="N100" i="16"/>
  <c r="M100" i="16"/>
  <c r="L100" i="16"/>
  <c r="K100" i="16"/>
  <c r="J100" i="16"/>
  <c r="I100" i="16"/>
  <c r="V99" i="16"/>
  <c r="U99" i="16"/>
  <c r="R99" i="16"/>
  <c r="Q99" i="16"/>
  <c r="P99" i="16"/>
  <c r="O99" i="16"/>
  <c r="N99" i="16"/>
  <c r="M99" i="16"/>
  <c r="L99" i="16"/>
  <c r="K99" i="16"/>
  <c r="J99" i="16"/>
  <c r="I99" i="16"/>
  <c r="V98" i="16"/>
  <c r="U98" i="16"/>
  <c r="R98" i="16"/>
  <c r="Q98" i="16"/>
  <c r="P98" i="16"/>
  <c r="O98" i="16"/>
  <c r="N98" i="16"/>
  <c r="M98" i="16"/>
  <c r="L98" i="16"/>
  <c r="K98" i="16"/>
  <c r="J98" i="16"/>
  <c r="I98" i="16"/>
  <c r="V97" i="16"/>
  <c r="U97" i="16"/>
  <c r="R97" i="16"/>
  <c r="Q97" i="16"/>
  <c r="P97" i="16"/>
  <c r="O97" i="16"/>
  <c r="N97" i="16"/>
  <c r="M97" i="16"/>
  <c r="L97" i="16"/>
  <c r="K97" i="16"/>
  <c r="J97" i="16"/>
  <c r="I97" i="16"/>
  <c r="V96" i="16"/>
  <c r="U96" i="16"/>
  <c r="R96" i="16"/>
  <c r="Q96" i="16"/>
  <c r="P96" i="16"/>
  <c r="O96" i="16"/>
  <c r="N96" i="16"/>
  <c r="M96" i="16"/>
  <c r="L96" i="16"/>
  <c r="K96" i="16"/>
  <c r="J96" i="16"/>
  <c r="I96" i="16"/>
  <c r="V95" i="16"/>
  <c r="U95" i="16"/>
  <c r="R95" i="16"/>
  <c r="Q95" i="16"/>
  <c r="P95" i="16"/>
  <c r="O95" i="16"/>
  <c r="N95" i="16"/>
  <c r="M95" i="16"/>
  <c r="L95" i="16"/>
  <c r="K95" i="16"/>
  <c r="J95" i="16"/>
  <c r="I95" i="16"/>
  <c r="V94" i="16"/>
  <c r="U94" i="16"/>
  <c r="R94" i="16"/>
  <c r="Q94" i="16"/>
  <c r="P94" i="16"/>
  <c r="O94" i="16"/>
  <c r="N94" i="16"/>
  <c r="M94" i="16"/>
  <c r="L94" i="16"/>
  <c r="K94" i="16"/>
  <c r="J94" i="16"/>
  <c r="I94" i="16"/>
  <c r="V93" i="16"/>
  <c r="U93" i="16"/>
  <c r="T93" i="16"/>
  <c r="S93" i="16"/>
  <c r="R93" i="16"/>
  <c r="Q93" i="16"/>
  <c r="P93" i="16"/>
  <c r="O93" i="16"/>
  <c r="N93" i="16"/>
  <c r="M93" i="16"/>
  <c r="L93" i="16"/>
  <c r="K93" i="16"/>
  <c r="J93" i="16"/>
  <c r="I93" i="16"/>
  <c r="H93" i="16"/>
  <c r="G93" i="16"/>
  <c r="V92" i="16"/>
  <c r="U92" i="16"/>
  <c r="T92" i="16"/>
  <c r="S92" i="16"/>
  <c r="R92" i="16"/>
  <c r="Q92" i="16"/>
  <c r="P92" i="16"/>
  <c r="O92" i="16"/>
  <c r="N92" i="16"/>
  <c r="M92" i="16"/>
  <c r="L92" i="16"/>
  <c r="K92" i="16"/>
  <c r="J92" i="16"/>
  <c r="I92" i="16"/>
  <c r="H92" i="16"/>
  <c r="G92" i="16"/>
  <c r="V91" i="16"/>
  <c r="U91" i="16"/>
  <c r="T91" i="16"/>
  <c r="S91" i="16"/>
  <c r="R91" i="16"/>
  <c r="Q91" i="16"/>
  <c r="P91" i="16"/>
  <c r="O91" i="16"/>
  <c r="N91" i="16"/>
  <c r="M91" i="16"/>
  <c r="L91" i="16"/>
  <c r="K91" i="16"/>
  <c r="J91" i="16"/>
  <c r="I91" i="16"/>
  <c r="H91" i="16"/>
  <c r="G91" i="16"/>
  <c r="V90" i="16"/>
  <c r="U90" i="16"/>
  <c r="T90" i="16"/>
  <c r="S90" i="16"/>
  <c r="R90" i="16"/>
  <c r="Q90" i="16"/>
  <c r="P90" i="16"/>
  <c r="O90" i="16"/>
  <c r="N90" i="16"/>
  <c r="M90" i="16"/>
  <c r="L90" i="16"/>
  <c r="K90" i="16"/>
  <c r="J90" i="16"/>
  <c r="I90" i="16"/>
  <c r="H90" i="16"/>
  <c r="G90" i="16"/>
  <c r="V89" i="16"/>
  <c r="U89" i="16"/>
  <c r="T89" i="16"/>
  <c r="S89" i="16"/>
  <c r="R89" i="16"/>
  <c r="Q89" i="16"/>
  <c r="P89" i="16"/>
  <c r="O89" i="16"/>
  <c r="N89" i="16"/>
  <c r="M89" i="16"/>
  <c r="L89" i="16"/>
  <c r="K89" i="16"/>
  <c r="J89" i="16"/>
  <c r="I89" i="16"/>
  <c r="H89" i="16"/>
  <c r="G89" i="16"/>
  <c r="V88" i="16"/>
  <c r="U88" i="16"/>
  <c r="T88" i="16"/>
  <c r="S88" i="16"/>
  <c r="R88" i="16"/>
  <c r="Q88" i="16"/>
  <c r="P88" i="16"/>
  <c r="O88" i="16"/>
  <c r="N88" i="16"/>
  <c r="M88" i="16"/>
  <c r="L88" i="16"/>
  <c r="K88" i="16"/>
  <c r="J88" i="16"/>
  <c r="I88" i="16"/>
  <c r="H88" i="16"/>
  <c r="G88" i="16"/>
  <c r="V87" i="16"/>
  <c r="U87" i="16"/>
  <c r="T87" i="16"/>
  <c r="S87" i="16"/>
  <c r="R87" i="16"/>
  <c r="Q87" i="16"/>
  <c r="P87" i="16"/>
  <c r="O87" i="16"/>
  <c r="N87" i="16"/>
  <c r="M87" i="16"/>
  <c r="L87" i="16"/>
  <c r="K87" i="16"/>
  <c r="J87" i="16"/>
  <c r="I87" i="16"/>
  <c r="H87" i="16"/>
  <c r="G87" i="16"/>
  <c r="V86" i="16"/>
  <c r="U86" i="16"/>
  <c r="T86" i="16"/>
  <c r="S86" i="16"/>
  <c r="R86" i="16"/>
  <c r="Q86" i="16"/>
  <c r="P86" i="16"/>
  <c r="O86" i="16"/>
  <c r="N86" i="16"/>
  <c r="M86" i="16"/>
  <c r="L86" i="16"/>
  <c r="K86" i="16"/>
  <c r="J86" i="16"/>
  <c r="I86" i="16"/>
  <c r="H86" i="16"/>
  <c r="G86" i="16"/>
  <c r="V85" i="16"/>
  <c r="U85" i="16"/>
  <c r="R85" i="16"/>
  <c r="Q85" i="16"/>
  <c r="P85" i="16"/>
  <c r="O85" i="16"/>
  <c r="N85" i="16"/>
  <c r="M85" i="16"/>
  <c r="L85" i="16"/>
  <c r="J85" i="16"/>
  <c r="H85" i="16"/>
  <c r="V84" i="16"/>
  <c r="U84" i="16"/>
  <c r="R84" i="16"/>
  <c r="Q84" i="16"/>
  <c r="P84" i="16"/>
  <c r="O84" i="16"/>
  <c r="N84" i="16"/>
  <c r="M84" i="16"/>
  <c r="L84" i="16"/>
  <c r="J84" i="16"/>
  <c r="H84" i="16"/>
  <c r="V83" i="16"/>
  <c r="U83" i="16"/>
  <c r="R83" i="16"/>
  <c r="Q83" i="16"/>
  <c r="P83" i="16"/>
  <c r="O83" i="16"/>
  <c r="N83" i="16"/>
  <c r="M83" i="16"/>
  <c r="L83" i="16"/>
  <c r="J83" i="16"/>
  <c r="H83" i="16"/>
  <c r="V82" i="16"/>
  <c r="U82" i="16"/>
  <c r="R82" i="16"/>
  <c r="Q82" i="16"/>
  <c r="P82" i="16"/>
  <c r="O82" i="16"/>
  <c r="N82" i="16"/>
  <c r="M82" i="16"/>
  <c r="L82" i="16"/>
  <c r="J82" i="16"/>
  <c r="H82" i="16"/>
  <c r="V81" i="16"/>
  <c r="U81" i="16"/>
  <c r="R81" i="16"/>
  <c r="Q81" i="16"/>
  <c r="P81" i="16"/>
  <c r="O81" i="16"/>
  <c r="N81" i="16"/>
  <c r="M81" i="16"/>
  <c r="L81" i="16"/>
  <c r="J81" i="16"/>
  <c r="H81" i="16"/>
  <c r="V80" i="16"/>
  <c r="U80" i="16"/>
  <c r="R80" i="16"/>
  <c r="Q80" i="16"/>
  <c r="P80" i="16"/>
  <c r="O80" i="16"/>
  <c r="N80" i="16"/>
  <c r="M80" i="16"/>
  <c r="L80" i="16"/>
  <c r="J80" i="16"/>
  <c r="H80" i="16"/>
  <c r="V79" i="16"/>
  <c r="U79" i="16"/>
  <c r="R79" i="16"/>
  <c r="Q79" i="16"/>
  <c r="P79" i="16"/>
  <c r="O79" i="16"/>
  <c r="N79" i="16"/>
  <c r="M79" i="16"/>
  <c r="L79" i="16"/>
  <c r="J79" i="16"/>
  <c r="H79" i="16"/>
  <c r="V78" i="16"/>
  <c r="U78" i="16"/>
  <c r="R78" i="16"/>
  <c r="Q78" i="16"/>
  <c r="P78" i="16"/>
  <c r="O78" i="16"/>
  <c r="N78" i="16"/>
  <c r="M78" i="16"/>
  <c r="L78" i="16"/>
  <c r="J78" i="16"/>
  <c r="H78" i="16"/>
  <c r="V77" i="16"/>
  <c r="U77" i="16"/>
  <c r="R77" i="16"/>
  <c r="Q77" i="16"/>
  <c r="P77" i="16"/>
  <c r="O77" i="16"/>
  <c r="N77" i="16"/>
  <c r="M77" i="16"/>
  <c r="L77" i="16"/>
  <c r="J77" i="16"/>
  <c r="H77" i="16"/>
  <c r="V76" i="16"/>
  <c r="U76" i="16"/>
  <c r="T76" i="16"/>
  <c r="S76" i="16"/>
  <c r="R76" i="16"/>
  <c r="Q76" i="16"/>
  <c r="P76" i="16"/>
  <c r="O76" i="16"/>
  <c r="N76" i="16"/>
  <c r="M76" i="16"/>
  <c r="L76" i="16"/>
  <c r="K76" i="16"/>
  <c r="J76" i="16"/>
  <c r="I76" i="16"/>
  <c r="H76" i="16"/>
  <c r="G76" i="16"/>
  <c r="T75" i="16"/>
  <c r="K61" i="20" s="1"/>
  <c r="S75" i="16"/>
  <c r="J61" i="20" s="1"/>
  <c r="R75" i="16"/>
  <c r="Q75" i="16"/>
  <c r="P75" i="16"/>
  <c r="O75" i="16"/>
  <c r="N75" i="16"/>
  <c r="M75" i="16"/>
  <c r="L75" i="16"/>
  <c r="K75" i="16"/>
  <c r="J75" i="16"/>
  <c r="I75" i="16"/>
  <c r="H75" i="16"/>
  <c r="V74" i="16"/>
  <c r="U74" i="16"/>
  <c r="S74" i="16"/>
  <c r="R74" i="16"/>
  <c r="Q74" i="16"/>
  <c r="O74" i="16"/>
  <c r="N74" i="16"/>
  <c r="M74" i="16"/>
  <c r="L74" i="16"/>
  <c r="J74" i="16"/>
  <c r="H74" i="16"/>
  <c r="V73" i="16"/>
  <c r="U73" i="16"/>
  <c r="T73" i="16"/>
  <c r="S73" i="16"/>
  <c r="P73" i="16"/>
  <c r="O73" i="16"/>
  <c r="N73" i="16"/>
  <c r="M73" i="16"/>
  <c r="L73" i="16"/>
  <c r="K73" i="16"/>
  <c r="J73" i="16"/>
  <c r="I73" i="16"/>
  <c r="V72" i="16"/>
  <c r="U72" i="16"/>
  <c r="T72" i="16"/>
  <c r="S72" i="16"/>
  <c r="R72" i="16"/>
  <c r="Q72" i="16"/>
  <c r="P72" i="16"/>
  <c r="O72" i="16"/>
  <c r="N72" i="16"/>
  <c r="M72" i="16"/>
  <c r="L72" i="16"/>
  <c r="K72" i="16"/>
  <c r="J72" i="16"/>
  <c r="I72" i="16"/>
  <c r="H72" i="16"/>
  <c r="G72" i="16"/>
  <c r="V71" i="16"/>
  <c r="U71" i="16"/>
  <c r="S71" i="16"/>
  <c r="R71" i="16"/>
  <c r="Q71" i="16"/>
  <c r="O71" i="16"/>
  <c r="N71" i="16"/>
  <c r="M71" i="16"/>
  <c r="L71" i="16"/>
  <c r="J71" i="16"/>
  <c r="H71" i="16"/>
  <c r="V70" i="16"/>
  <c r="U70" i="16"/>
  <c r="R70" i="16"/>
  <c r="Q70" i="16"/>
  <c r="P70" i="16"/>
  <c r="O70" i="16"/>
  <c r="N70" i="16"/>
  <c r="M70" i="16"/>
  <c r="L70" i="16"/>
  <c r="J70" i="16"/>
  <c r="H70" i="16"/>
  <c r="V69" i="16"/>
  <c r="U69" i="16"/>
  <c r="T69" i="16"/>
  <c r="S69" i="16"/>
  <c r="R69" i="16"/>
  <c r="Q69" i="16"/>
  <c r="P69" i="16"/>
  <c r="O69" i="16"/>
  <c r="N69" i="16"/>
  <c r="M69" i="16"/>
  <c r="L69" i="16"/>
  <c r="K69" i="16"/>
  <c r="J69" i="16"/>
  <c r="I69" i="16"/>
  <c r="H69" i="16"/>
  <c r="G69" i="16"/>
  <c r="V68" i="16"/>
  <c r="U68" i="16"/>
  <c r="T68" i="16"/>
  <c r="S68" i="16"/>
  <c r="R68" i="16"/>
  <c r="Q68" i="16"/>
  <c r="P68" i="16"/>
  <c r="O68" i="16"/>
  <c r="N68" i="16"/>
  <c r="M68" i="16"/>
  <c r="L68" i="16"/>
  <c r="K68" i="16"/>
  <c r="J68" i="16"/>
  <c r="I68" i="16"/>
  <c r="H68" i="16"/>
  <c r="G68" i="16"/>
  <c r="V67" i="16"/>
  <c r="U67" i="16"/>
  <c r="T67" i="16"/>
  <c r="S67" i="16"/>
  <c r="R67" i="16"/>
  <c r="Q67" i="16"/>
  <c r="P67" i="16"/>
  <c r="O67" i="16"/>
  <c r="N67" i="16"/>
  <c r="M67" i="16"/>
  <c r="L67" i="16"/>
  <c r="K67" i="16"/>
  <c r="J67" i="16"/>
  <c r="I67" i="16"/>
  <c r="H67" i="16"/>
  <c r="G67" i="16"/>
  <c r="V66" i="16"/>
  <c r="U66" i="16"/>
  <c r="T66" i="16"/>
  <c r="S66" i="16"/>
  <c r="R66" i="16"/>
  <c r="Q66" i="16"/>
  <c r="P66" i="16"/>
  <c r="O66" i="16"/>
  <c r="N66" i="16"/>
  <c r="M66" i="16"/>
  <c r="L66" i="16"/>
  <c r="K66" i="16"/>
  <c r="J66" i="16"/>
  <c r="I66" i="16"/>
  <c r="H66" i="16"/>
  <c r="G66" i="16"/>
  <c r="V65" i="16"/>
  <c r="U65" i="16"/>
  <c r="T65" i="16"/>
  <c r="S65" i="16"/>
  <c r="R65" i="16"/>
  <c r="Q65" i="16"/>
  <c r="P65" i="16"/>
  <c r="O65" i="16"/>
  <c r="N65" i="16"/>
  <c r="M65" i="16"/>
  <c r="L65" i="16"/>
  <c r="K65" i="16"/>
  <c r="J65" i="16"/>
  <c r="I65" i="16"/>
  <c r="H65" i="16"/>
  <c r="G65" i="16"/>
  <c r="V64" i="16"/>
  <c r="U64" i="16"/>
  <c r="S64" i="16"/>
  <c r="R64" i="16"/>
  <c r="Q64" i="16"/>
  <c r="O64" i="16"/>
  <c r="N64" i="16"/>
  <c r="M64" i="16"/>
  <c r="L64" i="16"/>
  <c r="J64" i="16"/>
  <c r="H64" i="16"/>
  <c r="V63" i="16"/>
  <c r="U63" i="16"/>
  <c r="R63" i="16"/>
  <c r="Q63" i="16"/>
  <c r="P63" i="16"/>
  <c r="O63" i="16"/>
  <c r="N63" i="16"/>
  <c r="M63" i="16"/>
  <c r="L63" i="16"/>
  <c r="J63" i="16"/>
  <c r="H63" i="16"/>
  <c r="V62" i="16"/>
  <c r="U62" i="16"/>
  <c r="R62" i="16"/>
  <c r="Q62" i="16"/>
  <c r="P62" i="16"/>
  <c r="O62" i="16"/>
  <c r="N62" i="16"/>
  <c r="M62" i="16"/>
  <c r="L62" i="16"/>
  <c r="J62" i="16"/>
  <c r="H62" i="16"/>
  <c r="V61" i="16"/>
  <c r="U61" i="16"/>
  <c r="R61" i="16"/>
  <c r="Q61" i="16"/>
  <c r="P61" i="16"/>
  <c r="O61" i="16"/>
  <c r="N61" i="16"/>
  <c r="M61" i="16"/>
  <c r="L61" i="16"/>
  <c r="J61" i="16"/>
  <c r="H61" i="16"/>
  <c r="V60" i="16"/>
  <c r="U60" i="16"/>
  <c r="R60" i="16"/>
  <c r="Q60" i="16"/>
  <c r="P60" i="16"/>
  <c r="O60" i="16"/>
  <c r="N60" i="16"/>
  <c r="M60" i="16"/>
  <c r="L60" i="16"/>
  <c r="J60" i="16"/>
  <c r="H60" i="16"/>
  <c r="V59" i="16"/>
  <c r="U59" i="16"/>
  <c r="R59" i="16"/>
  <c r="Q59" i="16"/>
  <c r="P59" i="16"/>
  <c r="O59" i="16"/>
  <c r="N59" i="16"/>
  <c r="M59" i="16"/>
  <c r="L59" i="16"/>
  <c r="J59" i="16"/>
  <c r="H59" i="16"/>
  <c r="V58" i="16"/>
  <c r="U58" i="16"/>
  <c r="R58" i="16"/>
  <c r="Q58" i="16"/>
  <c r="P58" i="16"/>
  <c r="O58" i="16"/>
  <c r="N58" i="16"/>
  <c r="M58" i="16"/>
  <c r="L58" i="16"/>
  <c r="J58" i="16"/>
  <c r="H58" i="16"/>
  <c r="V57" i="16"/>
  <c r="U57" i="16"/>
  <c r="R57" i="16"/>
  <c r="Q57" i="16"/>
  <c r="P57" i="16"/>
  <c r="O57" i="16"/>
  <c r="N57" i="16"/>
  <c r="M57" i="16"/>
  <c r="L57" i="16"/>
  <c r="J57" i="16"/>
  <c r="H57" i="16"/>
  <c r="V56" i="16"/>
  <c r="U56" i="16"/>
  <c r="R56" i="16"/>
  <c r="Q56" i="16"/>
  <c r="P56" i="16"/>
  <c r="O56" i="16"/>
  <c r="N56" i="16"/>
  <c r="M56" i="16"/>
  <c r="L56" i="16"/>
  <c r="J56" i="16"/>
  <c r="H56" i="16"/>
  <c r="V55" i="16"/>
  <c r="U55" i="16"/>
  <c r="R55" i="16"/>
  <c r="Q55" i="16"/>
  <c r="P55" i="16"/>
  <c r="O55" i="16"/>
  <c r="N55" i="16"/>
  <c r="M55" i="16"/>
  <c r="L55" i="16"/>
  <c r="J55" i="16"/>
  <c r="H55" i="16"/>
  <c r="V54" i="16"/>
  <c r="U54" i="16"/>
  <c r="R54" i="16"/>
  <c r="Q54" i="16"/>
  <c r="P54" i="16"/>
  <c r="O54" i="16"/>
  <c r="N54" i="16"/>
  <c r="M54" i="16"/>
  <c r="L54" i="16"/>
  <c r="J54" i="16"/>
  <c r="H54" i="16"/>
  <c r="V53" i="16"/>
  <c r="U53" i="16"/>
  <c r="R53" i="16"/>
  <c r="Q53" i="16"/>
  <c r="P53" i="16"/>
  <c r="O53" i="16"/>
  <c r="N53" i="16"/>
  <c r="M53" i="16"/>
  <c r="L53" i="16"/>
  <c r="J53" i="16"/>
  <c r="H53" i="16"/>
  <c r="V52" i="16"/>
  <c r="U52" i="16"/>
  <c r="T52" i="16"/>
  <c r="S52" i="16"/>
  <c r="R52" i="16"/>
  <c r="Q52" i="16"/>
  <c r="P52" i="16"/>
  <c r="O52" i="16"/>
  <c r="N52" i="16"/>
  <c r="M52" i="16"/>
  <c r="L52" i="16"/>
  <c r="K52" i="16"/>
  <c r="J52" i="16"/>
  <c r="I52" i="16"/>
  <c r="H52" i="16"/>
  <c r="G52" i="16"/>
  <c r="T51" i="16"/>
  <c r="S51" i="16"/>
  <c r="R51" i="16"/>
  <c r="Q51" i="16"/>
  <c r="P51" i="16"/>
  <c r="O51" i="16"/>
  <c r="N51" i="16"/>
  <c r="M51" i="16"/>
  <c r="L51" i="16"/>
  <c r="J51" i="16"/>
  <c r="H51" i="16"/>
  <c r="V50" i="16"/>
  <c r="U50" i="16"/>
  <c r="T50" i="16"/>
  <c r="S50" i="16"/>
  <c r="P50" i="16"/>
  <c r="O50" i="16"/>
  <c r="N50" i="16"/>
  <c r="M50" i="16"/>
  <c r="L50" i="16"/>
  <c r="K50" i="16"/>
  <c r="J50" i="16"/>
  <c r="I50" i="16"/>
  <c r="V49" i="16"/>
  <c r="U49" i="16"/>
  <c r="T49" i="16"/>
  <c r="S49" i="16"/>
  <c r="R49" i="16"/>
  <c r="Q49" i="16"/>
  <c r="P49" i="16"/>
  <c r="O49" i="16"/>
  <c r="N49" i="16"/>
  <c r="M49" i="16"/>
  <c r="L49" i="16"/>
  <c r="K49" i="16"/>
  <c r="J49" i="16"/>
  <c r="I49" i="16"/>
  <c r="H49" i="16"/>
  <c r="G49" i="16"/>
  <c r="V48" i="16"/>
  <c r="U48" i="16"/>
  <c r="S48" i="16"/>
  <c r="R48" i="16"/>
  <c r="Q48" i="16"/>
  <c r="O48" i="16"/>
  <c r="N48" i="16"/>
  <c r="M48" i="16"/>
  <c r="L48" i="16"/>
  <c r="J48" i="16"/>
  <c r="H48" i="16"/>
  <c r="V47" i="16"/>
  <c r="U47" i="16"/>
  <c r="R47" i="16"/>
  <c r="Q47" i="16"/>
  <c r="P47" i="16"/>
  <c r="O47" i="16"/>
  <c r="N47" i="16"/>
  <c r="M47" i="16"/>
  <c r="L47" i="16"/>
  <c r="J47" i="16"/>
  <c r="H47" i="16"/>
  <c r="V46" i="16"/>
  <c r="U46" i="16"/>
  <c r="T46" i="16"/>
  <c r="S46" i="16"/>
  <c r="R46" i="16"/>
  <c r="Q46" i="16"/>
  <c r="P46" i="16"/>
  <c r="O46" i="16"/>
  <c r="N46" i="16"/>
  <c r="M46" i="16"/>
  <c r="L46" i="16"/>
  <c r="K46" i="16"/>
  <c r="J46" i="16"/>
  <c r="I46" i="16"/>
  <c r="H46" i="16"/>
  <c r="G46" i="16"/>
  <c r="V45" i="16"/>
  <c r="U45" i="16"/>
  <c r="T45" i="16"/>
  <c r="S45" i="16"/>
  <c r="R45" i="16"/>
  <c r="Q45" i="16"/>
  <c r="P45" i="16"/>
  <c r="O45" i="16"/>
  <c r="N45" i="16"/>
  <c r="M45" i="16"/>
  <c r="J45" i="16"/>
  <c r="H45" i="16"/>
  <c r="V44" i="16"/>
  <c r="U44" i="16"/>
  <c r="T44" i="16"/>
  <c r="S44" i="16"/>
  <c r="R44" i="16"/>
  <c r="Q44" i="16"/>
  <c r="P44" i="16"/>
  <c r="O44" i="16"/>
  <c r="N44" i="16"/>
  <c r="M44" i="16"/>
  <c r="L44" i="16"/>
  <c r="J44" i="16"/>
  <c r="H44" i="16"/>
  <c r="V43" i="16"/>
  <c r="U43" i="16"/>
  <c r="T43" i="16"/>
  <c r="S43" i="16"/>
  <c r="R43" i="16"/>
  <c r="Q43" i="16"/>
  <c r="P43" i="16"/>
  <c r="O43" i="16"/>
  <c r="N43" i="16"/>
  <c r="M43" i="16"/>
  <c r="K43" i="16"/>
  <c r="J43" i="16"/>
  <c r="I43" i="16"/>
  <c r="V42" i="16"/>
  <c r="U42" i="16"/>
  <c r="T42" i="16"/>
  <c r="S42" i="16"/>
  <c r="R42" i="16"/>
  <c r="Q42" i="16"/>
  <c r="P42" i="16"/>
  <c r="O42" i="16"/>
  <c r="N42" i="16"/>
  <c r="M42" i="16"/>
  <c r="L42" i="16"/>
  <c r="K42" i="16"/>
  <c r="J42" i="16"/>
  <c r="I42" i="16"/>
  <c r="V41" i="16"/>
  <c r="U41" i="16"/>
  <c r="T41" i="16"/>
  <c r="S41" i="16"/>
  <c r="R41" i="16"/>
  <c r="Q41" i="16"/>
  <c r="P41" i="16"/>
  <c r="O41" i="16"/>
  <c r="N41" i="16"/>
  <c r="M41" i="16"/>
  <c r="L41" i="16"/>
  <c r="K41" i="16"/>
  <c r="J41" i="16"/>
  <c r="I41" i="16"/>
  <c r="H41" i="16"/>
  <c r="G41" i="16"/>
  <c r="V40" i="16"/>
  <c r="U40" i="16"/>
  <c r="T40" i="16"/>
  <c r="S40" i="16"/>
  <c r="R40" i="16"/>
  <c r="Q40" i="16"/>
  <c r="P40" i="16"/>
  <c r="O40" i="16"/>
  <c r="N40" i="16"/>
  <c r="M40" i="16"/>
  <c r="L40" i="16"/>
  <c r="K40" i="16"/>
  <c r="J40" i="16"/>
  <c r="I40" i="16"/>
  <c r="H40" i="16"/>
  <c r="G40" i="16"/>
  <c r="V39" i="16"/>
  <c r="U39" i="16"/>
  <c r="T39" i="16"/>
  <c r="S39" i="16"/>
  <c r="P39" i="16"/>
  <c r="O39" i="16"/>
  <c r="N39" i="16"/>
  <c r="M39" i="16"/>
  <c r="L39" i="16"/>
  <c r="K39" i="16"/>
  <c r="J39" i="16"/>
  <c r="I39" i="16"/>
  <c r="V38" i="16"/>
  <c r="U38" i="16"/>
  <c r="S38" i="16"/>
  <c r="R38" i="16"/>
  <c r="Q38" i="16"/>
  <c r="P38" i="16"/>
  <c r="O38" i="16"/>
  <c r="N38" i="16"/>
  <c r="M38" i="16"/>
  <c r="L38" i="16"/>
  <c r="H38" i="16"/>
  <c r="V37" i="16"/>
  <c r="U37" i="16"/>
  <c r="T37" i="16"/>
  <c r="S37" i="16"/>
  <c r="R37" i="16"/>
  <c r="Q37" i="16"/>
  <c r="P37" i="16"/>
  <c r="O37" i="16"/>
  <c r="N37" i="16"/>
  <c r="M37" i="16"/>
  <c r="L37" i="16"/>
  <c r="H37" i="16"/>
  <c r="V36" i="16"/>
  <c r="U36" i="16"/>
  <c r="T36" i="16"/>
  <c r="S36" i="16"/>
  <c r="R36" i="16"/>
  <c r="Q36" i="16"/>
  <c r="P36" i="16"/>
  <c r="O36" i="16"/>
  <c r="N36" i="16"/>
  <c r="M36" i="16"/>
  <c r="L36" i="16"/>
  <c r="K36" i="16"/>
  <c r="J36" i="16"/>
  <c r="I36" i="16"/>
  <c r="H36" i="16"/>
  <c r="G36" i="16"/>
  <c r="V35" i="16"/>
  <c r="U35" i="16"/>
  <c r="T35" i="16"/>
  <c r="S35" i="16"/>
  <c r="R35" i="16"/>
  <c r="Q35" i="16"/>
  <c r="P35" i="16"/>
  <c r="O35" i="16"/>
  <c r="N35" i="16"/>
  <c r="M35" i="16"/>
  <c r="K35" i="16"/>
  <c r="J35" i="16"/>
  <c r="I35" i="16"/>
  <c r="H35" i="16"/>
  <c r="G35" i="16"/>
  <c r="V34" i="16"/>
  <c r="U34" i="16"/>
  <c r="T34" i="16"/>
  <c r="S34" i="16"/>
  <c r="R34" i="16"/>
  <c r="Q34" i="16"/>
  <c r="P34" i="16"/>
  <c r="O34" i="16"/>
  <c r="N34" i="16"/>
  <c r="M34" i="16"/>
  <c r="J34" i="16"/>
  <c r="H34" i="16"/>
  <c r="V33" i="16"/>
  <c r="U33" i="16"/>
  <c r="T33" i="16"/>
  <c r="S33" i="16"/>
  <c r="R33" i="16"/>
  <c r="Q33" i="16"/>
  <c r="P33" i="16"/>
  <c r="O33" i="16"/>
  <c r="N33" i="16"/>
  <c r="M33" i="16"/>
  <c r="L33" i="16"/>
  <c r="J33" i="16"/>
  <c r="H33" i="16"/>
  <c r="V32" i="16"/>
  <c r="U32" i="16"/>
  <c r="T32" i="16"/>
  <c r="S32" i="16"/>
  <c r="R32" i="16"/>
  <c r="Q32" i="16"/>
  <c r="P32" i="16"/>
  <c r="O32" i="16"/>
  <c r="N32" i="16"/>
  <c r="M32" i="16"/>
  <c r="K32" i="16"/>
  <c r="J32" i="16"/>
  <c r="I32" i="16"/>
  <c r="V31" i="16"/>
  <c r="U31" i="16"/>
  <c r="T31" i="16"/>
  <c r="S31" i="16"/>
  <c r="R31" i="16"/>
  <c r="Q31" i="16"/>
  <c r="P31" i="16"/>
  <c r="O31" i="16"/>
  <c r="N31" i="16"/>
  <c r="M31" i="16"/>
  <c r="L31" i="16"/>
  <c r="K31" i="16"/>
  <c r="J31" i="16"/>
  <c r="I31" i="16"/>
  <c r="V30" i="16"/>
  <c r="U30" i="16"/>
  <c r="T30" i="16"/>
  <c r="S30" i="16"/>
  <c r="R30" i="16"/>
  <c r="Q30" i="16"/>
  <c r="P30" i="16"/>
  <c r="O30" i="16"/>
  <c r="N30" i="16"/>
  <c r="M30" i="16"/>
  <c r="L30" i="16"/>
  <c r="K30" i="16"/>
  <c r="J30" i="16"/>
  <c r="I30" i="16"/>
  <c r="H30" i="16"/>
  <c r="G30" i="16"/>
  <c r="V29" i="16"/>
  <c r="U29" i="16"/>
  <c r="T29" i="16"/>
  <c r="S29" i="16"/>
  <c r="R29" i="16"/>
  <c r="Q29" i="16"/>
  <c r="P29" i="16"/>
  <c r="O29" i="16"/>
  <c r="N29" i="16"/>
  <c r="M29" i="16"/>
  <c r="L29" i="16"/>
  <c r="K29" i="16"/>
  <c r="J29" i="16"/>
  <c r="I29" i="16"/>
  <c r="G29" i="16"/>
  <c r="V28" i="16"/>
  <c r="U28" i="16"/>
  <c r="T28" i="16"/>
  <c r="S28" i="16"/>
  <c r="R28" i="16"/>
  <c r="Q28" i="16"/>
  <c r="P28" i="16"/>
  <c r="O28" i="16"/>
  <c r="N28" i="16"/>
  <c r="M28" i="16"/>
  <c r="L28" i="16"/>
  <c r="K28" i="16"/>
  <c r="J28" i="16"/>
  <c r="I28" i="16"/>
  <c r="G28" i="16"/>
  <c r="V27" i="16"/>
  <c r="U27" i="16"/>
  <c r="T27" i="16"/>
  <c r="S27" i="16"/>
  <c r="R27" i="16"/>
  <c r="Q27" i="16"/>
  <c r="P27" i="16"/>
  <c r="O27" i="16"/>
  <c r="N27" i="16"/>
  <c r="M27" i="16"/>
  <c r="L27" i="16"/>
  <c r="K27" i="16"/>
  <c r="J27" i="16"/>
  <c r="I27" i="16"/>
  <c r="H27" i="16"/>
  <c r="G27" i="16"/>
  <c r="V26" i="16"/>
  <c r="U26" i="16"/>
  <c r="T26" i="16"/>
  <c r="S26" i="16"/>
  <c r="R26" i="16"/>
  <c r="Q26" i="16"/>
  <c r="P26" i="16"/>
  <c r="O26" i="16"/>
  <c r="N26" i="16"/>
  <c r="M26" i="16"/>
  <c r="L26" i="16"/>
  <c r="K26" i="16"/>
  <c r="J26" i="16"/>
  <c r="I26" i="16"/>
  <c r="H26" i="16"/>
  <c r="G26" i="16"/>
  <c r="V25" i="16"/>
  <c r="T25" i="16"/>
  <c r="S25" i="16"/>
  <c r="R25" i="16"/>
  <c r="Q25" i="16"/>
  <c r="P25" i="16"/>
  <c r="L25" i="16"/>
  <c r="H25" i="16"/>
  <c r="V24" i="16"/>
  <c r="T24" i="16"/>
  <c r="S24" i="16"/>
  <c r="R24" i="16"/>
  <c r="Q24" i="16"/>
  <c r="P24" i="16"/>
  <c r="O24" i="16"/>
  <c r="N24" i="16"/>
  <c r="M24" i="16"/>
  <c r="L24" i="16"/>
  <c r="H24" i="16"/>
  <c r="V23" i="16"/>
  <c r="U23" i="16"/>
  <c r="T23" i="16"/>
  <c r="S23" i="16"/>
  <c r="R23" i="16"/>
  <c r="Q23" i="16"/>
  <c r="P23" i="16"/>
  <c r="L23" i="16"/>
  <c r="H23" i="16"/>
  <c r="V22" i="16"/>
  <c r="U22" i="16"/>
  <c r="T22" i="16"/>
  <c r="S22" i="16"/>
  <c r="R22" i="16"/>
  <c r="Q22" i="16"/>
  <c r="P22" i="16"/>
  <c r="O22" i="16"/>
  <c r="N22" i="16"/>
  <c r="M22" i="16"/>
  <c r="L22" i="16"/>
  <c r="H22" i="16"/>
  <c r="V21" i="16"/>
  <c r="U21" i="16"/>
  <c r="T21" i="16"/>
  <c r="S21" i="16"/>
  <c r="R21" i="16"/>
  <c r="Q21" i="16"/>
  <c r="P21" i="16"/>
  <c r="L21" i="16"/>
  <c r="K21" i="16"/>
  <c r="J21" i="16"/>
  <c r="I21" i="16"/>
  <c r="V20" i="16"/>
  <c r="U20" i="16"/>
  <c r="T20" i="16"/>
  <c r="S20" i="16"/>
  <c r="R20" i="16"/>
  <c r="Q20" i="16"/>
  <c r="P20" i="16"/>
  <c r="O20" i="16"/>
  <c r="N20" i="16"/>
  <c r="M20" i="16"/>
  <c r="L20" i="16"/>
  <c r="K20" i="16"/>
  <c r="J20" i="16"/>
  <c r="I20" i="16"/>
  <c r="H20" i="16"/>
  <c r="G20" i="16"/>
  <c r="V19" i="16"/>
  <c r="U19" i="16"/>
  <c r="T19" i="16"/>
  <c r="S19" i="16"/>
  <c r="R19" i="16"/>
  <c r="Q19" i="16"/>
  <c r="P19" i="16"/>
  <c r="O19" i="16"/>
  <c r="N19" i="16"/>
  <c r="M19" i="16"/>
  <c r="K19" i="16"/>
  <c r="J19" i="16"/>
  <c r="I19" i="16"/>
  <c r="V18" i="16"/>
  <c r="U18" i="16"/>
  <c r="T18" i="16"/>
  <c r="S18" i="16"/>
  <c r="R18" i="16"/>
  <c r="Q18" i="16"/>
  <c r="P18" i="16"/>
  <c r="O18" i="16"/>
  <c r="N18" i="16"/>
  <c r="M18" i="16"/>
  <c r="L18" i="16"/>
  <c r="K18" i="16"/>
  <c r="J18" i="16"/>
  <c r="I18" i="16"/>
  <c r="V17" i="16"/>
  <c r="U17" i="16"/>
  <c r="T17" i="16"/>
  <c r="S17" i="16"/>
  <c r="R17" i="16"/>
  <c r="Q17" i="16"/>
  <c r="P17" i="16"/>
  <c r="O17" i="16"/>
  <c r="N17" i="16"/>
  <c r="M17" i="16"/>
  <c r="L17" i="16"/>
  <c r="K17" i="16"/>
  <c r="J17" i="16"/>
  <c r="I17" i="16"/>
  <c r="H17" i="16"/>
  <c r="G17" i="16"/>
  <c r="V16" i="16"/>
  <c r="U16" i="16"/>
  <c r="T16" i="16"/>
  <c r="S16" i="16"/>
  <c r="R16" i="16"/>
  <c r="Q16" i="16"/>
  <c r="P16" i="16"/>
  <c r="O16" i="16"/>
  <c r="N16" i="16"/>
  <c r="M16" i="16"/>
  <c r="L16" i="16"/>
  <c r="K16" i="16"/>
  <c r="J16" i="16"/>
  <c r="I16" i="16"/>
  <c r="H16" i="16"/>
  <c r="G16" i="16"/>
  <c r="T84" i="3"/>
  <c r="AK84" i="8" s="1"/>
  <c r="T82" i="3"/>
  <c r="T80" i="3"/>
  <c r="T79" i="3"/>
  <c r="T77" i="3"/>
  <c r="S84" i="3"/>
  <c r="AJ84" i="8" s="1"/>
  <c r="S82" i="3"/>
  <c r="S80" i="3"/>
  <c r="S77" i="3"/>
  <c r="T85" i="3"/>
  <c r="S85" i="3"/>
  <c r="T83" i="3"/>
  <c r="S83" i="3"/>
  <c r="T81" i="3"/>
  <c r="S81" i="3"/>
  <c r="S79" i="3"/>
  <c r="T78" i="3"/>
  <c r="S78" i="3"/>
  <c r="K85" i="3"/>
  <c r="K84" i="3"/>
  <c r="AB84" i="8" s="1"/>
  <c r="K83" i="3"/>
  <c r="K82" i="3"/>
  <c r="K81" i="3"/>
  <c r="K80" i="3"/>
  <c r="K79" i="3"/>
  <c r="K78" i="3"/>
  <c r="K77" i="3"/>
  <c r="I85" i="3"/>
  <c r="I84" i="3"/>
  <c r="Z84" i="8" s="1"/>
  <c r="I83" i="3"/>
  <c r="I82" i="3"/>
  <c r="I81" i="3"/>
  <c r="I80" i="3"/>
  <c r="I79" i="3"/>
  <c r="I78" i="3"/>
  <c r="I77" i="3"/>
  <c r="T64" i="3"/>
  <c r="T63" i="3"/>
  <c r="S63" i="3"/>
  <c r="P64" i="3"/>
  <c r="T62" i="3"/>
  <c r="S62" i="3"/>
  <c r="T61" i="3"/>
  <c r="S61" i="3"/>
  <c r="T60" i="3"/>
  <c r="S60" i="3"/>
  <c r="T59" i="3"/>
  <c r="S59" i="3"/>
  <c r="T57" i="3"/>
  <c r="S57" i="3"/>
  <c r="T56" i="3"/>
  <c r="S56" i="3"/>
  <c r="T55" i="3"/>
  <c r="S55" i="3"/>
  <c r="T54" i="3"/>
  <c r="S54" i="3"/>
  <c r="T53" i="3"/>
  <c r="S53" i="3"/>
  <c r="K64" i="3"/>
  <c r="K63" i="3"/>
  <c r="K62" i="3"/>
  <c r="K61" i="3"/>
  <c r="K60" i="3"/>
  <c r="K59" i="3"/>
  <c r="K58" i="3"/>
  <c r="K57" i="3"/>
  <c r="K56" i="3"/>
  <c r="K55" i="3"/>
  <c r="K54" i="3"/>
  <c r="K53" i="3"/>
  <c r="I64" i="3"/>
  <c r="I63" i="3"/>
  <c r="I62" i="3"/>
  <c r="I61" i="3"/>
  <c r="I60" i="3"/>
  <c r="I59" i="3"/>
  <c r="I58" i="3"/>
  <c r="I57" i="3"/>
  <c r="I56" i="3"/>
  <c r="I55" i="3"/>
  <c r="I54" i="3"/>
  <c r="I53" i="3"/>
  <c r="G54" i="3"/>
  <c r="G55" i="3"/>
  <c r="G56" i="3"/>
  <c r="G57" i="3"/>
  <c r="G58" i="3"/>
  <c r="G59" i="3"/>
  <c r="G60" i="3"/>
  <c r="G61" i="3"/>
  <c r="G62" i="3"/>
  <c r="G63" i="3"/>
  <c r="G64" i="3"/>
  <c r="G53" i="3"/>
  <c r="T58" i="3"/>
  <c r="S58" i="3"/>
  <c r="BF84" i="8" l="1"/>
  <c r="G20" i="19" l="1"/>
  <c r="H15" i="19" l="1"/>
  <c r="M15" i="19" s="1"/>
  <c r="H18" i="19"/>
  <c r="M18" i="19" s="1"/>
  <c r="H17" i="19"/>
  <c r="M17" i="19" s="1"/>
  <c r="H19" i="19"/>
  <c r="M19" i="19" s="1"/>
  <c r="H16" i="19"/>
  <c r="M16" i="19" s="1"/>
  <c r="D23" i="14"/>
  <c r="D23" i="13"/>
  <c r="H26" i="4"/>
  <c r="H20" i="19" l="1"/>
  <c r="M20" i="19" s="1"/>
  <c r="K19" i="10"/>
  <c r="G23" i="10"/>
  <c r="G22" i="10"/>
  <c r="G21" i="10"/>
  <c r="G20" i="10"/>
  <c r="E20" i="10"/>
  <c r="E21" i="10" s="1"/>
  <c r="E22" i="10" s="1"/>
  <c r="E23" i="10" s="1"/>
  <c r="H19" i="10"/>
  <c r="F12" i="10" s="1"/>
  <c r="J19" i="10"/>
  <c r="I19" i="10" l="1"/>
  <c r="BQ136" i="16" l="1"/>
  <c r="BQ135" i="16"/>
  <c r="BQ129" i="16"/>
  <c r="BQ130" i="16"/>
  <c r="BQ131" i="16"/>
  <c r="BQ132" i="16"/>
  <c r="BQ133" i="16"/>
  <c r="BQ128" i="16"/>
  <c r="BQ136" i="9"/>
  <c r="BQ135" i="9"/>
  <c r="BQ129" i="9"/>
  <c r="BQ130" i="9"/>
  <c r="BQ131" i="9"/>
  <c r="BQ132" i="9"/>
  <c r="BQ133" i="9"/>
  <c r="BQ128" i="9"/>
  <c r="BQ133" i="8"/>
  <c r="BQ128" i="8"/>
  <c r="BQ136" i="8"/>
  <c r="BQ135" i="8"/>
  <c r="BQ129" i="8"/>
  <c r="BQ130" i="8"/>
  <c r="BQ131" i="8"/>
  <c r="BQ132" i="8"/>
  <c r="BQ135" i="2"/>
  <c r="BQ136" i="2"/>
  <c r="BQ129" i="2"/>
  <c r="BQ130" i="2"/>
  <c r="BQ131" i="2"/>
  <c r="BQ132" i="2"/>
  <c r="BQ133" i="2"/>
  <c r="BQ128" i="2"/>
  <c r="BK16" i="20" l="1"/>
  <c r="BK15" i="20"/>
  <c r="BK13" i="20"/>
  <c r="AQ16" i="20"/>
  <c r="AQ15" i="20"/>
  <c r="AQ13" i="20"/>
  <c r="W16" i="20"/>
  <c r="W15" i="20"/>
  <c r="W13" i="20"/>
  <c r="B19" i="3"/>
  <c r="B21" i="3" s="1"/>
  <c r="B22" i="3" s="1"/>
  <c r="B19" i="16"/>
  <c r="B21" i="16" s="1"/>
  <c r="B22" i="16" s="1"/>
  <c r="B19" i="9"/>
  <c r="B21" i="9" s="1"/>
  <c r="B22" i="9" s="1"/>
  <c r="B19" i="8"/>
  <c r="B21" i="8" s="1"/>
  <c r="B22" i="8" s="1"/>
  <c r="X21" i="8"/>
  <c r="Y21" i="8"/>
  <c r="Z21" i="8"/>
  <c r="AQ21" i="8" s="1"/>
  <c r="AA21" i="8"/>
  <c r="AR21" i="8" s="1"/>
  <c r="AB21" i="8"/>
  <c r="AS21" i="8" s="1"/>
  <c r="AC21" i="8"/>
  <c r="AT21" i="8" s="1"/>
  <c r="AD21" i="8"/>
  <c r="AE21" i="8"/>
  <c r="AF21" i="8"/>
  <c r="AG21" i="8"/>
  <c r="AX21" i="8" s="1"/>
  <c r="AH21" i="8"/>
  <c r="AY21" i="8" s="1"/>
  <c r="AI21" i="8"/>
  <c r="AZ21" i="8" s="1"/>
  <c r="AJ21" i="8"/>
  <c r="BA21" i="8" s="1"/>
  <c r="AK21" i="8"/>
  <c r="BB21" i="8" s="1"/>
  <c r="AL21" i="8"/>
  <c r="BC21" i="8" s="1"/>
  <c r="AM21" i="8"/>
  <c r="BD21" i="8" s="1"/>
  <c r="X21" i="9"/>
  <c r="Y21" i="9"/>
  <c r="Z21" i="9"/>
  <c r="AQ21" i="9" s="1"/>
  <c r="AA21" i="9"/>
  <c r="AB21" i="9"/>
  <c r="AS21" i="9" s="1"/>
  <c r="AC21" i="9"/>
  <c r="AT21" i="9" s="1"/>
  <c r="AD21" i="9"/>
  <c r="AE21" i="9"/>
  <c r="AF21" i="9"/>
  <c r="AG21" i="9"/>
  <c r="AX21" i="9" s="1"/>
  <c r="AH21" i="9"/>
  <c r="AY21" i="9" s="1"/>
  <c r="AI21" i="9"/>
  <c r="AJ21" i="9"/>
  <c r="BA21" i="9" s="1"/>
  <c r="AK21" i="9"/>
  <c r="BB21" i="9" s="1"/>
  <c r="AL21" i="9"/>
  <c r="BC21" i="9" s="1"/>
  <c r="AM21" i="9"/>
  <c r="AR21" i="9"/>
  <c r="AZ21" i="9"/>
  <c r="BD21" i="9"/>
  <c r="X21" i="16"/>
  <c r="Y21" i="16"/>
  <c r="Z21" i="16"/>
  <c r="AQ21" i="16" s="1"/>
  <c r="AA21" i="16"/>
  <c r="AR21" i="16" s="1"/>
  <c r="AB21" i="16"/>
  <c r="AS21" i="16" s="1"/>
  <c r="AC21" i="16"/>
  <c r="AT21" i="16" s="1"/>
  <c r="AD21" i="16"/>
  <c r="AE21" i="16"/>
  <c r="AF21" i="16"/>
  <c r="AG21" i="16"/>
  <c r="AX21" i="16" s="1"/>
  <c r="AH21" i="16"/>
  <c r="AY21" i="16" s="1"/>
  <c r="AI21" i="16"/>
  <c r="AZ21" i="16" s="1"/>
  <c r="AJ21" i="16"/>
  <c r="BA21" i="16" s="1"/>
  <c r="AK21" i="16"/>
  <c r="BB21" i="16" s="1"/>
  <c r="AL21" i="16"/>
  <c r="BC21" i="16" s="1"/>
  <c r="AM21" i="16"/>
  <c r="BD21" i="16" s="1"/>
  <c r="X21" i="3"/>
  <c r="AA21" i="3"/>
  <c r="AB21" i="3"/>
  <c r="X21" i="2"/>
  <c r="Y21" i="2"/>
  <c r="Z21" i="2"/>
  <c r="AQ21" i="2" s="1"/>
  <c r="AA21" i="2"/>
  <c r="AR21" i="2" s="1"/>
  <c r="AB21" i="2"/>
  <c r="AC21" i="2"/>
  <c r="AD21" i="2"/>
  <c r="AE21" i="2"/>
  <c r="AF21" i="2"/>
  <c r="AG21" i="2"/>
  <c r="AH21" i="2"/>
  <c r="AY21" i="2" s="1"/>
  <c r="AI21" i="2"/>
  <c r="AZ21" i="2" s="1"/>
  <c r="AJ21" i="2"/>
  <c r="BA21" i="2" s="1"/>
  <c r="AK21" i="2"/>
  <c r="BB21" i="2" s="1"/>
  <c r="AL21" i="2"/>
  <c r="BC21" i="2" s="1"/>
  <c r="AM21" i="2"/>
  <c r="BD21" i="2" s="1"/>
  <c r="AS21" i="2"/>
  <c r="AT21" i="2"/>
  <c r="AX21" i="2"/>
  <c r="BL21" i="8" l="1"/>
  <c r="BL21" i="2"/>
  <c r="BL21" i="16"/>
  <c r="BK21" i="8"/>
  <c r="BK21" i="2"/>
  <c r="BK21" i="16"/>
  <c r="BL21" i="9"/>
  <c r="BK21" i="9"/>
  <c r="BF21" i="8"/>
  <c r="BO21" i="8" s="1"/>
  <c r="BF21" i="9"/>
  <c r="BO21" i="9" s="1"/>
  <c r="BF21" i="2"/>
  <c r="BO21" i="2" s="1"/>
  <c r="BF21" i="16"/>
  <c r="BO21" i="16" s="1"/>
  <c r="W7" i="3"/>
  <c r="BE7" i="16"/>
  <c r="BE21" i="16" s="1"/>
  <c r="BE7" i="9"/>
  <c r="BE21" i="9" s="1"/>
  <c r="BE7" i="8"/>
  <c r="BE21" i="8" s="1"/>
  <c r="BE7" i="2"/>
  <c r="BE5" i="2" s="1"/>
  <c r="BE21" i="2" l="1"/>
  <c r="G78" i="3"/>
  <c r="G79" i="3"/>
  <c r="G80" i="3"/>
  <c r="G81" i="3"/>
  <c r="G82" i="3"/>
  <c r="G83" i="3"/>
  <c r="G84" i="3"/>
  <c r="X84" i="8" s="1"/>
  <c r="BE84" i="8" s="1"/>
  <c r="G85" i="3"/>
  <c r="G77" i="3"/>
  <c r="X84" i="2" l="1"/>
  <c r="Y84" i="2"/>
  <c r="AP84" i="2" s="1"/>
  <c r="Z84" i="2"/>
  <c r="AA84" i="2"/>
  <c r="AR84" i="2" s="1"/>
  <c r="AB84" i="2"/>
  <c r="AC84" i="2"/>
  <c r="AT84" i="2" s="1"/>
  <c r="AD84" i="2"/>
  <c r="AU84" i="2" s="1"/>
  <c r="AE84" i="2"/>
  <c r="AV84" i="2" s="1"/>
  <c r="AF84" i="2"/>
  <c r="AG84" i="2"/>
  <c r="AX84" i="2" s="1"/>
  <c r="AH84" i="2"/>
  <c r="AY84" i="2" s="1"/>
  <c r="AI84" i="2"/>
  <c r="AZ84" i="2" s="1"/>
  <c r="AJ84" i="2"/>
  <c r="AK84" i="2"/>
  <c r="AL84" i="2"/>
  <c r="BC84" i="2" s="1"/>
  <c r="AM84" i="2"/>
  <c r="BD84" i="2" s="1"/>
  <c r="AW84" i="2"/>
  <c r="X84" i="3"/>
  <c r="AA84" i="3"/>
  <c r="AB84" i="3"/>
  <c r="X85" i="3"/>
  <c r="AA85" i="3"/>
  <c r="AB85" i="3"/>
  <c r="X86" i="3"/>
  <c r="AA86" i="3"/>
  <c r="AB86" i="3"/>
  <c r="X84" i="16"/>
  <c r="Y84" i="16"/>
  <c r="Z84" i="16"/>
  <c r="AA84" i="16"/>
  <c r="AB84" i="16"/>
  <c r="AC84" i="16"/>
  <c r="AD84" i="16"/>
  <c r="AE84" i="16"/>
  <c r="AF84" i="16"/>
  <c r="AG84" i="16"/>
  <c r="AH84" i="16"/>
  <c r="AI84" i="16"/>
  <c r="AJ84" i="16"/>
  <c r="AK84" i="16"/>
  <c r="AL84" i="16"/>
  <c r="BC84" i="16" s="1"/>
  <c r="AM84" i="16"/>
  <c r="BD84" i="16" s="1"/>
  <c r="X84" i="9"/>
  <c r="Y84" i="9"/>
  <c r="AP84" i="9" s="1"/>
  <c r="Z84" i="9"/>
  <c r="AA84" i="9"/>
  <c r="AR84" i="9" s="1"/>
  <c r="AB84" i="9"/>
  <c r="AC84" i="9"/>
  <c r="AT84" i="9" s="1"/>
  <c r="AD84" i="9"/>
  <c r="AE84" i="9"/>
  <c r="AV84" i="9" s="1"/>
  <c r="AF84" i="9"/>
  <c r="AW84" i="9" s="1"/>
  <c r="AG84" i="9"/>
  <c r="AX84" i="9" s="1"/>
  <c r="AH84" i="9"/>
  <c r="AY84" i="9" s="1"/>
  <c r="AI84" i="9"/>
  <c r="AZ84" i="9" s="1"/>
  <c r="AJ84" i="9"/>
  <c r="AK84" i="9"/>
  <c r="AL84" i="9"/>
  <c r="BC84" i="9" s="1"/>
  <c r="AM84" i="9"/>
  <c r="BD84" i="9" s="1"/>
  <c r="AU84" i="9"/>
  <c r="O394" i="17"/>
  <c r="O395" i="17"/>
  <c r="O396" i="17"/>
  <c r="O397" i="17"/>
  <c r="N393" i="17"/>
  <c r="O393" i="17" s="1"/>
  <c r="M167" i="17"/>
  <c r="Q170" i="17"/>
  <c r="M170" i="17"/>
  <c r="Q169" i="17"/>
  <c r="M169" i="17"/>
  <c r="Q168" i="17"/>
  <c r="M168" i="17"/>
  <c r="Q167" i="17"/>
  <c r="Q166" i="17"/>
  <c r="M166" i="17"/>
  <c r="G85" i="19"/>
  <c r="G61" i="19"/>
  <c r="G43" i="19"/>
  <c r="AW84" i="16" l="1"/>
  <c r="BL84" i="16"/>
  <c r="AZ84" i="16"/>
  <c r="AR84" i="16"/>
  <c r="AX84" i="16"/>
  <c r="AT84" i="16"/>
  <c r="AV84" i="16"/>
  <c r="BL84" i="9"/>
  <c r="AP84" i="16"/>
  <c r="AY84" i="16"/>
  <c r="AU84" i="16"/>
  <c r="BL84" i="2"/>
  <c r="BF84" i="16"/>
  <c r="BJ84" i="9"/>
  <c r="BJ84" i="2"/>
  <c r="BF84" i="9"/>
  <c r="BF84" i="2"/>
  <c r="H84" i="11"/>
  <c r="H81" i="11"/>
  <c r="H29" i="8"/>
  <c r="G84" i="11"/>
  <c r="G81" i="11"/>
  <c r="F84" i="11" l="1"/>
  <c r="G44" i="16"/>
  <c r="F81" i="11"/>
  <c r="G42" i="16"/>
  <c r="BJ84" i="16"/>
  <c r="G87" i="19"/>
  <c r="AT20" i="20"/>
  <c r="AT19" i="20"/>
  <c r="G80" i="19" s="1"/>
  <c r="BF5" i="2" l="1"/>
  <c r="F129" i="11" l="1"/>
  <c r="F128" i="11"/>
  <c r="F127" i="11"/>
  <c r="F88" i="11"/>
  <c r="F78" i="11"/>
  <c r="G141" i="11"/>
  <c r="G140" i="11"/>
  <c r="G136" i="11"/>
  <c r="G135" i="11"/>
  <c r="G118" i="11"/>
  <c r="G116" i="11"/>
  <c r="G122" i="11"/>
  <c r="G110" i="11"/>
  <c r="G78" i="11"/>
  <c r="G76" i="11"/>
  <c r="G66" i="11"/>
  <c r="G65" i="11"/>
  <c r="G45" i="11"/>
  <c r="G40" i="11"/>
  <c r="G39" i="11"/>
  <c r="G34" i="11"/>
  <c r="G43" i="8"/>
  <c r="G9" i="11"/>
  <c r="H141" i="11"/>
  <c r="H140" i="11"/>
  <c r="H136" i="11"/>
  <c r="H135" i="11"/>
  <c r="H129" i="11"/>
  <c r="H128" i="11"/>
  <c r="H127" i="11"/>
  <c r="H118" i="11"/>
  <c r="H116" i="11"/>
  <c r="H122" i="11"/>
  <c r="BO58" i="20"/>
  <c r="H110" i="11"/>
  <c r="H88" i="11"/>
  <c r="H78" i="11"/>
  <c r="H76" i="11"/>
  <c r="H66" i="11"/>
  <c r="H65" i="11"/>
  <c r="H47" i="11"/>
  <c r="H45" i="11"/>
  <c r="H40" i="11"/>
  <c r="H39" i="11"/>
  <c r="H34" i="11"/>
  <c r="G43" i="9"/>
  <c r="H9" i="11"/>
  <c r="G45" i="2"/>
  <c r="G43" i="2"/>
  <c r="U25" i="9" l="1"/>
  <c r="G18" i="16"/>
  <c r="G31" i="16"/>
  <c r="G47" i="16"/>
  <c r="Q50" i="16"/>
  <c r="S70" i="16"/>
  <c r="G113" i="16"/>
  <c r="G43" i="16"/>
  <c r="G128" i="11"/>
  <c r="U75" i="16"/>
  <c r="V51" i="16"/>
  <c r="G127" i="11"/>
  <c r="G75" i="16"/>
  <c r="U24" i="16"/>
  <c r="F39" i="11"/>
  <c r="G38" i="16"/>
  <c r="R39" i="16"/>
  <c r="G48" i="16"/>
  <c r="F76" i="11"/>
  <c r="G50" i="16"/>
  <c r="G70" i="16"/>
  <c r="F118" i="11"/>
  <c r="T74" i="16"/>
  <c r="T94" i="16"/>
  <c r="F40" i="11"/>
  <c r="T38" i="16"/>
  <c r="F122" i="11"/>
  <c r="G73" i="16"/>
  <c r="G88" i="11"/>
  <c r="G51" i="16"/>
  <c r="G129" i="11"/>
  <c r="V75" i="16"/>
  <c r="F9" i="11"/>
  <c r="G22" i="16"/>
  <c r="F30" i="11"/>
  <c r="G33" i="16"/>
  <c r="F45" i="11"/>
  <c r="G39" i="16"/>
  <c r="S47" i="16"/>
  <c r="P48" i="16"/>
  <c r="R50" i="16"/>
  <c r="T70" i="16"/>
  <c r="F116" i="11"/>
  <c r="G74" i="16"/>
  <c r="G94" i="16"/>
  <c r="F140" i="11"/>
  <c r="S113" i="16"/>
  <c r="U51" i="16"/>
  <c r="G24" i="16"/>
  <c r="F34" i="11"/>
  <c r="G37" i="16"/>
  <c r="Q39" i="16"/>
  <c r="T47" i="16"/>
  <c r="T48" i="16"/>
  <c r="F110" i="11"/>
  <c r="G71" i="16"/>
  <c r="P74" i="16"/>
  <c r="F135" i="11"/>
  <c r="S94" i="16"/>
  <c r="T113" i="16"/>
  <c r="F6" i="11"/>
  <c r="G21" i="2"/>
  <c r="G6" i="11"/>
  <c r="G21" i="8"/>
  <c r="H6" i="11"/>
  <c r="G21" i="9"/>
  <c r="F136" i="11"/>
  <c r="F66" i="11"/>
  <c r="F141" i="11"/>
  <c r="G45" i="9"/>
  <c r="H30" i="11"/>
  <c r="H295" i="17"/>
  <c r="H253" i="17"/>
  <c r="H239" i="17"/>
  <c r="H288" i="17"/>
  <c r="H274" i="17"/>
  <c r="H260" i="17"/>
  <c r="H246" i="17"/>
  <c r="H232" i="17"/>
  <c r="H214" i="17"/>
  <c r="H200" i="17"/>
  <c r="H186" i="17"/>
  <c r="H281" i="17"/>
  <c r="H267" i="17"/>
  <c r="H207" i="17"/>
  <c r="H221" i="17"/>
  <c r="H134" i="11"/>
  <c r="H193" i="17"/>
  <c r="G100" i="17"/>
  <c r="F174" i="17"/>
  <c r="F166" i="17"/>
  <c r="F158" i="17"/>
  <c r="F150" i="17"/>
  <c r="F142" i="17"/>
  <c r="F134" i="17"/>
  <c r="F126" i="17"/>
  <c r="N126" i="17" s="1"/>
  <c r="F118" i="17"/>
  <c r="F110" i="17"/>
  <c r="F104" i="11"/>
  <c r="G25" i="9"/>
  <c r="H14" i="11"/>
  <c r="G98" i="17"/>
  <c r="G70" i="11"/>
  <c r="F90" i="17"/>
  <c r="N90" i="17" s="1"/>
  <c r="F82" i="17"/>
  <c r="N82" i="17" s="1"/>
  <c r="F74" i="17"/>
  <c r="N74" i="17" s="1"/>
  <c r="F66" i="17"/>
  <c r="N66" i="17" s="1"/>
  <c r="F58" i="17"/>
  <c r="N58" i="17" s="1"/>
  <c r="F42" i="17"/>
  <c r="N42" i="17" s="1"/>
  <c r="F34" i="17"/>
  <c r="N34" i="17" s="1"/>
  <c r="F50" i="17"/>
  <c r="N50" i="17" s="1"/>
  <c r="F26" i="17"/>
  <c r="N26" i="17" s="1"/>
  <c r="F18" i="17"/>
  <c r="N18" i="17" s="1"/>
  <c r="F10" i="17"/>
  <c r="N10" i="17" s="1"/>
  <c r="F64" i="11"/>
  <c r="F105" i="11"/>
  <c r="F167" i="17"/>
  <c r="F387" i="17"/>
  <c r="F380" i="17"/>
  <c r="F373" i="17"/>
  <c r="F366" i="17"/>
  <c r="F359" i="17"/>
  <c r="F352" i="17"/>
  <c r="F345" i="17"/>
  <c r="F338" i="17"/>
  <c r="F331" i="17"/>
  <c r="F320" i="17"/>
  <c r="F313" i="17"/>
  <c r="F306" i="17"/>
  <c r="F139" i="11"/>
  <c r="H70" i="11"/>
  <c r="H98" i="17"/>
  <c r="H104" i="11"/>
  <c r="H166" i="17"/>
  <c r="T166" i="17" s="1"/>
  <c r="H150" i="17"/>
  <c r="H134" i="17"/>
  <c r="H118" i="17"/>
  <c r="H142" i="17"/>
  <c r="H158" i="17"/>
  <c r="H174" i="17"/>
  <c r="H110" i="17"/>
  <c r="H126" i="17"/>
  <c r="G90" i="17"/>
  <c r="G82" i="17"/>
  <c r="G74" i="17"/>
  <c r="G66" i="17"/>
  <c r="G58" i="17"/>
  <c r="G42" i="17"/>
  <c r="G34" i="17"/>
  <c r="G50" i="17"/>
  <c r="G26" i="17"/>
  <c r="G18" i="17"/>
  <c r="G10" i="17"/>
  <c r="G64" i="11"/>
  <c r="AU35" i="20"/>
  <c r="G101" i="17"/>
  <c r="G167" i="17"/>
  <c r="S167" i="17" s="1"/>
  <c r="S84" i="8" s="1"/>
  <c r="G105" i="11"/>
  <c r="G387" i="17"/>
  <c r="K387" i="17" s="1"/>
  <c r="G380" i="17"/>
  <c r="K380" i="17" s="1"/>
  <c r="G373" i="17"/>
  <c r="K373" i="17" s="1"/>
  <c r="G366" i="17"/>
  <c r="K366" i="17" s="1"/>
  <c r="G359" i="17"/>
  <c r="K359" i="17" s="1"/>
  <c r="G352" i="17"/>
  <c r="K352" i="17" s="1"/>
  <c r="G345" i="17"/>
  <c r="K345" i="17" s="1"/>
  <c r="G338" i="17"/>
  <c r="K338" i="17" s="1"/>
  <c r="G331" i="17"/>
  <c r="K331" i="17" s="1"/>
  <c r="G320" i="17"/>
  <c r="G313" i="17"/>
  <c r="G306" i="17"/>
  <c r="G139" i="11"/>
  <c r="F99" i="17"/>
  <c r="F106" i="11"/>
  <c r="F168" i="17"/>
  <c r="F295" i="17"/>
  <c r="F288" i="17"/>
  <c r="F281" i="17"/>
  <c r="F274" i="17"/>
  <c r="F267" i="17"/>
  <c r="F260" i="17"/>
  <c r="F253" i="17"/>
  <c r="F246" i="17"/>
  <c r="F239" i="17"/>
  <c r="F232" i="17"/>
  <c r="F221" i="17"/>
  <c r="F214" i="17"/>
  <c r="F207" i="17"/>
  <c r="F200" i="17"/>
  <c r="F193" i="17"/>
  <c r="F186" i="17"/>
  <c r="F134" i="11"/>
  <c r="H99" i="17"/>
  <c r="H168" i="17"/>
  <c r="T168" i="17" s="1"/>
  <c r="T84" i="9" s="1"/>
  <c r="H106" i="11"/>
  <c r="G25" i="8"/>
  <c r="G14" i="11"/>
  <c r="F98" i="17"/>
  <c r="N98" i="17" s="1"/>
  <c r="F70" i="11"/>
  <c r="H100" i="17"/>
  <c r="G174" i="17"/>
  <c r="K174" i="17" s="1"/>
  <c r="G166" i="17"/>
  <c r="S166" i="17" s="1"/>
  <c r="G84" i="8" s="1"/>
  <c r="G158" i="17"/>
  <c r="K158" i="17" s="1"/>
  <c r="G150" i="17"/>
  <c r="K150" i="17" s="1"/>
  <c r="G142" i="17"/>
  <c r="K142" i="17" s="1"/>
  <c r="G134" i="17"/>
  <c r="K134" i="17" s="1"/>
  <c r="G126" i="17"/>
  <c r="G118" i="17"/>
  <c r="K118" i="17" s="1"/>
  <c r="G110" i="17"/>
  <c r="K110" i="17" s="1"/>
  <c r="G104" i="11"/>
  <c r="H64" i="11"/>
  <c r="H82" i="17"/>
  <c r="H66" i="17"/>
  <c r="H42" i="17"/>
  <c r="H50" i="17"/>
  <c r="H18" i="17"/>
  <c r="H74" i="17"/>
  <c r="H10" i="17"/>
  <c r="H90" i="17"/>
  <c r="H26" i="17"/>
  <c r="H34" i="17"/>
  <c r="H58" i="17"/>
  <c r="BO35" i="20"/>
  <c r="H101" i="17"/>
  <c r="H105" i="11"/>
  <c r="H167" i="17"/>
  <c r="T167" i="17" s="1"/>
  <c r="S84" i="9" s="1"/>
  <c r="H139" i="11"/>
  <c r="H387" i="17"/>
  <c r="H359" i="17"/>
  <c r="H331" i="17"/>
  <c r="H380" i="17"/>
  <c r="H366" i="17"/>
  <c r="H352" i="17"/>
  <c r="H338" i="17"/>
  <c r="H320" i="17"/>
  <c r="H306" i="17"/>
  <c r="H373" i="17"/>
  <c r="H345" i="17"/>
  <c r="H313" i="17"/>
  <c r="G45" i="8"/>
  <c r="G30" i="11"/>
  <c r="G99" i="17"/>
  <c r="G168" i="17"/>
  <c r="S168" i="17" s="1"/>
  <c r="T84" i="8" s="1"/>
  <c r="G106" i="11"/>
  <c r="G295" i="17"/>
  <c r="K295" i="17" s="1"/>
  <c r="G288" i="17"/>
  <c r="K288" i="17" s="1"/>
  <c r="G281" i="17"/>
  <c r="K281" i="17" s="1"/>
  <c r="G274" i="17"/>
  <c r="K274" i="17" s="1"/>
  <c r="G267" i="17"/>
  <c r="G260" i="17"/>
  <c r="G253" i="17"/>
  <c r="K253" i="17" s="1"/>
  <c r="G246" i="17"/>
  <c r="K246" i="17" s="1"/>
  <c r="G239" i="17"/>
  <c r="K239" i="17" s="1"/>
  <c r="G232" i="17"/>
  <c r="K232" i="17" s="1"/>
  <c r="G221" i="17"/>
  <c r="K221" i="17" s="1"/>
  <c r="G214" i="17"/>
  <c r="G207" i="17"/>
  <c r="G200" i="17"/>
  <c r="K200" i="17" s="1"/>
  <c r="G193" i="17"/>
  <c r="G186" i="17"/>
  <c r="G134" i="11"/>
  <c r="G25" i="2"/>
  <c r="F14" i="11"/>
  <c r="F100" i="17"/>
  <c r="G34" i="8"/>
  <c r="G19" i="9"/>
  <c r="G32" i="9"/>
  <c r="G34" i="9"/>
  <c r="G23" i="9"/>
  <c r="G19" i="8"/>
  <c r="G32" i="8"/>
  <c r="G23" i="8"/>
  <c r="U25" i="8"/>
  <c r="G19" i="2"/>
  <c r="G19" i="16" s="1"/>
  <c r="G32" i="2"/>
  <c r="G32" i="16" s="1"/>
  <c r="G23" i="2"/>
  <c r="G34" i="2"/>
  <c r="U25" i="2"/>
  <c r="AS69" i="20" l="1"/>
  <c r="AO84" i="8"/>
  <c r="BH84" i="8" s="1"/>
  <c r="U25" i="16"/>
  <c r="AY69" i="20"/>
  <c r="BB84" i="8"/>
  <c r="AX69" i="20"/>
  <c r="BA84" i="8"/>
  <c r="G34" i="16"/>
  <c r="G25" i="16"/>
  <c r="G45" i="16"/>
  <c r="G23" i="16"/>
  <c r="G21" i="16"/>
  <c r="AO21" i="8"/>
  <c r="BH21" i="8" s="1"/>
  <c r="AS14" i="20"/>
  <c r="BM14" i="20"/>
  <c r="AO21" i="9"/>
  <c r="BH21" i="9" s="1"/>
  <c r="Y14" i="20"/>
  <c r="AO21" i="2"/>
  <c r="BH21" i="2" s="1"/>
  <c r="BB84" i="9"/>
  <c r="BS69" i="20"/>
  <c r="BA84" i="9"/>
  <c r="BR69" i="20"/>
  <c r="G84" i="9"/>
  <c r="BM69" i="20" s="1"/>
  <c r="R168" i="17"/>
  <c r="I168" i="17"/>
  <c r="R166" i="17"/>
  <c r="I166" i="17"/>
  <c r="R167" i="17"/>
  <c r="I167" i="17"/>
  <c r="I75" i="3"/>
  <c r="K75" i="3"/>
  <c r="I51" i="3"/>
  <c r="K51" i="3"/>
  <c r="BK32" i="20"/>
  <c r="BK31" i="20"/>
  <c r="AQ32" i="20"/>
  <c r="AQ31" i="20"/>
  <c r="W32" i="20"/>
  <c r="W31" i="20"/>
  <c r="Q102" i="17"/>
  <c r="M102" i="17"/>
  <c r="Q101" i="17"/>
  <c r="M101" i="17"/>
  <c r="Q100" i="17"/>
  <c r="M100" i="17"/>
  <c r="T100" i="17"/>
  <c r="T64" i="9" s="1"/>
  <c r="S100" i="17"/>
  <c r="T64" i="8" s="1"/>
  <c r="R100" i="17"/>
  <c r="Q99" i="17"/>
  <c r="M99" i="17"/>
  <c r="T99" i="17"/>
  <c r="P64" i="9" s="1"/>
  <c r="S99" i="17"/>
  <c r="P64" i="8" s="1"/>
  <c r="R99" i="17"/>
  <c r="P64" i="2" s="1"/>
  <c r="T98" i="17"/>
  <c r="G64" i="9" s="1"/>
  <c r="Q98" i="17"/>
  <c r="M98" i="17"/>
  <c r="S98" i="17"/>
  <c r="G64" i="8" s="1"/>
  <c r="R98" i="17"/>
  <c r="G64" i="2" s="1"/>
  <c r="Q94" i="17"/>
  <c r="M94" i="17"/>
  <c r="Q93" i="17"/>
  <c r="M93" i="17"/>
  <c r="Q92" i="17"/>
  <c r="M92" i="17"/>
  <c r="H92" i="17"/>
  <c r="T92" i="17" s="1"/>
  <c r="T63" i="9" s="1"/>
  <c r="G92" i="17"/>
  <c r="S92" i="17" s="1"/>
  <c r="T63" i="8" s="1"/>
  <c r="F92" i="17"/>
  <c r="R92" i="17" s="1"/>
  <c r="T63" i="2" s="1"/>
  <c r="Q91" i="17"/>
  <c r="M91" i="17"/>
  <c r="H91" i="17"/>
  <c r="T91" i="17" s="1"/>
  <c r="S63" i="9" s="1"/>
  <c r="G91" i="17"/>
  <c r="S91" i="17" s="1"/>
  <c r="S63" i="8" s="1"/>
  <c r="F91" i="17"/>
  <c r="R91" i="17" s="1"/>
  <c r="Q90" i="17"/>
  <c r="M90" i="17"/>
  <c r="T90" i="17"/>
  <c r="G63" i="9" s="1"/>
  <c r="S90" i="17"/>
  <c r="G63" i="8" s="1"/>
  <c r="R90" i="17"/>
  <c r="G63" i="2" s="1"/>
  <c r="Q86" i="17"/>
  <c r="M86" i="17"/>
  <c r="Q85" i="17"/>
  <c r="M85" i="17"/>
  <c r="Q84" i="17"/>
  <c r="M84" i="17"/>
  <c r="H84" i="17"/>
  <c r="T84" i="17" s="1"/>
  <c r="T62" i="9" s="1"/>
  <c r="G84" i="17"/>
  <c r="S84" i="17" s="1"/>
  <c r="T62" i="8" s="1"/>
  <c r="F84" i="17"/>
  <c r="R84" i="17" s="1"/>
  <c r="T62" i="2" s="1"/>
  <c r="Q83" i="17"/>
  <c r="M83" i="17"/>
  <c r="H83" i="17"/>
  <c r="T83" i="17" s="1"/>
  <c r="S62" i="9" s="1"/>
  <c r="G83" i="17"/>
  <c r="S83" i="17" s="1"/>
  <c r="S62" i="8" s="1"/>
  <c r="F83" i="17"/>
  <c r="R83" i="17" s="1"/>
  <c r="T82" i="17"/>
  <c r="G62" i="9" s="1"/>
  <c r="S82" i="17"/>
  <c r="G62" i="8" s="1"/>
  <c r="Q82" i="17"/>
  <c r="M82" i="17"/>
  <c r="R82" i="17"/>
  <c r="G62" i="2" s="1"/>
  <c r="Q78" i="17"/>
  <c r="M78" i="17"/>
  <c r="Q77" i="17"/>
  <c r="M77" i="17"/>
  <c r="Q76" i="17"/>
  <c r="M76" i="17"/>
  <c r="H76" i="17"/>
  <c r="T76" i="17" s="1"/>
  <c r="T61" i="9" s="1"/>
  <c r="G76" i="17"/>
  <c r="S76" i="17" s="1"/>
  <c r="T61" i="8" s="1"/>
  <c r="F76" i="17"/>
  <c r="R76" i="17" s="1"/>
  <c r="Q75" i="17"/>
  <c r="M75" i="17"/>
  <c r="H75" i="17"/>
  <c r="T75" i="17" s="1"/>
  <c r="S61" i="9" s="1"/>
  <c r="G75" i="17"/>
  <c r="S75" i="17" s="1"/>
  <c r="S61" i="8" s="1"/>
  <c r="F75" i="17"/>
  <c r="R75" i="17" s="1"/>
  <c r="S74" i="17"/>
  <c r="G61" i="8" s="1"/>
  <c r="Q74" i="17"/>
  <c r="M74" i="17"/>
  <c r="T74" i="17"/>
  <c r="G61" i="9" s="1"/>
  <c r="R74" i="17"/>
  <c r="G61" i="2" s="1"/>
  <c r="Q70" i="17"/>
  <c r="M70" i="17"/>
  <c r="Q69" i="17"/>
  <c r="M69" i="17"/>
  <c r="Q68" i="17"/>
  <c r="M68" i="17"/>
  <c r="H68" i="17"/>
  <c r="T68" i="17" s="1"/>
  <c r="T60" i="9" s="1"/>
  <c r="G68" i="17"/>
  <c r="S68" i="17" s="1"/>
  <c r="T60" i="8" s="1"/>
  <c r="F68" i="17"/>
  <c r="R68" i="17" s="1"/>
  <c r="Q67" i="17"/>
  <c r="M67" i="17"/>
  <c r="H67" i="17"/>
  <c r="T67" i="17" s="1"/>
  <c r="S60" i="9" s="1"/>
  <c r="G67" i="17"/>
  <c r="S67" i="17" s="1"/>
  <c r="S60" i="8" s="1"/>
  <c r="F67" i="17"/>
  <c r="R67" i="17" s="1"/>
  <c r="T66" i="17"/>
  <c r="G60" i="9" s="1"/>
  <c r="Q66" i="17"/>
  <c r="M66" i="17"/>
  <c r="S66" i="17"/>
  <c r="G60" i="8" s="1"/>
  <c r="R66" i="17"/>
  <c r="G60" i="2" s="1"/>
  <c r="Q62" i="17"/>
  <c r="M62" i="17"/>
  <c r="Q61" i="17"/>
  <c r="M61" i="17"/>
  <c r="Q60" i="17"/>
  <c r="M60" i="17"/>
  <c r="H60" i="17"/>
  <c r="T60" i="17" s="1"/>
  <c r="T59" i="9" s="1"/>
  <c r="G60" i="17"/>
  <c r="S60" i="17" s="1"/>
  <c r="T59" i="8" s="1"/>
  <c r="F60" i="17"/>
  <c r="R60" i="17" s="1"/>
  <c r="Q59" i="17"/>
  <c r="M59" i="17"/>
  <c r="H59" i="17"/>
  <c r="T59" i="17" s="1"/>
  <c r="S59" i="9" s="1"/>
  <c r="G59" i="17"/>
  <c r="S59" i="17" s="1"/>
  <c r="S59" i="8" s="1"/>
  <c r="F59" i="17"/>
  <c r="R59" i="17" s="1"/>
  <c r="Q58" i="17"/>
  <c r="M58" i="17"/>
  <c r="T58" i="17"/>
  <c r="G59" i="9" s="1"/>
  <c r="S58" i="17"/>
  <c r="G59" i="8" s="1"/>
  <c r="R58" i="17"/>
  <c r="G59" i="2" s="1"/>
  <c r="Q46" i="17"/>
  <c r="M46" i="17"/>
  <c r="Q45" i="17"/>
  <c r="M45" i="17"/>
  <c r="Q44" i="17"/>
  <c r="M44" i="17"/>
  <c r="H44" i="17"/>
  <c r="T44" i="17" s="1"/>
  <c r="T57" i="9" s="1"/>
  <c r="G44" i="17"/>
  <c r="S44" i="17" s="1"/>
  <c r="T57" i="8" s="1"/>
  <c r="F44" i="17"/>
  <c r="Q43" i="17"/>
  <c r="M43" i="17"/>
  <c r="H43" i="17"/>
  <c r="T43" i="17" s="1"/>
  <c r="S57" i="9" s="1"/>
  <c r="G43" i="17"/>
  <c r="S43" i="17" s="1"/>
  <c r="S57" i="8" s="1"/>
  <c r="F43" i="17"/>
  <c r="T42" i="17"/>
  <c r="G57" i="9" s="1"/>
  <c r="S42" i="17"/>
  <c r="G57" i="8" s="1"/>
  <c r="Q42" i="17"/>
  <c r="M42" i="17"/>
  <c r="I42" i="17"/>
  <c r="Q38" i="17"/>
  <c r="M38" i="17"/>
  <c r="Q37" i="17"/>
  <c r="M37" i="17"/>
  <c r="Q36" i="17"/>
  <c r="M36" i="17"/>
  <c r="H36" i="17"/>
  <c r="T36" i="17" s="1"/>
  <c r="T56" i="9" s="1"/>
  <c r="G36" i="17"/>
  <c r="S36" i="17" s="1"/>
  <c r="T56" i="8" s="1"/>
  <c r="F36" i="17"/>
  <c r="R36" i="17" s="1"/>
  <c r="Q35" i="17"/>
  <c r="M35" i="17"/>
  <c r="H35" i="17"/>
  <c r="T35" i="17" s="1"/>
  <c r="S56" i="9" s="1"/>
  <c r="G35" i="17"/>
  <c r="S35" i="17" s="1"/>
  <c r="S56" i="8" s="1"/>
  <c r="F35" i="17"/>
  <c r="R35" i="17" s="1"/>
  <c r="T34" i="17"/>
  <c r="G56" i="9" s="1"/>
  <c r="S34" i="17"/>
  <c r="G56" i="8" s="1"/>
  <c r="Q34" i="17"/>
  <c r="M34" i="17"/>
  <c r="R34" i="17"/>
  <c r="G56" i="2" s="1"/>
  <c r="Q54" i="17"/>
  <c r="M54" i="17"/>
  <c r="Q53" i="17"/>
  <c r="M53" i="17"/>
  <c r="Q52" i="17"/>
  <c r="M52" i="17"/>
  <c r="H52" i="17"/>
  <c r="T52" i="17" s="1"/>
  <c r="T58" i="9" s="1"/>
  <c r="G52" i="17"/>
  <c r="S52" i="17" s="1"/>
  <c r="T58" i="8" s="1"/>
  <c r="F52" i="17"/>
  <c r="Q51" i="17"/>
  <c r="M51" i="17"/>
  <c r="H51" i="17"/>
  <c r="T51" i="17" s="1"/>
  <c r="S58" i="9" s="1"/>
  <c r="G51" i="17"/>
  <c r="S51" i="17" s="1"/>
  <c r="S58" i="8" s="1"/>
  <c r="F51" i="17"/>
  <c r="S50" i="17"/>
  <c r="G58" i="8" s="1"/>
  <c r="R50" i="17"/>
  <c r="G58" i="2" s="1"/>
  <c r="Q50" i="17"/>
  <c r="M50" i="17"/>
  <c r="T50" i="17"/>
  <c r="G58" i="9" s="1"/>
  <c r="I50" i="17"/>
  <c r="Q30" i="17"/>
  <c r="M30" i="17"/>
  <c r="Q29" i="17"/>
  <c r="M29" i="17"/>
  <c r="Q28" i="17"/>
  <c r="M28" i="17"/>
  <c r="H28" i="17"/>
  <c r="T28" i="17" s="1"/>
  <c r="T55" i="9" s="1"/>
  <c r="G28" i="17"/>
  <c r="S28" i="17" s="1"/>
  <c r="T55" i="8" s="1"/>
  <c r="F28" i="17"/>
  <c r="R28" i="17" s="1"/>
  <c r="Q27" i="17"/>
  <c r="M27" i="17"/>
  <c r="H27" i="17"/>
  <c r="T27" i="17" s="1"/>
  <c r="S55" i="9" s="1"/>
  <c r="G27" i="17"/>
  <c r="S27" i="17" s="1"/>
  <c r="S55" i="8" s="1"/>
  <c r="F27" i="17"/>
  <c r="R27" i="17" s="1"/>
  <c r="Q26" i="17"/>
  <c r="M26" i="17"/>
  <c r="T26" i="17"/>
  <c r="G55" i="9" s="1"/>
  <c r="S26" i="17"/>
  <c r="G55" i="8" s="1"/>
  <c r="R26" i="17"/>
  <c r="G55" i="2" s="1"/>
  <c r="Q22" i="17"/>
  <c r="M22" i="17"/>
  <c r="Q21" i="17"/>
  <c r="M21" i="17"/>
  <c r="Q20" i="17"/>
  <c r="M20" i="17"/>
  <c r="H20" i="17"/>
  <c r="T20" i="17" s="1"/>
  <c r="T54" i="9" s="1"/>
  <c r="G20" i="17"/>
  <c r="S20" i="17" s="1"/>
  <c r="T54" i="8" s="1"/>
  <c r="F20" i="17"/>
  <c r="R20" i="17" s="1"/>
  <c r="Q19" i="17"/>
  <c r="M19" i="17"/>
  <c r="H19" i="17"/>
  <c r="T19" i="17" s="1"/>
  <c r="S54" i="9" s="1"/>
  <c r="G19" i="17"/>
  <c r="S19" i="17" s="1"/>
  <c r="S54" i="8" s="1"/>
  <c r="F19" i="17"/>
  <c r="R19" i="17" s="1"/>
  <c r="S18" i="17"/>
  <c r="G54" i="8" s="1"/>
  <c r="Q18" i="17"/>
  <c r="M18" i="17"/>
  <c r="T18" i="17"/>
  <c r="G54" i="9" s="1"/>
  <c r="R18" i="17"/>
  <c r="G54" i="2" s="1"/>
  <c r="H12" i="17"/>
  <c r="H11" i="17"/>
  <c r="G12" i="17"/>
  <c r="G11" i="17"/>
  <c r="Q13" i="17"/>
  <c r="M13" i="17"/>
  <c r="F12" i="17"/>
  <c r="F11" i="17"/>
  <c r="BK84" i="8" l="1"/>
  <c r="P64" i="16"/>
  <c r="G54" i="16"/>
  <c r="G55" i="16"/>
  <c r="G58" i="16"/>
  <c r="G56" i="16"/>
  <c r="G59" i="16"/>
  <c r="G60" i="16"/>
  <c r="G61" i="16"/>
  <c r="G62" i="16"/>
  <c r="G63" i="16"/>
  <c r="G64" i="16"/>
  <c r="T62" i="16"/>
  <c r="T63" i="16"/>
  <c r="BK84" i="9"/>
  <c r="AO84" i="9"/>
  <c r="BH84" i="9" s="1"/>
  <c r="U167" i="17"/>
  <c r="S84" i="2"/>
  <c r="U168" i="17"/>
  <c r="T84" i="2"/>
  <c r="U166" i="17"/>
  <c r="G84" i="2"/>
  <c r="I43" i="17"/>
  <c r="AE47" i="20"/>
  <c r="AE48" i="20"/>
  <c r="I52" i="17"/>
  <c r="I51" i="17"/>
  <c r="R52" i="17"/>
  <c r="T54" i="2"/>
  <c r="T54" i="16" s="1"/>
  <c r="R51" i="17"/>
  <c r="T59" i="2"/>
  <c r="T59" i="16" s="1"/>
  <c r="T64" i="2"/>
  <c r="T64" i="16" s="1"/>
  <c r="S56" i="2"/>
  <c r="S56" i="16" s="1"/>
  <c r="R43" i="17"/>
  <c r="U59" i="17"/>
  <c r="BM40" i="20"/>
  <c r="T56" i="2"/>
  <c r="T56" i="16" s="1"/>
  <c r="S63" i="2"/>
  <c r="S63" i="16" s="1"/>
  <c r="S54" i="2"/>
  <c r="S54" i="16" s="1"/>
  <c r="T55" i="2"/>
  <c r="T55" i="16" s="1"/>
  <c r="U27" i="17"/>
  <c r="U67" i="17"/>
  <c r="U68" i="17"/>
  <c r="U75" i="17"/>
  <c r="U76" i="17"/>
  <c r="I44" i="17"/>
  <c r="U83" i="17"/>
  <c r="U26" i="17"/>
  <c r="U84" i="17"/>
  <c r="U82" i="17"/>
  <c r="U50" i="17"/>
  <c r="U66" i="17"/>
  <c r="U90" i="17"/>
  <c r="U74" i="17"/>
  <c r="R44" i="17"/>
  <c r="T60" i="2"/>
  <c r="T60" i="16" s="1"/>
  <c r="T61" i="2"/>
  <c r="T61" i="16" s="1"/>
  <c r="S60" i="2"/>
  <c r="S60" i="16" s="1"/>
  <c r="S62" i="2"/>
  <c r="S62" i="16" s="1"/>
  <c r="I99" i="17"/>
  <c r="S55" i="2"/>
  <c r="S55" i="16" s="1"/>
  <c r="S59" i="2"/>
  <c r="S59" i="16" s="1"/>
  <c r="S61" i="2"/>
  <c r="S61" i="16" s="1"/>
  <c r="I66" i="17"/>
  <c r="Y45" i="20"/>
  <c r="R42" i="17"/>
  <c r="G57" i="2" s="1"/>
  <c r="G57" i="16" s="1"/>
  <c r="U98" i="17"/>
  <c r="U99" i="17"/>
  <c r="U100" i="17"/>
  <c r="I98" i="17"/>
  <c r="I100" i="17"/>
  <c r="U92" i="17"/>
  <c r="U91" i="17"/>
  <c r="I91" i="17"/>
  <c r="I90" i="17"/>
  <c r="I92" i="17"/>
  <c r="I82" i="17"/>
  <c r="I83" i="17"/>
  <c r="I84" i="17"/>
  <c r="I75" i="17"/>
  <c r="I76" i="17"/>
  <c r="I74" i="17"/>
  <c r="I67" i="17"/>
  <c r="I68" i="17"/>
  <c r="U58" i="17"/>
  <c r="U60" i="17"/>
  <c r="I59" i="17"/>
  <c r="I60" i="17"/>
  <c r="I58" i="17"/>
  <c r="U34" i="17"/>
  <c r="U35" i="17"/>
  <c r="U36" i="17"/>
  <c r="I34" i="17"/>
  <c r="I35" i="17"/>
  <c r="I36" i="17"/>
  <c r="U28" i="17"/>
  <c r="I26" i="17"/>
  <c r="I27" i="17"/>
  <c r="I28" i="17"/>
  <c r="U18" i="17"/>
  <c r="U19" i="17"/>
  <c r="U20" i="17"/>
  <c r="I18" i="17"/>
  <c r="I20" i="17"/>
  <c r="I19" i="17"/>
  <c r="AE69" i="20" l="1"/>
  <c r="T84" i="16"/>
  <c r="Y69" i="20"/>
  <c r="G84" i="16"/>
  <c r="AD69" i="20"/>
  <c r="S84" i="16"/>
  <c r="BB84" i="2"/>
  <c r="AO84" i="2"/>
  <c r="BH84" i="2" s="1"/>
  <c r="BA84" i="2"/>
  <c r="AS48" i="20"/>
  <c r="AD40" i="20"/>
  <c r="AE46" i="20"/>
  <c r="AY47" i="20"/>
  <c r="BS40" i="20"/>
  <c r="AX39" i="20"/>
  <c r="BM49" i="20"/>
  <c r="Y46" i="20"/>
  <c r="AS44" i="20"/>
  <c r="AE42" i="20"/>
  <c r="AD49" i="20"/>
  <c r="BM47" i="20"/>
  <c r="BR46" i="20"/>
  <c r="AX44" i="20"/>
  <c r="AX42" i="20"/>
  <c r="Y40" i="20"/>
  <c r="BM39" i="20"/>
  <c r="AE49" i="20"/>
  <c r="AY44" i="20"/>
  <c r="AY39" i="20"/>
  <c r="AX47" i="20"/>
  <c r="BS41" i="20"/>
  <c r="AE45" i="20"/>
  <c r="AY48" i="20"/>
  <c r="BS47" i="20"/>
  <c r="AY40" i="20"/>
  <c r="AD39" i="20"/>
  <c r="AX48" i="20"/>
  <c r="BM46" i="20"/>
  <c r="BM44" i="20"/>
  <c r="Y48" i="20"/>
  <c r="AS47" i="20"/>
  <c r="BR44" i="20"/>
  <c r="BR42" i="20"/>
  <c r="AS40" i="20"/>
  <c r="Y41" i="20"/>
  <c r="Y39" i="20"/>
  <c r="AY46" i="20"/>
  <c r="AE44" i="20"/>
  <c r="BS39" i="20"/>
  <c r="AX45" i="20"/>
  <c r="AD46" i="20"/>
  <c r="AD47" i="20"/>
  <c r="BS48" i="20"/>
  <c r="AY45" i="20"/>
  <c r="AE40" i="20"/>
  <c r="AS49" i="20"/>
  <c r="BR48" i="20"/>
  <c r="AS46" i="20"/>
  <c r="BS42" i="20"/>
  <c r="AX49" i="20"/>
  <c r="Y47" i="20"/>
  <c r="AS45" i="20"/>
  <c r="AD42" i="20"/>
  <c r="BM41" i="20"/>
  <c r="AY49" i="20"/>
  <c r="BS46" i="20"/>
  <c r="BM42" i="20"/>
  <c r="AE39" i="20"/>
  <c r="BR45" i="20"/>
  <c r="BR40" i="20"/>
  <c r="AD44" i="20"/>
  <c r="AD45" i="20"/>
  <c r="BS45" i="20"/>
  <c r="BR39" i="20"/>
  <c r="Y49" i="20"/>
  <c r="AD48" i="20"/>
  <c r="Y44" i="20"/>
  <c r="AY42" i="20"/>
  <c r="BR49" i="20"/>
  <c r="BM48" i="20"/>
  <c r="AX46" i="20"/>
  <c r="BM45" i="20"/>
  <c r="AS41" i="20"/>
  <c r="AS42" i="20"/>
  <c r="AS39" i="20"/>
  <c r="BS49" i="20"/>
  <c r="BS44" i="20"/>
  <c r="BR47" i="20"/>
  <c r="Y42" i="20"/>
  <c r="AX40" i="20"/>
  <c r="T58" i="2"/>
  <c r="T58" i="16" s="1"/>
  <c r="U52" i="17"/>
  <c r="S58" i="2"/>
  <c r="S58" i="16" s="1"/>
  <c r="T57" i="2"/>
  <c r="T57" i="16" s="1"/>
  <c r="U51" i="17"/>
  <c r="S57" i="2"/>
  <c r="S57" i="16" s="1"/>
  <c r="U44" i="17"/>
  <c r="U43" i="17"/>
  <c r="U42" i="17"/>
  <c r="AO84" i="16" l="1"/>
  <c r="BH84" i="16" s="1"/>
  <c r="E69" i="20"/>
  <c r="BA84" i="16"/>
  <c r="J69" i="20"/>
  <c r="BK84" i="2"/>
  <c r="BB84" i="16"/>
  <c r="K69" i="20"/>
  <c r="AX41" i="20"/>
  <c r="AX43" i="20"/>
  <c r="AS43" i="20"/>
  <c r="BS43" i="20"/>
  <c r="BR41" i="20"/>
  <c r="Y43" i="20"/>
  <c r="AE43" i="20"/>
  <c r="BM43" i="20"/>
  <c r="AY43" i="20"/>
  <c r="AE41" i="20"/>
  <c r="BR43" i="20"/>
  <c r="AD43" i="20"/>
  <c r="AD41" i="20"/>
  <c r="AY41" i="20"/>
  <c r="X79" i="16"/>
  <c r="Y79" i="16"/>
  <c r="Z79" i="16"/>
  <c r="AA79" i="16"/>
  <c r="AB79" i="16"/>
  <c r="AC79" i="16"/>
  <c r="AD79" i="16"/>
  <c r="AE79" i="16"/>
  <c r="AF79" i="16"/>
  <c r="AG79" i="16"/>
  <c r="AH79" i="16"/>
  <c r="AI79" i="16"/>
  <c r="AJ79" i="16"/>
  <c r="AK79" i="16"/>
  <c r="AL79" i="16"/>
  <c r="AM79" i="16"/>
  <c r="X78" i="9"/>
  <c r="Y78" i="9"/>
  <c r="Z78" i="9"/>
  <c r="AA78" i="9"/>
  <c r="AR78" i="9" s="1"/>
  <c r="AB78" i="9"/>
  <c r="AC78" i="9"/>
  <c r="AT78" i="9" s="1"/>
  <c r="AD78" i="9"/>
  <c r="AU78" i="9" s="1"/>
  <c r="AE78" i="9"/>
  <c r="AV78" i="9" s="1"/>
  <c r="AF78" i="9"/>
  <c r="AW78" i="9" s="1"/>
  <c r="AG78" i="9"/>
  <c r="AX78" i="9" s="1"/>
  <c r="AH78" i="9"/>
  <c r="AY78" i="9" s="1"/>
  <c r="AI78" i="9"/>
  <c r="AZ78" i="9" s="1"/>
  <c r="AJ78" i="9"/>
  <c r="AK78" i="9"/>
  <c r="AL78" i="9"/>
  <c r="BC78" i="9" s="1"/>
  <c r="AM78" i="9"/>
  <c r="BD78" i="9" s="1"/>
  <c r="X79" i="9"/>
  <c r="Y79" i="9"/>
  <c r="Z79" i="9"/>
  <c r="AA79" i="9"/>
  <c r="AR79" i="9" s="1"/>
  <c r="AB79" i="9"/>
  <c r="AC79" i="9"/>
  <c r="AT79" i="9" s="1"/>
  <c r="AD79" i="9"/>
  <c r="AU79" i="9" s="1"/>
  <c r="AE79" i="9"/>
  <c r="AV79" i="9" s="1"/>
  <c r="AF79" i="9"/>
  <c r="AW79" i="9" s="1"/>
  <c r="AG79" i="9"/>
  <c r="AX79" i="9" s="1"/>
  <c r="AH79" i="9"/>
  <c r="AY79" i="9" s="1"/>
  <c r="AI79" i="9"/>
  <c r="AZ79" i="9" s="1"/>
  <c r="AJ79" i="9"/>
  <c r="AK79" i="9"/>
  <c r="AL79" i="9"/>
  <c r="BC79" i="9" s="1"/>
  <c r="AM79" i="9"/>
  <c r="BD79" i="9" s="1"/>
  <c r="X80" i="9"/>
  <c r="Y80" i="9"/>
  <c r="Z80" i="9"/>
  <c r="AA80" i="9"/>
  <c r="AR80" i="9" s="1"/>
  <c r="AB80" i="9"/>
  <c r="AC80" i="9"/>
  <c r="AT80" i="9" s="1"/>
  <c r="AD80" i="9"/>
  <c r="AU80" i="9" s="1"/>
  <c r="AE80" i="9"/>
  <c r="AV80" i="9" s="1"/>
  <c r="AF80" i="9"/>
  <c r="AW80" i="9" s="1"/>
  <c r="AG80" i="9"/>
  <c r="AX80" i="9" s="1"/>
  <c r="AH80" i="9"/>
  <c r="AY80" i="9" s="1"/>
  <c r="AI80" i="9"/>
  <c r="AZ80" i="9" s="1"/>
  <c r="AJ80" i="9"/>
  <c r="AK80" i="9"/>
  <c r="AL80" i="9"/>
  <c r="BC80" i="9" s="1"/>
  <c r="AM80" i="9"/>
  <c r="BD80" i="9" s="1"/>
  <c r="X81" i="9"/>
  <c r="Y81" i="9"/>
  <c r="Z81" i="9"/>
  <c r="AA81" i="9"/>
  <c r="AR81" i="9" s="1"/>
  <c r="AB81" i="9"/>
  <c r="AC81" i="9"/>
  <c r="AT81" i="9" s="1"/>
  <c r="AD81" i="9"/>
  <c r="AU81" i="9" s="1"/>
  <c r="AE81" i="9"/>
  <c r="AV81" i="9" s="1"/>
  <c r="AF81" i="9"/>
  <c r="AW81" i="9" s="1"/>
  <c r="AG81" i="9"/>
  <c r="AX81" i="9" s="1"/>
  <c r="AH81" i="9"/>
  <c r="AY81" i="9" s="1"/>
  <c r="AI81" i="9"/>
  <c r="AZ81" i="9" s="1"/>
  <c r="AJ81" i="9"/>
  <c r="AK81" i="9"/>
  <c r="AL81" i="9"/>
  <c r="BC81" i="9" s="1"/>
  <c r="AM81" i="9"/>
  <c r="BD81" i="9" s="1"/>
  <c r="X79" i="8"/>
  <c r="Y79" i="8"/>
  <c r="Z79" i="8"/>
  <c r="AA79" i="8"/>
  <c r="AR79" i="8" s="1"/>
  <c r="AB79" i="8"/>
  <c r="AC79" i="8"/>
  <c r="AT79" i="8" s="1"/>
  <c r="AD79" i="8"/>
  <c r="AU79" i="8" s="1"/>
  <c r="AE79" i="8"/>
  <c r="AV79" i="8" s="1"/>
  <c r="AF79" i="8"/>
  <c r="AW79" i="8" s="1"/>
  <c r="AG79" i="8"/>
  <c r="AX79" i="8" s="1"/>
  <c r="AH79" i="8"/>
  <c r="AY79" i="8" s="1"/>
  <c r="AI79" i="8"/>
  <c r="AZ79" i="8" s="1"/>
  <c r="AJ79" i="8"/>
  <c r="AK79" i="8"/>
  <c r="AL79" i="8"/>
  <c r="BC79" i="8" s="1"/>
  <c r="AM79" i="8"/>
  <c r="BD79" i="8" s="1"/>
  <c r="X80" i="8"/>
  <c r="Y80" i="8"/>
  <c r="Z80" i="8"/>
  <c r="AA80" i="8"/>
  <c r="AR80" i="8" s="1"/>
  <c r="AB80" i="8"/>
  <c r="AC80" i="8"/>
  <c r="AT80" i="8" s="1"/>
  <c r="AD80" i="8"/>
  <c r="AU80" i="8" s="1"/>
  <c r="AE80" i="8"/>
  <c r="AV80" i="8" s="1"/>
  <c r="AF80" i="8"/>
  <c r="AW80" i="8" s="1"/>
  <c r="AG80" i="8"/>
  <c r="AX80" i="8" s="1"/>
  <c r="AH80" i="8"/>
  <c r="AY80" i="8" s="1"/>
  <c r="AI80" i="8"/>
  <c r="AZ80" i="8" s="1"/>
  <c r="AJ80" i="8"/>
  <c r="AK80" i="8"/>
  <c r="AL80" i="8"/>
  <c r="BC80" i="8" s="1"/>
  <c r="AM80" i="8"/>
  <c r="BD80" i="8" s="1"/>
  <c r="X81" i="8"/>
  <c r="Y81" i="8"/>
  <c r="Z81" i="8"/>
  <c r="AA81" i="8"/>
  <c r="AR81" i="8" s="1"/>
  <c r="AB81" i="8"/>
  <c r="AC81" i="8"/>
  <c r="AT81" i="8" s="1"/>
  <c r="AD81" i="8"/>
  <c r="AU81" i="8" s="1"/>
  <c r="AE81" i="8"/>
  <c r="AV81" i="8" s="1"/>
  <c r="AF81" i="8"/>
  <c r="AW81" i="8" s="1"/>
  <c r="AG81" i="8"/>
  <c r="AX81" i="8" s="1"/>
  <c r="AH81" i="8"/>
  <c r="AY81" i="8" s="1"/>
  <c r="AI81" i="8"/>
  <c r="AZ81" i="8" s="1"/>
  <c r="AJ81" i="8"/>
  <c r="AK81" i="8"/>
  <c r="AL81" i="8"/>
  <c r="BC81" i="8" s="1"/>
  <c r="AM81" i="8"/>
  <c r="BD81" i="8" s="1"/>
  <c r="X82" i="8"/>
  <c r="Y82" i="8"/>
  <c r="Z82" i="8"/>
  <c r="AA82" i="8"/>
  <c r="AR82" i="8" s="1"/>
  <c r="AB82" i="8"/>
  <c r="AC82" i="8"/>
  <c r="AT82" i="8" s="1"/>
  <c r="AD82" i="8"/>
  <c r="AU82" i="8" s="1"/>
  <c r="AE82" i="8"/>
  <c r="AV82" i="8" s="1"/>
  <c r="AF82" i="8"/>
  <c r="AW82" i="8" s="1"/>
  <c r="AG82" i="8"/>
  <c r="AX82" i="8" s="1"/>
  <c r="AH82" i="8"/>
  <c r="AY82" i="8" s="1"/>
  <c r="AI82" i="8"/>
  <c r="AZ82" i="8" s="1"/>
  <c r="AJ82" i="8"/>
  <c r="AK82" i="8"/>
  <c r="AL82" i="8"/>
  <c r="BC82" i="8" s="1"/>
  <c r="AM82" i="8"/>
  <c r="BD82" i="8" s="1"/>
  <c r="X79" i="3"/>
  <c r="AA79" i="3"/>
  <c r="AB79" i="3"/>
  <c r="X80" i="3"/>
  <c r="AA80" i="3"/>
  <c r="AB80" i="3"/>
  <c r="X79" i="2"/>
  <c r="Y79" i="2"/>
  <c r="AP79" i="2" s="1"/>
  <c r="Z79" i="2"/>
  <c r="AA79" i="2"/>
  <c r="AR79" i="2" s="1"/>
  <c r="AB79" i="2"/>
  <c r="AC79" i="2"/>
  <c r="AT79" i="2" s="1"/>
  <c r="AD79" i="2"/>
  <c r="AU79" i="2" s="1"/>
  <c r="AE79" i="2"/>
  <c r="AV79" i="2" s="1"/>
  <c r="AF79" i="2"/>
  <c r="AW79" i="2" s="1"/>
  <c r="AG79" i="2"/>
  <c r="AX79" i="2" s="1"/>
  <c r="AH79" i="2"/>
  <c r="AY79" i="2" s="1"/>
  <c r="AI79" i="2"/>
  <c r="AZ79" i="2" s="1"/>
  <c r="AJ79" i="2"/>
  <c r="AK79" i="2"/>
  <c r="AL79" i="2"/>
  <c r="BC79" i="2" s="1"/>
  <c r="AM79" i="2"/>
  <c r="BD79" i="2" s="1"/>
  <c r="X80" i="2"/>
  <c r="Y80" i="2"/>
  <c r="AP80" i="2" s="1"/>
  <c r="Z80" i="2"/>
  <c r="AA80" i="2"/>
  <c r="AR80" i="2" s="1"/>
  <c r="AB80" i="2"/>
  <c r="AC80" i="2"/>
  <c r="AT80" i="2" s="1"/>
  <c r="AD80" i="2"/>
  <c r="AU80" i="2" s="1"/>
  <c r="AE80" i="2"/>
  <c r="AV80" i="2" s="1"/>
  <c r="AF80" i="2"/>
  <c r="AW80" i="2" s="1"/>
  <c r="AG80" i="2"/>
  <c r="AX80" i="2" s="1"/>
  <c r="AH80" i="2"/>
  <c r="AY80" i="2" s="1"/>
  <c r="AI80" i="2"/>
  <c r="AZ80" i="2" s="1"/>
  <c r="AJ80" i="2"/>
  <c r="AK80" i="2"/>
  <c r="AL80" i="2"/>
  <c r="BC80" i="2" s="1"/>
  <c r="AM80" i="2"/>
  <c r="BD80" i="2" s="1"/>
  <c r="X81" i="2"/>
  <c r="Y81" i="2"/>
  <c r="AP81" i="2" s="1"/>
  <c r="Z81" i="2"/>
  <c r="AA81" i="2"/>
  <c r="AR81" i="2" s="1"/>
  <c r="AB81" i="2"/>
  <c r="AC81" i="2"/>
  <c r="AT81" i="2" s="1"/>
  <c r="AD81" i="2"/>
  <c r="AU81" i="2" s="1"/>
  <c r="AE81" i="2"/>
  <c r="AV81" i="2" s="1"/>
  <c r="AF81" i="2"/>
  <c r="AW81" i="2" s="1"/>
  <c r="AG81" i="2"/>
  <c r="AX81" i="2" s="1"/>
  <c r="AH81" i="2"/>
  <c r="AY81" i="2" s="1"/>
  <c r="AI81" i="2"/>
  <c r="AZ81" i="2" s="1"/>
  <c r="AJ81" i="2"/>
  <c r="AK81" i="2"/>
  <c r="AL81" i="2"/>
  <c r="BC81" i="2" s="1"/>
  <c r="AM81" i="2"/>
  <c r="BD81" i="2" s="1"/>
  <c r="Q130" i="17"/>
  <c r="M130" i="17"/>
  <c r="Q129" i="17"/>
  <c r="M129" i="17"/>
  <c r="Q128" i="17"/>
  <c r="M128" i="17"/>
  <c r="H128" i="17"/>
  <c r="T128" i="17" s="1"/>
  <c r="T79" i="9" s="1"/>
  <c r="G128" i="17"/>
  <c r="S128" i="17" s="1"/>
  <c r="T79" i="8" s="1"/>
  <c r="F128" i="17"/>
  <c r="R128" i="17" s="1"/>
  <c r="Q127" i="17"/>
  <c r="M127" i="17"/>
  <c r="H127" i="17"/>
  <c r="T127" i="17" s="1"/>
  <c r="S79" i="9" s="1"/>
  <c r="G127" i="17"/>
  <c r="S127" i="17" s="1"/>
  <c r="S79" i="8" s="1"/>
  <c r="F127" i="17"/>
  <c r="R127" i="17" s="1"/>
  <c r="Q126" i="17"/>
  <c r="M126" i="17"/>
  <c r="T126" i="17"/>
  <c r="G79" i="9" s="1"/>
  <c r="S126" i="17"/>
  <c r="G79" i="8" s="1"/>
  <c r="R126" i="17"/>
  <c r="G79" i="2" s="1"/>
  <c r="G79" i="16" l="1"/>
  <c r="AW79" i="16"/>
  <c r="BK84" i="16"/>
  <c r="BL80" i="8"/>
  <c r="BL79" i="8"/>
  <c r="BL80" i="9"/>
  <c r="BL79" i="9"/>
  <c r="AR79" i="16"/>
  <c r="BJ81" i="2"/>
  <c r="BJ79" i="2"/>
  <c r="BJ81" i="9"/>
  <c r="BJ81" i="8"/>
  <c r="BJ80" i="2"/>
  <c r="BF79" i="16"/>
  <c r="AZ79" i="16"/>
  <c r="AV79" i="16"/>
  <c r="AP79" i="16"/>
  <c r="AY79" i="16"/>
  <c r="AU79" i="16"/>
  <c r="BC79" i="16"/>
  <c r="BD79" i="16"/>
  <c r="AX79" i="16"/>
  <c r="AT79" i="16"/>
  <c r="AP80" i="9"/>
  <c r="BF80" i="9"/>
  <c r="AP81" i="9"/>
  <c r="BF81" i="9"/>
  <c r="BJ78" i="9"/>
  <c r="BJ80" i="9"/>
  <c r="AP79" i="9"/>
  <c r="BF79" i="9"/>
  <c r="BL78" i="9"/>
  <c r="BL81" i="9"/>
  <c r="BJ79" i="9"/>
  <c r="AP78" i="9"/>
  <c r="BF78" i="9"/>
  <c r="BJ82" i="8"/>
  <c r="AP81" i="8"/>
  <c r="BF81" i="8"/>
  <c r="AP80" i="8"/>
  <c r="BF80" i="8"/>
  <c r="BJ80" i="8"/>
  <c r="AP79" i="8"/>
  <c r="BF79" i="8"/>
  <c r="BL82" i="8"/>
  <c r="AP82" i="8"/>
  <c r="BF82" i="8"/>
  <c r="BL81" i="8"/>
  <c r="BJ79" i="8"/>
  <c r="BL81" i="2"/>
  <c r="BL80" i="2"/>
  <c r="BL79" i="2"/>
  <c r="BF81" i="2"/>
  <c r="BF80" i="2"/>
  <c r="BF79" i="2"/>
  <c r="AO79" i="9"/>
  <c r="BH79" i="9" s="1"/>
  <c r="AO79" i="2"/>
  <c r="BH79" i="2" s="1"/>
  <c r="AO79" i="8"/>
  <c r="BH79" i="8" s="1"/>
  <c r="T79" i="2"/>
  <c r="BB79" i="9"/>
  <c r="BB79" i="8"/>
  <c r="S79" i="2"/>
  <c r="BA79" i="9"/>
  <c r="BA79" i="8"/>
  <c r="I127" i="17"/>
  <c r="I128" i="17"/>
  <c r="U127" i="17"/>
  <c r="I126" i="17"/>
  <c r="U128" i="17"/>
  <c r="U126" i="17"/>
  <c r="AB111" i="3"/>
  <c r="AB104" i="3"/>
  <c r="AB105" i="3"/>
  <c r="AB106" i="3"/>
  <c r="AB107" i="3"/>
  <c r="AB108" i="3"/>
  <c r="AB109" i="3"/>
  <c r="AB110" i="3"/>
  <c r="G106" i="3"/>
  <c r="X106" i="16" s="1"/>
  <c r="H106" i="3"/>
  <c r="S106" i="3"/>
  <c r="AJ106" i="9" s="1"/>
  <c r="T106" i="3"/>
  <c r="AK106" i="9" s="1"/>
  <c r="G107" i="3"/>
  <c r="X107" i="16" s="1"/>
  <c r="H107" i="3"/>
  <c r="Y107" i="9" s="1"/>
  <c r="S107" i="3"/>
  <c r="AJ107" i="8" s="1"/>
  <c r="T107" i="3"/>
  <c r="AK107" i="9" s="1"/>
  <c r="G108" i="3"/>
  <c r="X108" i="8" s="1"/>
  <c r="H108" i="3"/>
  <c r="Y108" i="8" s="1"/>
  <c r="S108" i="3"/>
  <c r="AJ108" i="2" s="1"/>
  <c r="T108" i="3"/>
  <c r="AK108" i="9" s="1"/>
  <c r="Z105" i="9"/>
  <c r="AQ105" i="9" s="1"/>
  <c r="AA105" i="9"/>
  <c r="AR105" i="9" s="1"/>
  <c r="AB105" i="9"/>
  <c r="AS105" i="9" s="1"/>
  <c r="AC105" i="9"/>
  <c r="AT105" i="9" s="1"/>
  <c r="AD105" i="9"/>
  <c r="AU105" i="9" s="1"/>
  <c r="AE105" i="9"/>
  <c r="AV105" i="9" s="1"/>
  <c r="AF105" i="9"/>
  <c r="AW105" i="9" s="1"/>
  <c r="AG105" i="9"/>
  <c r="AX105" i="9" s="1"/>
  <c r="AH105" i="9"/>
  <c r="AY105" i="9" s="1"/>
  <c r="AI105" i="9"/>
  <c r="AZ105" i="9" s="1"/>
  <c r="AL105" i="9"/>
  <c r="BC105" i="9" s="1"/>
  <c r="AM105" i="9"/>
  <c r="BD105" i="9" s="1"/>
  <c r="Z106" i="9"/>
  <c r="AQ106" i="9" s="1"/>
  <c r="AA106" i="9"/>
  <c r="AR106" i="9" s="1"/>
  <c r="AB106" i="9"/>
  <c r="AS106" i="9" s="1"/>
  <c r="AC106" i="9"/>
  <c r="AT106" i="9" s="1"/>
  <c r="AD106" i="9"/>
  <c r="AU106" i="9" s="1"/>
  <c r="AE106" i="9"/>
  <c r="AV106" i="9" s="1"/>
  <c r="AF106" i="9"/>
  <c r="AW106" i="9" s="1"/>
  <c r="AG106" i="9"/>
  <c r="AX106" i="9" s="1"/>
  <c r="AH106" i="9"/>
  <c r="AY106" i="9" s="1"/>
  <c r="AI106" i="9"/>
  <c r="AZ106" i="9" s="1"/>
  <c r="AL106" i="9"/>
  <c r="BC106" i="9" s="1"/>
  <c r="AM106" i="9"/>
  <c r="BD106" i="9" s="1"/>
  <c r="Z107" i="9"/>
  <c r="AQ107" i="9" s="1"/>
  <c r="AA107" i="9"/>
  <c r="AR107" i="9" s="1"/>
  <c r="AB107" i="9"/>
  <c r="AS107" i="9" s="1"/>
  <c r="AC107" i="9"/>
  <c r="AT107" i="9" s="1"/>
  <c r="AD107" i="9"/>
  <c r="AU107" i="9" s="1"/>
  <c r="AE107" i="9"/>
  <c r="AV107" i="9" s="1"/>
  <c r="AF107" i="9"/>
  <c r="AW107" i="9" s="1"/>
  <c r="AG107" i="9"/>
  <c r="AX107" i="9" s="1"/>
  <c r="AH107" i="9"/>
  <c r="AY107" i="9" s="1"/>
  <c r="AI107" i="9"/>
  <c r="AZ107" i="9" s="1"/>
  <c r="AL107" i="9"/>
  <c r="BC107" i="9" s="1"/>
  <c r="AM107" i="9"/>
  <c r="BD107" i="9" s="1"/>
  <c r="Z108" i="9"/>
  <c r="AQ108" i="9" s="1"/>
  <c r="AA108" i="9"/>
  <c r="AR108" i="9" s="1"/>
  <c r="AB108" i="9"/>
  <c r="AS108" i="9" s="1"/>
  <c r="AC108" i="9"/>
  <c r="AT108" i="9" s="1"/>
  <c r="AD108" i="9"/>
  <c r="AU108" i="9" s="1"/>
  <c r="AE108" i="9"/>
  <c r="AV108" i="9" s="1"/>
  <c r="AF108" i="9"/>
  <c r="AW108" i="9" s="1"/>
  <c r="AG108" i="9"/>
  <c r="AX108" i="9" s="1"/>
  <c r="AH108" i="9"/>
  <c r="AY108" i="9" s="1"/>
  <c r="AI108" i="9"/>
  <c r="AZ108" i="9" s="1"/>
  <c r="AL108" i="9"/>
  <c r="BC108" i="9" s="1"/>
  <c r="AM108" i="9"/>
  <c r="BD108" i="9" s="1"/>
  <c r="Z109" i="9"/>
  <c r="AQ109" i="9" s="1"/>
  <c r="AA109" i="9"/>
  <c r="AR109" i="9" s="1"/>
  <c r="AB109" i="9"/>
  <c r="AS109" i="9" s="1"/>
  <c r="AC109" i="9"/>
  <c r="AT109" i="9" s="1"/>
  <c r="AD109" i="9"/>
  <c r="AU109" i="9" s="1"/>
  <c r="AE109" i="9"/>
  <c r="AV109" i="9" s="1"/>
  <c r="AF109" i="9"/>
  <c r="AW109" i="9" s="1"/>
  <c r="AG109" i="9"/>
  <c r="AX109" i="9" s="1"/>
  <c r="AH109" i="9"/>
  <c r="AY109" i="9" s="1"/>
  <c r="AI109" i="9"/>
  <c r="AZ109" i="9" s="1"/>
  <c r="AL109" i="9"/>
  <c r="BC109" i="9" s="1"/>
  <c r="AM109" i="9"/>
  <c r="BD109" i="9" s="1"/>
  <c r="Z110" i="9"/>
  <c r="AQ110" i="9" s="1"/>
  <c r="AA110" i="9"/>
  <c r="AR110" i="9" s="1"/>
  <c r="AB110" i="9"/>
  <c r="AS110" i="9" s="1"/>
  <c r="AC110" i="9"/>
  <c r="AT110" i="9" s="1"/>
  <c r="AD110" i="9"/>
  <c r="AU110" i="9" s="1"/>
  <c r="AE110" i="9"/>
  <c r="AV110" i="9" s="1"/>
  <c r="AF110" i="9"/>
  <c r="AW110" i="9" s="1"/>
  <c r="AG110" i="9"/>
  <c r="AX110" i="9" s="1"/>
  <c r="AH110" i="9"/>
  <c r="AY110" i="9" s="1"/>
  <c r="AI110" i="9"/>
  <c r="AZ110" i="9" s="1"/>
  <c r="AL110" i="9"/>
  <c r="BC110" i="9" s="1"/>
  <c r="AM110" i="9"/>
  <c r="BD110" i="9" s="1"/>
  <c r="Z111" i="9"/>
  <c r="AQ111" i="9" s="1"/>
  <c r="AA111" i="9"/>
  <c r="AR111" i="9" s="1"/>
  <c r="AB111" i="9"/>
  <c r="AS111" i="9" s="1"/>
  <c r="AC111" i="9"/>
  <c r="AT111" i="9" s="1"/>
  <c r="AD111" i="9"/>
  <c r="AU111" i="9" s="1"/>
  <c r="AE111" i="9"/>
  <c r="AV111" i="9" s="1"/>
  <c r="AF111" i="9"/>
  <c r="AW111" i="9" s="1"/>
  <c r="AG111" i="9"/>
  <c r="AX111" i="9" s="1"/>
  <c r="AH111" i="9"/>
  <c r="AY111" i="9" s="1"/>
  <c r="AI111" i="9"/>
  <c r="AZ111" i="9" s="1"/>
  <c r="AL111" i="9"/>
  <c r="BC111" i="9" s="1"/>
  <c r="AM111" i="9"/>
  <c r="BD111" i="9" s="1"/>
  <c r="Z104" i="8"/>
  <c r="AQ104" i="8" s="1"/>
  <c r="AA104" i="8"/>
  <c r="AR104" i="8" s="1"/>
  <c r="AB104" i="8"/>
  <c r="AS104" i="8" s="1"/>
  <c r="AC104" i="8"/>
  <c r="AT104" i="8" s="1"/>
  <c r="AD104" i="8"/>
  <c r="AU104" i="8" s="1"/>
  <c r="AE104" i="8"/>
  <c r="AV104" i="8" s="1"/>
  <c r="AF104" i="8"/>
  <c r="AW104" i="8" s="1"/>
  <c r="AG104" i="8"/>
  <c r="AX104" i="8" s="1"/>
  <c r="AH104" i="8"/>
  <c r="AY104" i="8" s="1"/>
  <c r="AI104" i="8"/>
  <c r="AZ104" i="8" s="1"/>
  <c r="AL104" i="8"/>
  <c r="BC104" i="8" s="1"/>
  <c r="AM104" i="8"/>
  <c r="BD104" i="8" s="1"/>
  <c r="Z105" i="8"/>
  <c r="AQ105" i="8" s="1"/>
  <c r="AA105" i="8"/>
  <c r="AR105" i="8" s="1"/>
  <c r="AB105" i="8"/>
  <c r="AS105" i="8" s="1"/>
  <c r="AC105" i="8"/>
  <c r="AT105" i="8" s="1"/>
  <c r="AD105" i="8"/>
  <c r="AU105" i="8" s="1"/>
  <c r="AE105" i="8"/>
  <c r="AV105" i="8" s="1"/>
  <c r="AF105" i="8"/>
  <c r="AW105" i="8" s="1"/>
  <c r="AG105" i="8"/>
  <c r="AX105" i="8" s="1"/>
  <c r="AH105" i="8"/>
  <c r="AY105" i="8" s="1"/>
  <c r="AI105" i="8"/>
  <c r="AZ105" i="8" s="1"/>
  <c r="AL105" i="8"/>
  <c r="BC105" i="8" s="1"/>
  <c r="AM105" i="8"/>
  <c r="BD105" i="8" s="1"/>
  <c r="Z106" i="8"/>
  <c r="AQ106" i="8" s="1"/>
  <c r="AA106" i="8"/>
  <c r="AR106" i="8" s="1"/>
  <c r="AB106" i="8"/>
  <c r="AS106" i="8" s="1"/>
  <c r="AC106" i="8"/>
  <c r="AT106" i="8" s="1"/>
  <c r="AD106" i="8"/>
  <c r="AU106" i="8" s="1"/>
  <c r="AE106" i="8"/>
  <c r="AV106" i="8" s="1"/>
  <c r="AF106" i="8"/>
  <c r="AW106" i="8" s="1"/>
  <c r="AG106" i="8"/>
  <c r="AX106" i="8" s="1"/>
  <c r="AH106" i="8"/>
  <c r="AY106" i="8" s="1"/>
  <c r="AI106" i="8"/>
  <c r="AZ106" i="8" s="1"/>
  <c r="AL106" i="8"/>
  <c r="BC106" i="8" s="1"/>
  <c r="AM106" i="8"/>
  <c r="BD106" i="8" s="1"/>
  <c r="Z107" i="8"/>
  <c r="AQ107" i="8" s="1"/>
  <c r="AA107" i="8"/>
  <c r="AR107" i="8" s="1"/>
  <c r="AB107" i="8"/>
  <c r="AS107" i="8" s="1"/>
  <c r="AC107" i="8"/>
  <c r="AT107" i="8" s="1"/>
  <c r="AD107" i="8"/>
  <c r="AU107" i="8" s="1"/>
  <c r="AE107" i="8"/>
  <c r="AV107" i="8" s="1"/>
  <c r="AF107" i="8"/>
  <c r="AW107" i="8" s="1"/>
  <c r="AG107" i="8"/>
  <c r="AX107" i="8" s="1"/>
  <c r="AH107" i="8"/>
  <c r="AY107" i="8" s="1"/>
  <c r="AI107" i="8"/>
  <c r="AZ107" i="8" s="1"/>
  <c r="AL107" i="8"/>
  <c r="BC107" i="8" s="1"/>
  <c r="AM107" i="8"/>
  <c r="BD107" i="8" s="1"/>
  <c r="Z108" i="8"/>
  <c r="AQ108" i="8" s="1"/>
  <c r="AA108" i="8"/>
  <c r="AR108" i="8" s="1"/>
  <c r="AB108" i="8"/>
  <c r="AS108" i="8" s="1"/>
  <c r="AC108" i="8"/>
  <c r="AT108" i="8" s="1"/>
  <c r="AD108" i="8"/>
  <c r="AU108" i="8" s="1"/>
  <c r="AE108" i="8"/>
  <c r="AV108" i="8" s="1"/>
  <c r="AF108" i="8"/>
  <c r="AW108" i="8" s="1"/>
  <c r="AG108" i="8"/>
  <c r="AX108" i="8" s="1"/>
  <c r="AH108" i="8"/>
  <c r="AY108" i="8" s="1"/>
  <c r="AI108" i="8"/>
  <c r="AZ108" i="8" s="1"/>
  <c r="AL108" i="8"/>
  <c r="BC108" i="8" s="1"/>
  <c r="AM108" i="8"/>
  <c r="BD108" i="8" s="1"/>
  <c r="Z109" i="8"/>
  <c r="AQ109" i="8" s="1"/>
  <c r="AA109" i="8"/>
  <c r="AR109" i="8" s="1"/>
  <c r="AB109" i="8"/>
  <c r="AS109" i="8" s="1"/>
  <c r="AC109" i="8"/>
  <c r="AT109" i="8" s="1"/>
  <c r="AD109" i="8"/>
  <c r="AU109" i="8" s="1"/>
  <c r="AE109" i="8"/>
  <c r="AV109" i="8" s="1"/>
  <c r="AF109" i="8"/>
  <c r="AW109" i="8" s="1"/>
  <c r="AG109" i="8"/>
  <c r="AX109" i="8" s="1"/>
  <c r="AH109" i="8"/>
  <c r="AY109" i="8" s="1"/>
  <c r="AI109" i="8"/>
  <c r="AZ109" i="8" s="1"/>
  <c r="AL109" i="8"/>
  <c r="BC109" i="8" s="1"/>
  <c r="AM109" i="8"/>
  <c r="BD109" i="8" s="1"/>
  <c r="Z110" i="8"/>
  <c r="AQ110" i="8" s="1"/>
  <c r="AA110" i="8"/>
  <c r="AR110" i="8" s="1"/>
  <c r="AB110" i="8"/>
  <c r="AS110" i="8" s="1"/>
  <c r="AC110" i="8"/>
  <c r="AT110" i="8" s="1"/>
  <c r="AD110" i="8"/>
  <c r="AU110" i="8" s="1"/>
  <c r="AE110" i="8"/>
  <c r="AV110" i="8" s="1"/>
  <c r="AF110" i="8"/>
  <c r="AW110" i="8" s="1"/>
  <c r="AG110" i="8"/>
  <c r="AX110" i="8" s="1"/>
  <c r="AH110" i="8"/>
  <c r="AY110" i="8" s="1"/>
  <c r="AI110" i="8"/>
  <c r="AZ110" i="8" s="1"/>
  <c r="AL110" i="8"/>
  <c r="BC110" i="8" s="1"/>
  <c r="AM110" i="8"/>
  <c r="BD110" i="8" s="1"/>
  <c r="Z111" i="8"/>
  <c r="AQ111" i="8" s="1"/>
  <c r="AA111" i="8"/>
  <c r="AR111" i="8" s="1"/>
  <c r="AB111" i="8"/>
  <c r="AS111" i="8" s="1"/>
  <c r="AC111" i="8"/>
  <c r="AT111" i="8" s="1"/>
  <c r="AD111" i="8"/>
  <c r="AU111" i="8" s="1"/>
  <c r="AE111" i="8"/>
  <c r="AV111" i="8" s="1"/>
  <c r="AF111" i="8"/>
  <c r="AW111" i="8" s="1"/>
  <c r="AG111" i="8"/>
  <c r="AX111" i="8" s="1"/>
  <c r="AH111" i="8"/>
  <c r="AY111" i="8" s="1"/>
  <c r="AI111" i="8"/>
  <c r="AZ111" i="8" s="1"/>
  <c r="AL111" i="8"/>
  <c r="BC111" i="8" s="1"/>
  <c r="AM111" i="8"/>
  <c r="BD111" i="8" s="1"/>
  <c r="Z103" i="2"/>
  <c r="AQ103" i="2" s="1"/>
  <c r="AA103" i="2"/>
  <c r="AR103" i="2" s="1"/>
  <c r="AB103" i="2"/>
  <c r="AS103" i="2" s="1"/>
  <c r="AC103" i="2"/>
  <c r="AT103" i="2" s="1"/>
  <c r="AD103" i="2"/>
  <c r="AU103" i="2" s="1"/>
  <c r="AE103" i="2"/>
  <c r="AV103" i="2" s="1"/>
  <c r="AF103" i="2"/>
  <c r="AW103" i="2" s="1"/>
  <c r="AG103" i="2"/>
  <c r="AX103" i="2" s="1"/>
  <c r="AH103" i="2"/>
  <c r="AY103" i="2" s="1"/>
  <c r="AI103" i="2"/>
  <c r="AZ103" i="2" s="1"/>
  <c r="AL103" i="2"/>
  <c r="BC103" i="2" s="1"/>
  <c r="AM103" i="2"/>
  <c r="BD103" i="2" s="1"/>
  <c r="Z104" i="2"/>
  <c r="AQ104" i="2" s="1"/>
  <c r="AA104" i="2"/>
  <c r="AR104" i="2" s="1"/>
  <c r="AB104" i="2"/>
  <c r="AS104" i="2" s="1"/>
  <c r="AC104" i="2"/>
  <c r="AT104" i="2" s="1"/>
  <c r="AD104" i="2"/>
  <c r="AU104" i="2" s="1"/>
  <c r="AE104" i="2"/>
  <c r="AV104" i="2" s="1"/>
  <c r="AF104" i="2"/>
  <c r="AW104" i="2" s="1"/>
  <c r="AG104" i="2"/>
  <c r="AX104" i="2" s="1"/>
  <c r="AH104" i="2"/>
  <c r="AY104" i="2" s="1"/>
  <c r="AI104" i="2"/>
  <c r="AZ104" i="2" s="1"/>
  <c r="AL104" i="2"/>
  <c r="BC104" i="2" s="1"/>
  <c r="AM104" i="2"/>
  <c r="BD104" i="2" s="1"/>
  <c r="Z105" i="2"/>
  <c r="AQ105" i="2" s="1"/>
  <c r="AA105" i="2"/>
  <c r="AR105" i="2" s="1"/>
  <c r="AB105" i="2"/>
  <c r="AS105" i="2" s="1"/>
  <c r="AC105" i="2"/>
  <c r="AT105" i="2" s="1"/>
  <c r="AD105" i="2"/>
  <c r="AU105" i="2" s="1"/>
  <c r="AE105" i="2"/>
  <c r="AV105" i="2" s="1"/>
  <c r="AF105" i="2"/>
  <c r="AW105" i="2" s="1"/>
  <c r="AG105" i="2"/>
  <c r="AX105" i="2" s="1"/>
  <c r="AH105" i="2"/>
  <c r="AY105" i="2" s="1"/>
  <c r="AI105" i="2"/>
  <c r="AZ105" i="2" s="1"/>
  <c r="AL105" i="2"/>
  <c r="BC105" i="2" s="1"/>
  <c r="AM105" i="2"/>
  <c r="BD105" i="2" s="1"/>
  <c r="X106" i="2"/>
  <c r="Z106" i="2"/>
  <c r="AQ106" i="2" s="1"/>
  <c r="AA106" i="2"/>
  <c r="AR106" i="2" s="1"/>
  <c r="AB106" i="2"/>
  <c r="AS106" i="2" s="1"/>
  <c r="AC106" i="2"/>
  <c r="AT106" i="2" s="1"/>
  <c r="AD106" i="2"/>
  <c r="AU106" i="2" s="1"/>
  <c r="AE106" i="2"/>
  <c r="AV106" i="2" s="1"/>
  <c r="AF106" i="2"/>
  <c r="AW106" i="2" s="1"/>
  <c r="AG106" i="2"/>
  <c r="AX106" i="2" s="1"/>
  <c r="AH106" i="2"/>
  <c r="AY106" i="2" s="1"/>
  <c r="AI106" i="2"/>
  <c r="AZ106" i="2" s="1"/>
  <c r="AL106" i="2"/>
  <c r="BC106" i="2" s="1"/>
  <c r="AM106" i="2"/>
  <c r="BD106" i="2" s="1"/>
  <c r="Z107" i="2"/>
  <c r="AA107" i="2"/>
  <c r="AR107" i="2" s="1"/>
  <c r="AB107" i="2"/>
  <c r="AS107" i="2" s="1"/>
  <c r="AC107" i="2"/>
  <c r="AT107" i="2" s="1"/>
  <c r="AD107" i="2"/>
  <c r="AU107" i="2" s="1"/>
  <c r="AE107" i="2"/>
  <c r="AV107" i="2" s="1"/>
  <c r="AF107" i="2"/>
  <c r="AW107" i="2" s="1"/>
  <c r="AG107" i="2"/>
  <c r="AX107" i="2" s="1"/>
  <c r="AH107" i="2"/>
  <c r="AY107" i="2" s="1"/>
  <c r="AI107" i="2"/>
  <c r="AZ107" i="2" s="1"/>
  <c r="AL107" i="2"/>
  <c r="BC107" i="2" s="1"/>
  <c r="AM107" i="2"/>
  <c r="BD107" i="2" s="1"/>
  <c r="AQ107" i="2"/>
  <c r="Z108" i="2"/>
  <c r="AQ108" i="2" s="1"/>
  <c r="AA108" i="2"/>
  <c r="AR108" i="2" s="1"/>
  <c r="AB108" i="2"/>
  <c r="AS108" i="2" s="1"/>
  <c r="AC108" i="2"/>
  <c r="AT108" i="2" s="1"/>
  <c r="AD108" i="2"/>
  <c r="AU108" i="2" s="1"/>
  <c r="AE108" i="2"/>
  <c r="AV108" i="2" s="1"/>
  <c r="AF108" i="2"/>
  <c r="AW108" i="2" s="1"/>
  <c r="AG108" i="2"/>
  <c r="AX108" i="2" s="1"/>
  <c r="AH108" i="2"/>
  <c r="AY108" i="2" s="1"/>
  <c r="AI108" i="2"/>
  <c r="AZ108" i="2" s="1"/>
  <c r="AL108" i="2"/>
  <c r="BC108" i="2" s="1"/>
  <c r="AM108" i="2"/>
  <c r="BD108" i="2" s="1"/>
  <c r="Z109" i="2"/>
  <c r="AA109" i="2"/>
  <c r="AR109" i="2" s="1"/>
  <c r="AB109" i="2"/>
  <c r="AS109" i="2" s="1"/>
  <c r="AC109" i="2"/>
  <c r="AT109" i="2" s="1"/>
  <c r="AD109" i="2"/>
  <c r="AU109" i="2" s="1"/>
  <c r="AE109" i="2"/>
  <c r="AV109" i="2" s="1"/>
  <c r="AF109" i="2"/>
  <c r="AW109" i="2" s="1"/>
  <c r="AG109" i="2"/>
  <c r="AX109" i="2" s="1"/>
  <c r="AH109" i="2"/>
  <c r="AY109" i="2" s="1"/>
  <c r="AI109" i="2"/>
  <c r="AZ109" i="2" s="1"/>
  <c r="AL109" i="2"/>
  <c r="BC109" i="2" s="1"/>
  <c r="AM109" i="2"/>
  <c r="BD109" i="2" s="1"/>
  <c r="AQ109" i="2"/>
  <c r="Z110" i="2"/>
  <c r="AQ110" i="2" s="1"/>
  <c r="AA110" i="2"/>
  <c r="AR110" i="2" s="1"/>
  <c r="AB110" i="2"/>
  <c r="AS110" i="2" s="1"/>
  <c r="AC110" i="2"/>
  <c r="AT110" i="2" s="1"/>
  <c r="AD110" i="2"/>
  <c r="AU110" i="2" s="1"/>
  <c r="AE110" i="2"/>
  <c r="AV110" i="2" s="1"/>
  <c r="AF110" i="2"/>
  <c r="AW110" i="2" s="1"/>
  <c r="AG110" i="2"/>
  <c r="AX110" i="2" s="1"/>
  <c r="AH110" i="2"/>
  <c r="AY110" i="2" s="1"/>
  <c r="AI110" i="2"/>
  <c r="AZ110" i="2" s="1"/>
  <c r="AL110" i="2"/>
  <c r="BC110" i="2" s="1"/>
  <c r="AM110" i="2"/>
  <c r="BD110" i="2" s="1"/>
  <c r="Z111" i="2"/>
  <c r="AQ111" i="2" s="1"/>
  <c r="AA111" i="2"/>
  <c r="AR111" i="2" s="1"/>
  <c r="AB111" i="2"/>
  <c r="AS111" i="2" s="1"/>
  <c r="AC111" i="2"/>
  <c r="AT111" i="2" s="1"/>
  <c r="AD111" i="2"/>
  <c r="AU111" i="2" s="1"/>
  <c r="AE111" i="2"/>
  <c r="AV111" i="2" s="1"/>
  <c r="AF111" i="2"/>
  <c r="AW111" i="2" s="1"/>
  <c r="AG111" i="2"/>
  <c r="AX111" i="2" s="1"/>
  <c r="AH111" i="2"/>
  <c r="AY111" i="2" s="1"/>
  <c r="AI111" i="2"/>
  <c r="AZ111" i="2" s="1"/>
  <c r="AL111" i="2"/>
  <c r="BC111" i="2" s="1"/>
  <c r="AM111" i="2"/>
  <c r="BD111" i="2" s="1"/>
  <c r="Z106" i="16"/>
  <c r="AA106" i="16"/>
  <c r="AB106" i="16"/>
  <c r="AC106" i="16"/>
  <c r="AD106" i="16"/>
  <c r="AE106" i="16"/>
  <c r="AF106" i="16"/>
  <c r="AG106" i="16"/>
  <c r="AH106" i="16"/>
  <c r="AI106" i="16"/>
  <c r="AL106" i="16"/>
  <c r="AM106" i="16"/>
  <c r="Z107" i="16"/>
  <c r="AA107" i="16"/>
  <c r="AB107" i="16"/>
  <c r="AC107" i="16"/>
  <c r="AD107" i="16"/>
  <c r="AE107" i="16"/>
  <c r="AF107" i="16"/>
  <c r="AG107" i="16"/>
  <c r="AH107" i="16"/>
  <c r="AI107" i="16"/>
  <c r="AL107" i="16"/>
  <c r="AM107" i="16"/>
  <c r="Z108" i="16"/>
  <c r="AA108" i="16"/>
  <c r="AB108" i="16"/>
  <c r="AC108" i="16"/>
  <c r="AD108" i="16"/>
  <c r="AE108" i="16"/>
  <c r="AF108" i="16"/>
  <c r="AG108" i="16"/>
  <c r="AH108" i="16"/>
  <c r="AI108" i="16"/>
  <c r="AJ108" i="16"/>
  <c r="AL108" i="16"/>
  <c r="AM108" i="16"/>
  <c r="Z109" i="16"/>
  <c r="AA109" i="16"/>
  <c r="AB109" i="16"/>
  <c r="AC109" i="16"/>
  <c r="AD109" i="16"/>
  <c r="AE109" i="16"/>
  <c r="AF109" i="16"/>
  <c r="AG109" i="16"/>
  <c r="AH109" i="16"/>
  <c r="AI109" i="16"/>
  <c r="AL109" i="16"/>
  <c r="AM109" i="16"/>
  <c r="Z110" i="16"/>
  <c r="AA110" i="16"/>
  <c r="AB110" i="16"/>
  <c r="AC110" i="16"/>
  <c r="AD110" i="16"/>
  <c r="AE110" i="16"/>
  <c r="AF110" i="16"/>
  <c r="AG110" i="16"/>
  <c r="AH110" i="16"/>
  <c r="AI110" i="16"/>
  <c r="AL110" i="16"/>
  <c r="AM110" i="16"/>
  <c r="Z111" i="16"/>
  <c r="AA111" i="16"/>
  <c r="AB111" i="16"/>
  <c r="AC111" i="16"/>
  <c r="AD111" i="16"/>
  <c r="AE111" i="16"/>
  <c r="AF111" i="16"/>
  <c r="AG111" i="16"/>
  <c r="AH111" i="16"/>
  <c r="AI111" i="16"/>
  <c r="AL111" i="16"/>
  <c r="AM111" i="16"/>
  <c r="Q263" i="17"/>
  <c r="M263" i="17"/>
  <c r="Q262" i="17"/>
  <c r="M262" i="17"/>
  <c r="H262" i="17"/>
  <c r="T262" i="17" s="1"/>
  <c r="T106" i="9" s="1"/>
  <c r="G262" i="17"/>
  <c r="S262" i="17" s="1"/>
  <c r="T106" i="8" s="1"/>
  <c r="F262" i="17"/>
  <c r="R262" i="17" s="1"/>
  <c r="Q261" i="17"/>
  <c r="M261" i="17"/>
  <c r="H261" i="17"/>
  <c r="T261" i="17" s="1"/>
  <c r="S106" i="9" s="1"/>
  <c r="G261" i="17"/>
  <c r="S261" i="17" s="1"/>
  <c r="S106" i="8" s="1"/>
  <c r="F261" i="17"/>
  <c r="Q260" i="17"/>
  <c r="M260" i="17"/>
  <c r="T260" i="17"/>
  <c r="G106" i="9" s="1"/>
  <c r="S260" i="17"/>
  <c r="G106" i="8" s="1"/>
  <c r="Q270" i="17"/>
  <c r="M270" i="17"/>
  <c r="Q269" i="17"/>
  <c r="M269" i="17"/>
  <c r="H269" i="17"/>
  <c r="T269" i="17" s="1"/>
  <c r="T107" i="9" s="1"/>
  <c r="G269" i="17"/>
  <c r="S269" i="17" s="1"/>
  <c r="T107" i="8" s="1"/>
  <c r="F269" i="17"/>
  <c r="R269" i="17" s="1"/>
  <c r="Q268" i="17"/>
  <c r="M268" i="17"/>
  <c r="H268" i="17"/>
  <c r="T268" i="17" s="1"/>
  <c r="S107" i="9" s="1"/>
  <c r="G268" i="17"/>
  <c r="S268" i="17" s="1"/>
  <c r="S107" i="8" s="1"/>
  <c r="F268" i="17"/>
  <c r="R268" i="17" s="1"/>
  <c r="Q267" i="17"/>
  <c r="M267" i="17"/>
  <c r="T267" i="17"/>
  <c r="G107" i="9" s="1"/>
  <c r="S267" i="17"/>
  <c r="G107" i="8" s="1"/>
  <c r="R267" i="17"/>
  <c r="AJ106" i="16" l="1"/>
  <c r="BB79" i="2"/>
  <c r="T79" i="16"/>
  <c r="BB79" i="16" s="1"/>
  <c r="BA79" i="2"/>
  <c r="S79" i="16"/>
  <c r="BA79" i="16" s="1"/>
  <c r="AJ107" i="9"/>
  <c r="AK106" i="16"/>
  <c r="AK107" i="8"/>
  <c r="BB107" i="8" s="1"/>
  <c r="BJ105" i="9"/>
  <c r="AK107" i="16"/>
  <c r="BL111" i="2"/>
  <c r="AJ107" i="16"/>
  <c r="AJ106" i="2"/>
  <c r="AK108" i="8"/>
  <c r="AJ106" i="8"/>
  <c r="BL105" i="8"/>
  <c r="BL104" i="8"/>
  <c r="BL110" i="2"/>
  <c r="AK106" i="2"/>
  <c r="AK106" i="8"/>
  <c r="BB106" i="8" s="1"/>
  <c r="AK108" i="16"/>
  <c r="AK107" i="2"/>
  <c r="AJ108" i="8"/>
  <c r="AJ108" i="9"/>
  <c r="AK108" i="2"/>
  <c r="AJ107" i="2"/>
  <c r="Y107" i="8"/>
  <c r="BF107" i="8" s="1"/>
  <c r="Y107" i="16"/>
  <c r="BF107" i="16" s="1"/>
  <c r="Y107" i="2"/>
  <c r="BF107" i="2" s="1"/>
  <c r="Y106" i="9"/>
  <c r="BF106" i="9" s="1"/>
  <c r="BL111" i="9"/>
  <c r="BL110" i="9"/>
  <c r="BL109" i="9"/>
  <c r="BL108" i="9"/>
  <c r="BJ108" i="9"/>
  <c r="BL79" i="16"/>
  <c r="AZ107" i="16"/>
  <c r="BD106" i="16"/>
  <c r="AY107" i="16"/>
  <c r="AU107" i="16"/>
  <c r="AQ107" i="16"/>
  <c r="BC106" i="16"/>
  <c r="BL106" i="16" s="1"/>
  <c r="BJ111" i="8"/>
  <c r="BJ110" i="8"/>
  <c r="BJ109" i="8"/>
  <c r="BJ107" i="8"/>
  <c r="BJ79" i="16"/>
  <c r="BL106" i="2"/>
  <c r="BJ109" i="2"/>
  <c r="BL108" i="2"/>
  <c r="BJ104" i="2"/>
  <c r="BL109" i="2"/>
  <c r="BJ106" i="2"/>
  <c r="BD111" i="16"/>
  <c r="AX111" i="16"/>
  <c r="AT111" i="16"/>
  <c r="BD110" i="16"/>
  <c r="AX110" i="16"/>
  <c r="AT110" i="16"/>
  <c r="BD109" i="16"/>
  <c r="AX109" i="16"/>
  <c r="AT109" i="16"/>
  <c r="AZ108" i="16"/>
  <c r="AV108" i="16"/>
  <c r="AR108" i="16"/>
  <c r="AV107" i="16"/>
  <c r="AR107" i="16"/>
  <c r="AX106" i="16"/>
  <c r="AT106" i="16"/>
  <c r="BC111" i="16"/>
  <c r="AW111" i="16"/>
  <c r="AS111" i="16"/>
  <c r="BC110" i="16"/>
  <c r="AW110" i="16"/>
  <c r="AS110" i="16"/>
  <c r="BC109" i="16"/>
  <c r="AW109" i="16"/>
  <c r="AS109" i="16"/>
  <c r="AY108" i="16"/>
  <c r="AU108" i="16"/>
  <c r="AQ108" i="16"/>
  <c r="AW106" i="16"/>
  <c r="AS106" i="16"/>
  <c r="AZ111" i="16"/>
  <c r="AV111" i="16"/>
  <c r="AR111" i="16"/>
  <c r="AZ110" i="16"/>
  <c r="AV110" i="16"/>
  <c r="AR110" i="16"/>
  <c r="AZ109" i="16"/>
  <c r="AV109" i="16"/>
  <c r="AR109" i="16"/>
  <c r="BD108" i="16"/>
  <c r="AX108" i="16"/>
  <c r="AT108" i="16"/>
  <c r="BD107" i="16"/>
  <c r="AX107" i="16"/>
  <c r="AT107" i="16"/>
  <c r="AZ106" i="16"/>
  <c r="AV106" i="16"/>
  <c r="AR106" i="16"/>
  <c r="AY111" i="16"/>
  <c r="AU111" i="16"/>
  <c r="AQ111" i="16"/>
  <c r="AY110" i="16"/>
  <c r="AU110" i="16"/>
  <c r="AQ110" i="16"/>
  <c r="AY109" i="16"/>
  <c r="AU109" i="16"/>
  <c r="AQ109" i="16"/>
  <c r="BC108" i="16"/>
  <c r="AW108" i="16"/>
  <c r="AS108" i="16"/>
  <c r="BC107" i="16"/>
  <c r="AW107" i="16"/>
  <c r="AS107" i="16"/>
  <c r="AY106" i="16"/>
  <c r="AU106" i="16"/>
  <c r="AQ106" i="16"/>
  <c r="BL107" i="9"/>
  <c r="BL105" i="9"/>
  <c r="BJ107" i="9"/>
  <c r="BF107" i="9"/>
  <c r="BJ111" i="9"/>
  <c r="BJ110" i="9"/>
  <c r="BJ109" i="9"/>
  <c r="BL106" i="9"/>
  <c r="BJ106" i="9"/>
  <c r="BK79" i="9"/>
  <c r="BL111" i="8"/>
  <c r="BL110" i="8"/>
  <c r="BL109" i="8"/>
  <c r="BL108" i="8"/>
  <c r="BJ108" i="8"/>
  <c r="BL106" i="8"/>
  <c r="BF108" i="8"/>
  <c r="BL107" i="8"/>
  <c r="BJ106" i="8"/>
  <c r="BJ105" i="8"/>
  <c r="BJ104" i="8"/>
  <c r="BL104" i="2"/>
  <c r="BJ103" i="2"/>
  <c r="BJ105" i="2"/>
  <c r="BJ107" i="2"/>
  <c r="BJ111" i="2"/>
  <c r="BJ110" i="2"/>
  <c r="BJ108" i="2"/>
  <c r="BL107" i="2"/>
  <c r="BL105" i="2"/>
  <c r="BL103" i="2"/>
  <c r="BK79" i="8"/>
  <c r="T107" i="2"/>
  <c r="T107" i="16" s="1"/>
  <c r="BB107" i="9"/>
  <c r="S107" i="2"/>
  <c r="S107" i="16" s="1"/>
  <c r="BA107" i="8"/>
  <c r="G107" i="2"/>
  <c r="T106" i="2"/>
  <c r="T106" i="16" s="1"/>
  <c r="BB106" i="9"/>
  <c r="AO79" i="16"/>
  <c r="BH79" i="16" s="1"/>
  <c r="X108" i="2"/>
  <c r="X107" i="2"/>
  <c r="X107" i="3"/>
  <c r="X108" i="16"/>
  <c r="X106" i="3"/>
  <c r="I260" i="17"/>
  <c r="X107" i="8"/>
  <c r="X106" i="9"/>
  <c r="X106" i="8"/>
  <c r="X108" i="9"/>
  <c r="X107" i="9"/>
  <c r="AO107" i="9" s="1"/>
  <c r="BH107" i="9" s="1"/>
  <c r="AA108" i="3"/>
  <c r="X108" i="3"/>
  <c r="AA107" i="3"/>
  <c r="AA106" i="3"/>
  <c r="I261" i="17"/>
  <c r="R260" i="17"/>
  <c r="I262" i="17"/>
  <c r="R261" i="17"/>
  <c r="AY85" i="20"/>
  <c r="Y108" i="9"/>
  <c r="BF108" i="9" s="1"/>
  <c r="Y106" i="16"/>
  <c r="BF106" i="16" s="1"/>
  <c r="Y108" i="2"/>
  <c r="BF108" i="2" s="1"/>
  <c r="Y106" i="8"/>
  <c r="BF106" i="8" s="1"/>
  <c r="Y108" i="16"/>
  <c r="BF108" i="16" s="1"/>
  <c r="Y106" i="2"/>
  <c r="BF106" i="2" s="1"/>
  <c r="U262" i="17"/>
  <c r="U267" i="17"/>
  <c r="U268" i="17"/>
  <c r="U269" i="17"/>
  <c r="I267" i="17"/>
  <c r="I268" i="17"/>
  <c r="I269" i="17"/>
  <c r="BS92" i="20"/>
  <c r="BR92" i="20"/>
  <c r="BM92" i="20"/>
  <c r="BS73" i="20"/>
  <c r="BR73" i="20"/>
  <c r="BM73" i="20"/>
  <c r="AY92" i="20"/>
  <c r="AX92" i="20"/>
  <c r="AS92" i="20"/>
  <c r="AY73" i="20"/>
  <c r="AX73" i="20"/>
  <c r="AS73" i="20"/>
  <c r="AE92" i="20"/>
  <c r="AD92" i="20"/>
  <c r="Y92" i="20"/>
  <c r="AE73" i="20"/>
  <c r="AD73" i="20"/>
  <c r="Y73" i="20"/>
  <c r="BK79" i="2" l="1"/>
  <c r="Y86" i="20"/>
  <c r="G107" i="16"/>
  <c r="AO107" i="16" s="1"/>
  <c r="BH107" i="16" s="1"/>
  <c r="BL108" i="16"/>
  <c r="BL111" i="16"/>
  <c r="BL107" i="16"/>
  <c r="BJ110" i="16"/>
  <c r="BL110" i="16"/>
  <c r="BJ106" i="16"/>
  <c r="BJ109" i="16"/>
  <c r="BJ107" i="16"/>
  <c r="BJ111" i="16"/>
  <c r="BL109" i="16"/>
  <c r="BJ108" i="16"/>
  <c r="AO107" i="8"/>
  <c r="BH107" i="8" s="1"/>
  <c r="BK107" i="8"/>
  <c r="AE86" i="20"/>
  <c r="BB107" i="2"/>
  <c r="AD86" i="20"/>
  <c r="BA107" i="2"/>
  <c r="BK79" i="16"/>
  <c r="BM86" i="20"/>
  <c r="AO107" i="2"/>
  <c r="BH107" i="2" s="1"/>
  <c r="AS86" i="20"/>
  <c r="AX86" i="20"/>
  <c r="AE85" i="20"/>
  <c r="BB106" i="2"/>
  <c r="BR86" i="20"/>
  <c r="BA107" i="9"/>
  <c r="BK107" i="9" s="1"/>
  <c r="BS86" i="20"/>
  <c r="BA107" i="16"/>
  <c r="BB106" i="16"/>
  <c r="G106" i="2"/>
  <c r="AO106" i="9"/>
  <c r="BH106" i="9" s="1"/>
  <c r="BS85" i="20"/>
  <c r="AY86" i="20"/>
  <c r="BB107" i="16"/>
  <c r="S106" i="2"/>
  <c r="BA106" i="8"/>
  <c r="BK106" i="8" s="1"/>
  <c r="BA106" i="9"/>
  <c r="BK106" i="9" s="1"/>
  <c r="U261" i="17"/>
  <c r="U260" i="17"/>
  <c r="BA106" i="2" l="1"/>
  <c r="BK106" i="2" s="1"/>
  <c r="S106" i="16"/>
  <c r="BA106" i="16" s="1"/>
  <c r="BK106" i="16" s="1"/>
  <c r="AO106" i="2"/>
  <c r="BH106" i="2" s="1"/>
  <c r="G106" i="16"/>
  <c r="BK107" i="16"/>
  <c r="K86" i="20"/>
  <c r="J86" i="20"/>
  <c r="K85" i="20"/>
  <c r="E86" i="20"/>
  <c r="AS85" i="20"/>
  <c r="AO106" i="8"/>
  <c r="BH106" i="8" s="1"/>
  <c r="BK107" i="2"/>
  <c r="Y85" i="20"/>
  <c r="AD85" i="20"/>
  <c r="BR85" i="20"/>
  <c r="BM85" i="20"/>
  <c r="AX85" i="20"/>
  <c r="J85" i="20" l="1"/>
  <c r="E85" i="20"/>
  <c r="AO106" i="16"/>
  <c r="BH106" i="16" s="1"/>
  <c r="Q177" i="17"/>
  <c r="Q161" i="17"/>
  <c r="Q153" i="17"/>
  <c r="Q145" i="17"/>
  <c r="Q137" i="17"/>
  <c r="Q121" i="17"/>
  <c r="Q113" i="17"/>
  <c r="H176" i="17"/>
  <c r="T176" i="17" s="1"/>
  <c r="T85" i="9" s="1"/>
  <c r="G176" i="17"/>
  <c r="F176" i="17"/>
  <c r="H175" i="17"/>
  <c r="T175" i="17" s="1"/>
  <c r="S85" i="9" s="1"/>
  <c r="G175" i="17"/>
  <c r="F175" i="17"/>
  <c r="T174" i="17"/>
  <c r="G85" i="9" s="1"/>
  <c r="S174" i="17"/>
  <c r="G85" i="8" s="1"/>
  <c r="H160" i="17"/>
  <c r="T160" i="17" s="1"/>
  <c r="T83" i="9" s="1"/>
  <c r="G160" i="17"/>
  <c r="F160" i="17"/>
  <c r="H159" i="17"/>
  <c r="T159" i="17" s="1"/>
  <c r="S83" i="9" s="1"/>
  <c r="G159" i="17"/>
  <c r="F159" i="17"/>
  <c r="R159" i="17" s="1"/>
  <c r="T158" i="17"/>
  <c r="G83" i="9" s="1"/>
  <c r="S158" i="17"/>
  <c r="G83" i="8" s="1"/>
  <c r="H152" i="17"/>
  <c r="T152" i="17" s="1"/>
  <c r="T82" i="9" s="1"/>
  <c r="G152" i="17"/>
  <c r="F152" i="17"/>
  <c r="R152" i="17" s="1"/>
  <c r="H151" i="17"/>
  <c r="T151" i="17" s="1"/>
  <c r="S82" i="9" s="1"/>
  <c r="G151" i="17"/>
  <c r="F151" i="17"/>
  <c r="R151" i="17" s="1"/>
  <c r="T150" i="17"/>
  <c r="G82" i="9" s="1"/>
  <c r="S150" i="17"/>
  <c r="G82" i="8" s="1"/>
  <c r="R150" i="17"/>
  <c r="G82" i="2" s="1"/>
  <c r="H144" i="17"/>
  <c r="T144" i="17" s="1"/>
  <c r="T81" i="9" s="1"/>
  <c r="G144" i="17"/>
  <c r="F144" i="17"/>
  <c r="R144" i="17" s="1"/>
  <c r="H143" i="17"/>
  <c r="T143" i="17" s="1"/>
  <c r="S81" i="9" s="1"/>
  <c r="G143" i="17"/>
  <c r="F143" i="17"/>
  <c r="R143" i="17" s="1"/>
  <c r="T142" i="17"/>
  <c r="G81" i="9" s="1"/>
  <c r="S142" i="17"/>
  <c r="G81" i="8" s="1"/>
  <c r="R142" i="17"/>
  <c r="G81" i="2" s="1"/>
  <c r="H136" i="17"/>
  <c r="G136" i="17"/>
  <c r="K136" i="17" s="1"/>
  <c r="F136" i="17"/>
  <c r="H135" i="17"/>
  <c r="G135" i="17"/>
  <c r="K135" i="17" s="1"/>
  <c r="F135" i="17"/>
  <c r="H120" i="17"/>
  <c r="G120" i="17"/>
  <c r="K120" i="17" s="1"/>
  <c r="F120" i="17"/>
  <c r="H119" i="17"/>
  <c r="G119" i="17"/>
  <c r="K119" i="17" s="1"/>
  <c r="F119" i="17"/>
  <c r="F112" i="17"/>
  <c r="H112" i="17"/>
  <c r="G112" i="17"/>
  <c r="K112" i="17" s="1"/>
  <c r="H111" i="17"/>
  <c r="G111" i="17"/>
  <c r="K111" i="17" s="1"/>
  <c r="F111" i="17"/>
  <c r="Q298" i="17"/>
  <c r="Q297" i="17"/>
  <c r="H297" i="17"/>
  <c r="T297" i="17" s="1"/>
  <c r="T111" i="9" s="1"/>
  <c r="G297" i="17"/>
  <c r="F297" i="17"/>
  <c r="R297" i="17" s="1"/>
  <c r="Q296" i="17"/>
  <c r="H296" i="17"/>
  <c r="T296" i="17" s="1"/>
  <c r="S111" i="9" s="1"/>
  <c r="G296" i="17"/>
  <c r="F296" i="17"/>
  <c r="R296" i="17" s="1"/>
  <c r="Q295" i="17"/>
  <c r="M295" i="17"/>
  <c r="T295" i="17"/>
  <c r="G111" i="9" s="1"/>
  <c r="S295" i="17"/>
  <c r="G111" i="8" s="1"/>
  <c r="R295" i="17"/>
  <c r="Q277" i="17"/>
  <c r="Q276" i="17"/>
  <c r="H276" i="17"/>
  <c r="T276" i="17" s="1"/>
  <c r="T108" i="9" s="1"/>
  <c r="G276" i="17"/>
  <c r="F276" i="17"/>
  <c r="R276" i="17" s="1"/>
  <c r="Q275" i="17"/>
  <c r="H275" i="17"/>
  <c r="T275" i="17" s="1"/>
  <c r="S108" i="9" s="1"/>
  <c r="G275" i="17"/>
  <c r="F275" i="17"/>
  <c r="R275" i="17" s="1"/>
  <c r="Q274" i="17"/>
  <c r="M274" i="17"/>
  <c r="T274" i="17"/>
  <c r="G108" i="9" s="1"/>
  <c r="S274" i="17"/>
  <c r="G108" i="8" s="1"/>
  <c r="R274" i="17"/>
  <c r="Q178" i="17"/>
  <c r="Q176" i="17"/>
  <c r="Q175" i="17"/>
  <c r="Q174" i="17"/>
  <c r="M174" i="17"/>
  <c r="Q162" i="17"/>
  <c r="Q159" i="17"/>
  <c r="Q158" i="17"/>
  <c r="M158" i="17"/>
  <c r="Q154" i="17"/>
  <c r="Q152" i="17"/>
  <c r="Q151" i="17"/>
  <c r="Q150" i="17"/>
  <c r="M150" i="17"/>
  <c r="Q146" i="17"/>
  <c r="Q144" i="17"/>
  <c r="Q143" i="17"/>
  <c r="Q142" i="17"/>
  <c r="M142" i="17"/>
  <c r="G109" i="3"/>
  <c r="H109" i="3"/>
  <c r="S109" i="3"/>
  <c r="T109" i="3"/>
  <c r="G110" i="3"/>
  <c r="H110" i="3"/>
  <c r="S110" i="3"/>
  <c r="T110" i="3"/>
  <c r="G111" i="3"/>
  <c r="H111" i="3"/>
  <c r="S111" i="3"/>
  <c r="T111" i="3"/>
  <c r="G82" i="16" l="1"/>
  <c r="G81" i="16"/>
  <c r="K297" i="17"/>
  <c r="M297" i="17" s="1"/>
  <c r="K275" i="17"/>
  <c r="M275" i="17" s="1"/>
  <c r="K151" i="17"/>
  <c r="M151" i="17" s="1"/>
  <c r="K152" i="17"/>
  <c r="M152" i="17" s="1"/>
  <c r="K296" i="17"/>
  <c r="M296" i="17" s="1"/>
  <c r="K159" i="17"/>
  <c r="M159" i="17" s="1"/>
  <c r="K160" i="17"/>
  <c r="M160" i="17" s="1"/>
  <c r="K276" i="17"/>
  <c r="M276" i="17" s="1"/>
  <c r="K143" i="17"/>
  <c r="M143" i="17" s="1"/>
  <c r="K144" i="17"/>
  <c r="M144" i="17" s="1"/>
  <c r="K175" i="17"/>
  <c r="M175" i="17" s="1"/>
  <c r="K176" i="17"/>
  <c r="M176" i="17" s="1"/>
  <c r="R160" i="17"/>
  <c r="T83" i="2" s="1"/>
  <c r="Q160" i="17"/>
  <c r="S82" i="2"/>
  <c r="S108" i="2"/>
  <c r="BA108" i="9"/>
  <c r="S111" i="2"/>
  <c r="AD90" i="20" s="1"/>
  <c r="G108" i="2"/>
  <c r="AO108" i="9"/>
  <c r="BH108" i="9" s="1"/>
  <c r="AO108" i="8"/>
  <c r="BH108" i="8" s="1"/>
  <c r="T108" i="2"/>
  <c r="BB108" i="9"/>
  <c r="G111" i="2"/>
  <c r="G111" i="16" s="1"/>
  <c r="T111" i="2"/>
  <c r="AO81" i="2"/>
  <c r="BH81" i="2" s="1"/>
  <c r="S81" i="2"/>
  <c r="T81" i="2"/>
  <c r="BB81" i="9"/>
  <c r="AO82" i="8"/>
  <c r="BH82" i="8" s="1"/>
  <c r="S83" i="2"/>
  <c r="BS66" i="20"/>
  <c r="AJ109" i="8"/>
  <c r="AJ109" i="9"/>
  <c r="AJ109" i="2"/>
  <c r="AJ109" i="16"/>
  <c r="AK111" i="8"/>
  <c r="AK111" i="9"/>
  <c r="AK111" i="2"/>
  <c r="AK111" i="16"/>
  <c r="AK110" i="8"/>
  <c r="AK110" i="9"/>
  <c r="AK110" i="2"/>
  <c r="AK110" i="16"/>
  <c r="AK109" i="9"/>
  <c r="AK109" i="8"/>
  <c r="AK109" i="2"/>
  <c r="AK109" i="16"/>
  <c r="AJ110" i="9"/>
  <c r="AJ110" i="8"/>
  <c r="AJ110" i="2"/>
  <c r="AJ110" i="16"/>
  <c r="AJ111" i="8"/>
  <c r="AJ111" i="9"/>
  <c r="AJ111" i="16"/>
  <c r="AJ111" i="2"/>
  <c r="X111" i="3"/>
  <c r="Y111" i="8"/>
  <c r="BF111" i="8" s="1"/>
  <c r="BO111" i="8" s="1"/>
  <c r="AA111" i="3"/>
  <c r="Y111" i="9"/>
  <c r="BF111" i="9" s="1"/>
  <c r="BO111" i="9" s="1"/>
  <c r="Y111" i="2"/>
  <c r="Y111" i="16"/>
  <c r="BF111" i="16" s="1"/>
  <c r="BO111" i="16" s="1"/>
  <c r="X110" i="3"/>
  <c r="Y110" i="8"/>
  <c r="BF110" i="8" s="1"/>
  <c r="AA110" i="3"/>
  <c r="Y110" i="9"/>
  <c r="BF110" i="9" s="1"/>
  <c r="Y110" i="2"/>
  <c r="BF110" i="2" s="1"/>
  <c r="Y110" i="16"/>
  <c r="BF110" i="16" s="1"/>
  <c r="X109" i="3"/>
  <c r="Y109" i="9"/>
  <c r="BF109" i="9" s="1"/>
  <c r="AA109" i="3"/>
  <c r="Y109" i="8"/>
  <c r="BF109" i="8" s="1"/>
  <c r="Y109" i="2"/>
  <c r="BF109" i="2" s="1"/>
  <c r="Y109" i="16"/>
  <c r="BF109" i="16" s="1"/>
  <c r="X111" i="8"/>
  <c r="X111" i="9"/>
  <c r="X111" i="2"/>
  <c r="X111" i="16"/>
  <c r="X110" i="9"/>
  <c r="X110" i="2"/>
  <c r="X110" i="16"/>
  <c r="X110" i="8"/>
  <c r="X109" i="8"/>
  <c r="X109" i="9"/>
  <c r="X109" i="2"/>
  <c r="X109" i="16"/>
  <c r="BS87" i="20"/>
  <c r="BM90" i="20"/>
  <c r="AS90" i="20"/>
  <c r="BR87" i="20"/>
  <c r="I158" i="17"/>
  <c r="I159" i="17"/>
  <c r="I174" i="17"/>
  <c r="I175" i="17"/>
  <c r="I176" i="17"/>
  <c r="R174" i="17"/>
  <c r="G85" i="2" s="1"/>
  <c r="G85" i="16" s="1"/>
  <c r="I118" i="17"/>
  <c r="I119" i="17"/>
  <c r="I120" i="17"/>
  <c r="I134" i="17"/>
  <c r="I135" i="17"/>
  <c r="I136" i="17"/>
  <c r="I142" i="17"/>
  <c r="I143" i="17"/>
  <c r="I150" i="17"/>
  <c r="I151" i="17"/>
  <c r="I152" i="17"/>
  <c r="R158" i="17"/>
  <c r="G83" i="2" s="1"/>
  <c r="G83" i="16" s="1"/>
  <c r="R176" i="17"/>
  <c r="T82" i="2"/>
  <c r="R175" i="17"/>
  <c r="I160" i="17"/>
  <c r="U150" i="17"/>
  <c r="I144" i="17"/>
  <c r="U142" i="17"/>
  <c r="I110" i="17"/>
  <c r="U295" i="17"/>
  <c r="I295" i="17"/>
  <c r="I296" i="17"/>
  <c r="I297" i="17"/>
  <c r="U274" i="17"/>
  <c r="I274" i="17"/>
  <c r="I275" i="17"/>
  <c r="I276" i="17"/>
  <c r="BB108" i="2" l="1"/>
  <c r="BA81" i="2"/>
  <c r="AO108" i="2"/>
  <c r="BH108" i="2" s="1"/>
  <c r="G108" i="16"/>
  <c r="AO108" i="16" s="1"/>
  <c r="BH108" i="16" s="1"/>
  <c r="BB81" i="2"/>
  <c r="AD66" i="20"/>
  <c r="S296" i="17"/>
  <c r="S111" i="8" s="1"/>
  <c r="BA111" i="8" s="1"/>
  <c r="S175" i="17"/>
  <c r="S85" i="8" s="1"/>
  <c r="S151" i="17"/>
  <c r="S160" i="17"/>
  <c r="T83" i="8" s="1"/>
  <c r="AY68" i="20" s="1"/>
  <c r="S143" i="17"/>
  <c r="S297" i="17"/>
  <c r="S176" i="17"/>
  <c r="T85" i="8" s="1"/>
  <c r="S144" i="17"/>
  <c r="S276" i="17"/>
  <c r="S159" i="17"/>
  <c r="S152" i="17"/>
  <c r="S275" i="17"/>
  <c r="AE87" i="20"/>
  <c r="Y87" i="20"/>
  <c r="Y66" i="20"/>
  <c r="BM87" i="20"/>
  <c r="AO111" i="9"/>
  <c r="BH111" i="9" s="1"/>
  <c r="AO111" i="8"/>
  <c r="BH111" i="8" s="1"/>
  <c r="AE68" i="20"/>
  <c r="BS68" i="20"/>
  <c r="AD68" i="20"/>
  <c r="Y67" i="20"/>
  <c r="BS90" i="20"/>
  <c r="BB111" i="9"/>
  <c r="Y90" i="20"/>
  <c r="AO111" i="2"/>
  <c r="BH111" i="2" s="1"/>
  <c r="AD87" i="20"/>
  <c r="BA108" i="2"/>
  <c r="BS67" i="20"/>
  <c r="BM67" i="20"/>
  <c r="BM66" i="20"/>
  <c r="AO81" i="9"/>
  <c r="BH81" i="9" s="1"/>
  <c r="BB111" i="2"/>
  <c r="BA111" i="2"/>
  <c r="BR67" i="20"/>
  <c r="AE67" i="20"/>
  <c r="AE66" i="20"/>
  <c r="BR68" i="20"/>
  <c r="BR66" i="20"/>
  <c r="BA81" i="9"/>
  <c r="BK81" i="9" s="1"/>
  <c r="AS66" i="20"/>
  <c r="AO81" i="8"/>
  <c r="BH81" i="8" s="1"/>
  <c r="BR90" i="20"/>
  <c r="BA111" i="9"/>
  <c r="BK108" i="9"/>
  <c r="AD67" i="20"/>
  <c r="AO111" i="16"/>
  <c r="BH111" i="16" s="1"/>
  <c r="AS67" i="20"/>
  <c r="BF111" i="2"/>
  <c r="BO111" i="2" s="1"/>
  <c r="AE90" i="20"/>
  <c r="T85" i="2"/>
  <c r="AS87" i="20"/>
  <c r="U174" i="17"/>
  <c r="S85" i="2"/>
  <c r="U158" i="17"/>
  <c r="B96" i="3"/>
  <c r="B97" i="3" s="1"/>
  <c r="B98" i="3" s="1"/>
  <c r="B99" i="3" s="1"/>
  <c r="B100" i="3" s="1"/>
  <c r="B102" i="3" s="1"/>
  <c r="B103" i="3" s="1"/>
  <c r="B104" i="3" s="1"/>
  <c r="B105" i="3" s="1"/>
  <c r="B106" i="3" s="1"/>
  <c r="B107" i="3" s="1"/>
  <c r="B108" i="3" s="1"/>
  <c r="B109" i="3" s="1"/>
  <c r="B110" i="3" s="1"/>
  <c r="B111" i="3" s="1"/>
  <c r="B96" i="16"/>
  <c r="B97" i="16" s="1"/>
  <c r="B98" i="16" s="1"/>
  <c r="B99" i="16" s="1"/>
  <c r="B100" i="16" s="1"/>
  <c r="B102" i="16" s="1"/>
  <c r="B103" i="16" s="1"/>
  <c r="B104" i="16" s="1"/>
  <c r="B105" i="16" s="1"/>
  <c r="B106" i="16" s="1"/>
  <c r="B107" i="16" s="1"/>
  <c r="B108" i="16" s="1"/>
  <c r="B109" i="16" s="1"/>
  <c r="B110" i="16" s="1"/>
  <c r="B111" i="16" s="1"/>
  <c r="B96" i="9"/>
  <c r="B97" i="9" s="1"/>
  <c r="B98" i="9" s="1"/>
  <c r="B99" i="9" s="1"/>
  <c r="B100" i="9" s="1"/>
  <c r="B102" i="9" s="1"/>
  <c r="B103" i="9" s="1"/>
  <c r="B104" i="9" s="1"/>
  <c r="B105" i="9" s="1"/>
  <c r="B106" i="9" s="1"/>
  <c r="B107" i="9" s="1"/>
  <c r="B108" i="9" s="1"/>
  <c r="B109" i="9" s="1"/>
  <c r="B110" i="9" s="1"/>
  <c r="B111" i="9" s="1"/>
  <c r="B96" i="8"/>
  <c r="B97" i="8" s="1"/>
  <c r="B98" i="8" s="1"/>
  <c r="B99" i="8" s="1"/>
  <c r="B100" i="8" s="1"/>
  <c r="B102" i="8" s="1"/>
  <c r="B103" i="8" s="1"/>
  <c r="B104" i="8" s="1"/>
  <c r="B105" i="8" s="1"/>
  <c r="B106" i="8" s="1"/>
  <c r="B107" i="8" s="1"/>
  <c r="B108" i="8" s="1"/>
  <c r="B109" i="8" s="1"/>
  <c r="B110" i="8" s="1"/>
  <c r="B111" i="8" s="1"/>
  <c r="BK108" i="2" l="1"/>
  <c r="S111" i="16"/>
  <c r="BA111" i="16" s="1"/>
  <c r="T83" i="16"/>
  <c r="BK81" i="2"/>
  <c r="S85" i="16"/>
  <c r="T85" i="16"/>
  <c r="U175" i="17"/>
  <c r="AX90" i="20"/>
  <c r="U296" i="17"/>
  <c r="U176" i="17"/>
  <c r="T111" i="8"/>
  <c r="T111" i="16" s="1"/>
  <c r="U297" i="17"/>
  <c r="S82" i="8"/>
  <c r="S82" i="16" s="1"/>
  <c r="U151" i="17"/>
  <c r="S81" i="8"/>
  <c r="S81" i="16" s="1"/>
  <c r="U143" i="17"/>
  <c r="T108" i="8"/>
  <c r="T108" i="16" s="1"/>
  <c r="U276" i="17"/>
  <c r="S108" i="8"/>
  <c r="S108" i="16" s="1"/>
  <c r="U275" i="17"/>
  <c r="T81" i="8"/>
  <c r="T81" i="16" s="1"/>
  <c r="U144" i="17"/>
  <c r="S83" i="8"/>
  <c r="U159" i="17"/>
  <c r="T82" i="8"/>
  <c r="T82" i="16" s="1"/>
  <c r="U152" i="17"/>
  <c r="U160" i="17"/>
  <c r="BK111" i="2"/>
  <c r="BK111" i="9"/>
  <c r="E87" i="20"/>
  <c r="E90" i="20"/>
  <c r="Y68" i="20"/>
  <c r="AE70" i="20"/>
  <c r="BR70" i="20"/>
  <c r="Y70" i="20"/>
  <c r="AD70" i="20"/>
  <c r="AS68" i="20"/>
  <c r="AX70" i="20"/>
  <c r="AY70" i="20"/>
  <c r="AS70" i="20"/>
  <c r="BM68" i="20"/>
  <c r="BS70" i="20"/>
  <c r="BM70" i="20"/>
  <c r="T126" i="3"/>
  <c r="S126" i="3"/>
  <c r="T125" i="3"/>
  <c r="S125" i="3"/>
  <c r="T124" i="3"/>
  <c r="S124" i="3"/>
  <c r="T123" i="3"/>
  <c r="S123" i="3"/>
  <c r="T122" i="3"/>
  <c r="S122" i="3"/>
  <c r="T121" i="3"/>
  <c r="S121" i="3"/>
  <c r="T120" i="3"/>
  <c r="S120" i="3"/>
  <c r="T119" i="3"/>
  <c r="S119" i="3"/>
  <c r="T118" i="3"/>
  <c r="S118" i="3"/>
  <c r="T116" i="3"/>
  <c r="S116" i="3"/>
  <c r="T115" i="3"/>
  <c r="S115" i="3"/>
  <c r="T114" i="3"/>
  <c r="S114" i="3"/>
  <c r="T113" i="3"/>
  <c r="S113" i="3"/>
  <c r="T105" i="3"/>
  <c r="S105" i="3"/>
  <c r="T104" i="3"/>
  <c r="S104" i="3"/>
  <c r="T103" i="3"/>
  <c r="S103" i="3"/>
  <c r="T102" i="3"/>
  <c r="S102" i="3"/>
  <c r="T100" i="3"/>
  <c r="S100" i="3"/>
  <c r="T99" i="3"/>
  <c r="S99" i="3"/>
  <c r="T98" i="3"/>
  <c r="S98" i="3"/>
  <c r="T97" i="3"/>
  <c r="S97" i="3"/>
  <c r="T96" i="3"/>
  <c r="S96" i="3"/>
  <c r="T95" i="3"/>
  <c r="S95" i="3"/>
  <c r="T94" i="3"/>
  <c r="S94" i="3"/>
  <c r="H126" i="3"/>
  <c r="G126" i="3"/>
  <c r="H125" i="3"/>
  <c r="G125" i="3"/>
  <c r="H124" i="3"/>
  <c r="G124" i="3"/>
  <c r="H123" i="3"/>
  <c r="G123" i="3"/>
  <c r="H122" i="3"/>
  <c r="G122" i="3"/>
  <c r="H121" i="3"/>
  <c r="G121" i="3"/>
  <c r="H120" i="3"/>
  <c r="G120" i="3"/>
  <c r="H119" i="3"/>
  <c r="G119" i="3"/>
  <c r="H118" i="3"/>
  <c r="G118" i="3"/>
  <c r="H116" i="3"/>
  <c r="G116" i="3"/>
  <c r="H115" i="3"/>
  <c r="G115" i="3"/>
  <c r="H114" i="3"/>
  <c r="G114" i="3"/>
  <c r="H113" i="3"/>
  <c r="G113" i="3"/>
  <c r="H105" i="3"/>
  <c r="G105" i="3"/>
  <c r="H104" i="3"/>
  <c r="G104" i="3"/>
  <c r="H103" i="3"/>
  <c r="G103" i="3"/>
  <c r="H102" i="3"/>
  <c r="G102" i="3"/>
  <c r="H100" i="3"/>
  <c r="G100" i="3"/>
  <c r="H99" i="3"/>
  <c r="G99" i="3"/>
  <c r="H98" i="3"/>
  <c r="G98" i="3"/>
  <c r="H97" i="3"/>
  <c r="G97" i="3"/>
  <c r="H96" i="3"/>
  <c r="G96" i="3"/>
  <c r="H95" i="3"/>
  <c r="G95" i="3"/>
  <c r="H94" i="3"/>
  <c r="G94" i="3"/>
  <c r="K72" i="3"/>
  <c r="I72" i="3"/>
  <c r="H73" i="3"/>
  <c r="G75" i="3"/>
  <c r="G72" i="3"/>
  <c r="L45" i="3"/>
  <c r="L43" i="3"/>
  <c r="K49" i="3"/>
  <c r="H50" i="3"/>
  <c r="I49" i="3"/>
  <c r="K45" i="3"/>
  <c r="K44" i="3"/>
  <c r="I45" i="3"/>
  <c r="I44" i="3"/>
  <c r="H43" i="3"/>
  <c r="H42" i="3"/>
  <c r="G49" i="3"/>
  <c r="G45" i="3"/>
  <c r="G44" i="3"/>
  <c r="G43" i="3"/>
  <c r="G42" i="3"/>
  <c r="L35" i="3"/>
  <c r="L34" i="3"/>
  <c r="L32" i="3"/>
  <c r="K34" i="3"/>
  <c r="K33" i="3"/>
  <c r="I34" i="3"/>
  <c r="I33" i="3"/>
  <c r="H32" i="3"/>
  <c r="H31" i="3"/>
  <c r="K38" i="3"/>
  <c r="J38" i="3"/>
  <c r="I38" i="3"/>
  <c r="K37" i="3"/>
  <c r="J37" i="3"/>
  <c r="I37" i="3"/>
  <c r="H39" i="3"/>
  <c r="H146" i="3" s="1"/>
  <c r="I146" i="3" s="1"/>
  <c r="G35" i="3"/>
  <c r="G34" i="3"/>
  <c r="G32" i="3"/>
  <c r="H29" i="3"/>
  <c r="H28" i="3"/>
  <c r="G29" i="3"/>
  <c r="G28" i="3"/>
  <c r="U25" i="3"/>
  <c r="O25" i="3"/>
  <c r="N25" i="3"/>
  <c r="M25" i="3"/>
  <c r="O23" i="3"/>
  <c r="N23" i="3"/>
  <c r="M23" i="3"/>
  <c r="K25" i="3"/>
  <c r="J25" i="3"/>
  <c r="I25" i="3"/>
  <c r="K24" i="3"/>
  <c r="J24" i="3"/>
  <c r="I24" i="3"/>
  <c r="K23" i="3"/>
  <c r="J23" i="3"/>
  <c r="I23" i="3"/>
  <c r="K22" i="3"/>
  <c r="J22" i="3"/>
  <c r="I22" i="3"/>
  <c r="G25" i="3"/>
  <c r="G23" i="3"/>
  <c r="L19" i="3"/>
  <c r="H19" i="3"/>
  <c r="G19" i="3"/>
  <c r="AX68" i="20" l="1"/>
  <c r="S83" i="16"/>
  <c r="J90" i="20"/>
  <c r="BA82" i="8"/>
  <c r="AX67" i="20"/>
  <c r="BA81" i="8"/>
  <c r="AX66" i="20"/>
  <c r="AY90" i="20"/>
  <c r="BB111" i="8"/>
  <c r="BK111" i="8" s="1"/>
  <c r="BB82" i="8"/>
  <c r="AY67" i="20"/>
  <c r="BB81" i="8"/>
  <c r="AY66" i="20"/>
  <c r="AY87" i="20"/>
  <c r="BB108" i="8"/>
  <c r="BA108" i="8"/>
  <c r="AX87" i="20"/>
  <c r="H147" i="3"/>
  <c r="I147" i="3" s="1"/>
  <c r="Y104" i="8"/>
  <c r="BF104" i="8" s="1"/>
  <c r="X104" i="3"/>
  <c r="Y104" i="2"/>
  <c r="BF104" i="2" s="1"/>
  <c r="AA104" i="3"/>
  <c r="AK104" i="8"/>
  <c r="AK104" i="2"/>
  <c r="H142" i="3"/>
  <c r="I142" i="3" s="1"/>
  <c r="X104" i="8"/>
  <c r="X104" i="2"/>
  <c r="AJ104" i="2"/>
  <c r="AJ104" i="8"/>
  <c r="X103" i="2"/>
  <c r="X105" i="8"/>
  <c r="X105" i="9"/>
  <c r="X105" i="2"/>
  <c r="AJ103" i="2"/>
  <c r="AJ105" i="8"/>
  <c r="AJ105" i="9"/>
  <c r="AJ105" i="2"/>
  <c r="Y103" i="2"/>
  <c r="BF103" i="2" s="1"/>
  <c r="Y105" i="8"/>
  <c r="BF105" i="8" s="1"/>
  <c r="X105" i="3"/>
  <c r="Y105" i="9"/>
  <c r="BF105" i="9" s="1"/>
  <c r="Y105" i="2"/>
  <c r="BF105" i="2" s="1"/>
  <c r="AA105" i="3"/>
  <c r="AK103" i="2"/>
  <c r="AK105" i="8"/>
  <c r="AK105" i="9"/>
  <c r="AK105" i="2"/>
  <c r="H156" i="3"/>
  <c r="I156" i="3" s="1"/>
  <c r="H139" i="3"/>
  <c r="I139" i="3" s="1"/>
  <c r="H152" i="3"/>
  <c r="I152" i="3" s="1"/>
  <c r="H138" i="3"/>
  <c r="I138" i="3" s="1"/>
  <c r="H141" i="3"/>
  <c r="I141" i="3" s="1"/>
  <c r="H145" i="3"/>
  <c r="I145" i="3" s="1"/>
  <c r="H144" i="3"/>
  <c r="I144" i="3" s="1"/>
  <c r="H140" i="3"/>
  <c r="I140" i="3" s="1"/>
  <c r="H143" i="3"/>
  <c r="I143" i="3" s="1"/>
  <c r="H149" i="3"/>
  <c r="I149" i="3" s="1"/>
  <c r="H153" i="3"/>
  <c r="I153" i="3" s="1"/>
  <c r="H154" i="3"/>
  <c r="I154" i="3" s="1"/>
  <c r="H155" i="3"/>
  <c r="I155" i="3" s="1"/>
  <c r="BK82" i="8" l="1"/>
  <c r="BK108" i="8"/>
  <c r="BB111" i="16"/>
  <c r="BK111" i="16" s="1"/>
  <c r="K90" i="20"/>
  <c r="BK81" i="8"/>
  <c r="BA108" i="16"/>
  <c r="J87" i="20"/>
  <c r="BB108" i="16"/>
  <c r="K87" i="20"/>
  <c r="H165" i="3"/>
  <c r="H169" i="3"/>
  <c r="H166" i="3"/>
  <c r="BK108" i="16" l="1"/>
  <c r="BJ52" i="20"/>
  <c r="AP52" i="20"/>
  <c r="V52" i="20"/>
  <c r="B52" i="20"/>
  <c r="BJ51" i="20"/>
  <c r="AP51" i="20"/>
  <c r="V51" i="20"/>
  <c r="B51" i="20"/>
  <c r="BS60" i="20"/>
  <c r="BS57" i="20"/>
  <c r="BR57" i="20"/>
  <c r="BM61" i="20"/>
  <c r="BM60" i="20"/>
  <c r="BM59" i="20"/>
  <c r="BM58" i="20"/>
  <c r="BM57" i="20"/>
  <c r="BS35" i="20"/>
  <c r="BS34" i="20"/>
  <c r="BR34" i="20"/>
  <c r="BV36" i="20"/>
  <c r="BU36" i="20"/>
  <c r="BT35" i="20"/>
  <c r="BM37" i="20"/>
  <c r="BM36" i="20"/>
  <c r="BM35" i="20"/>
  <c r="BM34" i="20"/>
  <c r="BM32" i="20"/>
  <c r="BM31" i="20"/>
  <c r="BS27" i="20" l="1"/>
  <c r="BV28" i="20"/>
  <c r="BU28" i="20"/>
  <c r="BM28" i="20"/>
  <c r="BM27" i="20"/>
  <c r="BM26" i="20"/>
  <c r="BM24" i="20"/>
  <c r="BM23" i="20"/>
  <c r="BM22" i="20"/>
  <c r="BM20" i="20"/>
  <c r="BM19" i="20"/>
  <c r="BW16" i="20"/>
  <c r="BM16" i="20"/>
  <c r="BM15" i="20"/>
  <c r="BM13" i="20"/>
  <c r="BC16" i="20"/>
  <c r="AS16" i="20"/>
  <c r="AS15" i="20"/>
  <c r="AS13" i="20"/>
  <c r="AY27" i="20"/>
  <c r="BB28" i="20"/>
  <c r="BA28" i="20"/>
  <c r="AS20" i="20"/>
  <c r="AS19" i="20"/>
  <c r="AS28" i="20"/>
  <c r="AS27" i="20"/>
  <c r="AS26" i="20"/>
  <c r="AS24" i="20"/>
  <c r="AS23" i="20"/>
  <c r="AS22" i="20"/>
  <c r="AS32" i="20"/>
  <c r="AS31" i="20"/>
  <c r="AY34" i="20"/>
  <c r="AY35" i="20"/>
  <c r="AX34" i="20"/>
  <c r="BB36" i="20"/>
  <c r="BA36" i="20"/>
  <c r="AZ35" i="20"/>
  <c r="AS37" i="20"/>
  <c r="AS36" i="20"/>
  <c r="AS35" i="20"/>
  <c r="AS34" i="20"/>
  <c r="AY60" i="20"/>
  <c r="AY57" i="20"/>
  <c r="AX57" i="20"/>
  <c r="AS58" i="20"/>
  <c r="AS59" i="20"/>
  <c r="AS60" i="20"/>
  <c r="AS61" i="20"/>
  <c r="AS57" i="20"/>
  <c r="AE60" i="20"/>
  <c r="AE57" i="20"/>
  <c r="AD57" i="20"/>
  <c r="Y58" i="20"/>
  <c r="Y59" i="20"/>
  <c r="Y60" i="20"/>
  <c r="Y61" i="20"/>
  <c r="Y57" i="20"/>
  <c r="AE35" i="20"/>
  <c r="AE34" i="20"/>
  <c r="AD34" i="20"/>
  <c r="AH36" i="20"/>
  <c r="AG36" i="20"/>
  <c r="AF35" i="20"/>
  <c r="Y37" i="20"/>
  <c r="Y36" i="20"/>
  <c r="Y35" i="20"/>
  <c r="Y34" i="20"/>
  <c r="Y32" i="20"/>
  <c r="Y31" i="20"/>
  <c r="AE27" i="20"/>
  <c r="AH28" i="20"/>
  <c r="AG28" i="20"/>
  <c r="Y28" i="20"/>
  <c r="Y27" i="20"/>
  <c r="Y26" i="20"/>
  <c r="Y24" i="20"/>
  <c r="Y23" i="20"/>
  <c r="Y22" i="20"/>
  <c r="Y20" i="20"/>
  <c r="Y19" i="20"/>
  <c r="AI16" i="20"/>
  <c r="Y16" i="20"/>
  <c r="Y15" i="20"/>
  <c r="Y13" i="20"/>
  <c r="BK28" i="20"/>
  <c r="BK27" i="20"/>
  <c r="BK26" i="20"/>
  <c r="BK24" i="20"/>
  <c r="BK23" i="20"/>
  <c r="BK22" i="20"/>
  <c r="BK20" i="20"/>
  <c r="BK19" i="20"/>
  <c r="BJ8" i="20"/>
  <c r="BJ7" i="20"/>
  <c r="AQ28" i="20"/>
  <c r="AQ27" i="20"/>
  <c r="AQ26" i="20"/>
  <c r="AQ24" i="20"/>
  <c r="AQ23" i="20"/>
  <c r="AQ22" i="20"/>
  <c r="AQ20" i="20"/>
  <c r="AQ19" i="20"/>
  <c r="AP8" i="20"/>
  <c r="AP7" i="20"/>
  <c r="W28" i="20"/>
  <c r="W27" i="20"/>
  <c r="W26" i="20"/>
  <c r="W24" i="20"/>
  <c r="W23" i="20"/>
  <c r="W22" i="20"/>
  <c r="W20" i="20"/>
  <c r="W19" i="20"/>
  <c r="V8" i="20"/>
  <c r="V7" i="20"/>
  <c r="G9" i="10" l="1"/>
  <c r="B8" i="20"/>
  <c r="B7" i="20"/>
  <c r="G18" i="11" l="1"/>
  <c r="F18" i="11"/>
  <c r="H18" i="11"/>
  <c r="F77" i="11"/>
  <c r="I77" i="11" s="1"/>
  <c r="G77" i="11"/>
  <c r="H77" i="11"/>
  <c r="H46" i="11"/>
  <c r="G56" i="19"/>
  <c r="B1" i="20"/>
  <c r="C32" i="20"/>
  <c r="C31" i="20"/>
  <c r="C28" i="20"/>
  <c r="C27" i="20"/>
  <c r="C26" i="20"/>
  <c r="C24" i="20"/>
  <c r="C23" i="20"/>
  <c r="C22" i="20"/>
  <c r="C20" i="20"/>
  <c r="C19" i="20"/>
  <c r="C16" i="20"/>
  <c r="C15" i="20"/>
  <c r="C13" i="20"/>
  <c r="I18" i="11" l="1"/>
  <c r="G86" i="19"/>
  <c r="C24" i="4" l="1"/>
  <c r="C25" i="4" l="1"/>
  <c r="F45" i="13" l="1"/>
  <c r="D34" i="13" l="1"/>
  <c r="D35" i="13"/>
  <c r="D36" i="13"/>
  <c r="D37" i="13"/>
  <c r="D38" i="13"/>
  <c r="D39" i="13"/>
  <c r="D40" i="13"/>
  <c r="D41" i="13"/>
  <c r="D42" i="13"/>
  <c r="D43" i="13"/>
  <c r="D44" i="13"/>
  <c r="D33" i="13"/>
  <c r="D38" i="14"/>
  <c r="D32" i="14"/>
  <c r="D15" i="14"/>
  <c r="D14" i="14"/>
  <c r="D12" i="14"/>
  <c r="D12" i="13"/>
  <c r="H15" i="4"/>
  <c r="H12" i="4"/>
  <c r="D13" i="14" l="1"/>
  <c r="E42" i="18"/>
  <c r="F42" i="18"/>
  <c r="G42" i="18"/>
  <c r="H42" i="18"/>
  <c r="H43" i="18" s="1"/>
  <c r="I42" i="18"/>
  <c r="I43" i="18" s="1"/>
  <c r="D42" i="18"/>
  <c r="H72" i="18"/>
  <c r="H73" i="18" s="1"/>
  <c r="I72" i="18"/>
  <c r="I73" i="18" s="1"/>
  <c r="G58" i="18"/>
  <c r="H58" i="18"/>
  <c r="H59" i="18" s="1"/>
  <c r="I58" i="18"/>
  <c r="I59" i="18" s="1"/>
  <c r="D58" i="18"/>
  <c r="E67" i="18" l="1"/>
  <c r="F67" i="18"/>
  <c r="G67" i="18"/>
  <c r="H67" i="18"/>
  <c r="I67" i="18"/>
  <c r="D67" i="18"/>
  <c r="E20" i="18" l="1"/>
  <c r="F20" i="18"/>
  <c r="G20" i="18"/>
  <c r="D20" i="18"/>
  <c r="F68" i="18" l="1"/>
  <c r="F69" i="18" s="1"/>
  <c r="E68" i="18"/>
  <c r="E69" i="18" s="1"/>
  <c r="D68" i="18"/>
  <c r="D69" i="18" s="1"/>
  <c r="E51" i="18"/>
  <c r="E52" i="18" s="1"/>
  <c r="E53" i="18" s="1"/>
  <c r="F51" i="18"/>
  <c r="F52" i="18" s="1"/>
  <c r="F53" i="18" s="1"/>
  <c r="G51" i="18"/>
  <c r="D51" i="18"/>
  <c r="D52" i="18" s="1"/>
  <c r="E36" i="18"/>
  <c r="E35" i="18"/>
  <c r="F35" i="18"/>
  <c r="F36" i="18" s="1"/>
  <c r="G35" i="18"/>
  <c r="D35" i="18"/>
  <c r="D36" i="18" s="1"/>
  <c r="D43" i="18" l="1"/>
  <c r="D37" i="18"/>
  <c r="F43" i="18"/>
  <c r="F37" i="18"/>
  <c r="E43" i="18"/>
  <c r="E37" i="18"/>
  <c r="D59" i="18"/>
  <c r="D53" i="18"/>
  <c r="E72" i="18"/>
  <c r="E73" i="18"/>
  <c r="F72" i="18"/>
  <c r="F73" i="18" s="1"/>
  <c r="D72" i="18"/>
  <c r="D73" i="18" s="1"/>
  <c r="E56" i="18"/>
  <c r="E58" i="18" l="1"/>
  <c r="E59" i="18" s="1"/>
  <c r="F57" i="18"/>
  <c r="F58" i="18" s="1"/>
  <c r="F59" i="18" s="1"/>
  <c r="G11" i="18" l="1"/>
  <c r="G13" i="18" s="1"/>
  <c r="G24" i="18" s="1"/>
  <c r="F12" i="18" l="1"/>
  <c r="E12" i="18"/>
  <c r="E11" i="18" s="1"/>
  <c r="E13" i="18" s="1"/>
  <c r="E24" i="18" s="1"/>
  <c r="D12" i="18"/>
  <c r="D11" i="18" s="1"/>
  <c r="D13" i="18" s="1"/>
  <c r="D24" i="18" s="1"/>
  <c r="F11" i="18" l="1"/>
  <c r="F13" i="18" s="1"/>
  <c r="F24" i="18" s="1"/>
  <c r="B1" i="3"/>
  <c r="B1" i="16"/>
  <c r="B1" i="9"/>
  <c r="B1" i="8"/>
  <c r="B1" i="2"/>
  <c r="N35" i="4" l="1"/>
  <c r="O14" i="4"/>
  <c r="N14" i="4"/>
  <c r="N45" i="4"/>
  <c r="J14" i="14"/>
  <c r="J14" i="13"/>
  <c r="N20" i="4"/>
  <c r="H16" i="4" l="1"/>
  <c r="I15" i="4"/>
  <c r="Q390" i="17" l="1"/>
  <c r="Q389" i="17"/>
  <c r="H389" i="17"/>
  <c r="T389" i="17" s="1"/>
  <c r="T126" i="9" s="1"/>
  <c r="G389" i="17"/>
  <c r="F389" i="17"/>
  <c r="R389" i="17" s="1"/>
  <c r="Q388" i="17"/>
  <c r="H388" i="17"/>
  <c r="T388" i="17" s="1"/>
  <c r="S126" i="9" s="1"/>
  <c r="G388" i="17"/>
  <c r="F388" i="17"/>
  <c r="R388" i="17" s="1"/>
  <c r="Q387" i="17"/>
  <c r="M387" i="17"/>
  <c r="T387" i="17"/>
  <c r="G126" i="9" s="1"/>
  <c r="S387" i="17"/>
  <c r="G126" i="8" s="1"/>
  <c r="R387" i="17"/>
  <c r="Q383" i="17"/>
  <c r="Q382" i="17"/>
  <c r="H382" i="17"/>
  <c r="T382" i="17" s="1"/>
  <c r="T125" i="9" s="1"/>
  <c r="G382" i="17"/>
  <c r="F382" i="17"/>
  <c r="R382" i="17" s="1"/>
  <c r="Q381" i="17"/>
  <c r="H381" i="17"/>
  <c r="T381" i="17" s="1"/>
  <c r="S125" i="9" s="1"/>
  <c r="G381" i="17"/>
  <c r="F381" i="17"/>
  <c r="R381" i="17" s="1"/>
  <c r="Q380" i="17"/>
  <c r="M380" i="17"/>
  <c r="T380" i="17"/>
  <c r="G125" i="9" s="1"/>
  <c r="S380" i="17"/>
  <c r="G125" i="8" s="1"/>
  <c r="R380" i="17"/>
  <c r="Q376" i="17"/>
  <c r="Q375" i="17"/>
  <c r="H375" i="17"/>
  <c r="T375" i="17" s="1"/>
  <c r="T124" i="9" s="1"/>
  <c r="G375" i="17"/>
  <c r="F375" i="17"/>
  <c r="R375" i="17" s="1"/>
  <c r="Q374" i="17"/>
  <c r="H374" i="17"/>
  <c r="T374" i="17" s="1"/>
  <c r="S124" i="9" s="1"/>
  <c r="G374" i="17"/>
  <c r="F374" i="17"/>
  <c r="Q373" i="17"/>
  <c r="M373" i="17"/>
  <c r="T373" i="17"/>
  <c r="G124" i="9" s="1"/>
  <c r="S373" i="17"/>
  <c r="G124" i="8" s="1"/>
  <c r="R373" i="17"/>
  <c r="H368" i="17"/>
  <c r="T368" i="17" s="1"/>
  <c r="T123" i="9" s="1"/>
  <c r="G368" i="17"/>
  <c r="F368" i="17"/>
  <c r="H367" i="17"/>
  <c r="T367" i="17" s="1"/>
  <c r="S123" i="9" s="1"/>
  <c r="G367" i="17"/>
  <c r="F367" i="17"/>
  <c r="R367" i="17" s="1"/>
  <c r="T366" i="17"/>
  <c r="G123" i="9" s="1"/>
  <c r="S366" i="17"/>
  <c r="G123" i="8" s="1"/>
  <c r="R366" i="17"/>
  <c r="H361" i="17"/>
  <c r="T361" i="17" s="1"/>
  <c r="T122" i="9" s="1"/>
  <c r="G361" i="17"/>
  <c r="F361" i="17"/>
  <c r="R361" i="17" s="1"/>
  <c r="H360" i="17"/>
  <c r="T360" i="17" s="1"/>
  <c r="S122" i="9" s="1"/>
  <c r="G360" i="17"/>
  <c r="F360" i="17"/>
  <c r="R360" i="17" s="1"/>
  <c r="T359" i="17"/>
  <c r="G122" i="9" s="1"/>
  <c r="S359" i="17"/>
  <c r="G122" i="8" s="1"/>
  <c r="R359" i="17"/>
  <c r="H354" i="17"/>
  <c r="T354" i="17" s="1"/>
  <c r="T121" i="9" s="1"/>
  <c r="G354" i="17"/>
  <c r="F354" i="17"/>
  <c r="R354" i="17" s="1"/>
  <c r="H353" i="17"/>
  <c r="T353" i="17" s="1"/>
  <c r="S121" i="9" s="1"/>
  <c r="G353" i="17"/>
  <c r="F353" i="17"/>
  <c r="T352" i="17"/>
  <c r="G121" i="9" s="1"/>
  <c r="S352" i="17"/>
  <c r="G121" i="8" s="1"/>
  <c r="H347" i="17"/>
  <c r="T347" i="17" s="1"/>
  <c r="T120" i="9" s="1"/>
  <c r="G347" i="17"/>
  <c r="F347" i="17"/>
  <c r="R347" i="17" s="1"/>
  <c r="H346" i="17"/>
  <c r="T346" i="17" s="1"/>
  <c r="S120" i="9" s="1"/>
  <c r="G346" i="17"/>
  <c r="F346" i="17"/>
  <c r="R346" i="17" s="1"/>
  <c r="T345" i="17"/>
  <c r="G120" i="9" s="1"/>
  <c r="S345" i="17"/>
  <c r="G120" i="8" s="1"/>
  <c r="R345" i="17"/>
  <c r="H340" i="17"/>
  <c r="T340" i="17" s="1"/>
  <c r="T119" i="9" s="1"/>
  <c r="G340" i="17"/>
  <c r="F340" i="17"/>
  <c r="R340" i="17" s="1"/>
  <c r="H339" i="17"/>
  <c r="T339" i="17" s="1"/>
  <c r="S119" i="9" s="1"/>
  <c r="G339" i="17"/>
  <c r="F339" i="17"/>
  <c r="R339" i="17" s="1"/>
  <c r="T338" i="17"/>
  <c r="G119" i="9" s="1"/>
  <c r="S338" i="17"/>
  <c r="G119" i="8" s="1"/>
  <c r="R338" i="17"/>
  <c r="H333" i="17"/>
  <c r="T333" i="17" s="1"/>
  <c r="T118" i="9" s="1"/>
  <c r="G333" i="17"/>
  <c r="F333" i="17"/>
  <c r="H332" i="17"/>
  <c r="T332" i="17" s="1"/>
  <c r="S118" i="9" s="1"/>
  <c r="G332" i="17"/>
  <c r="F332" i="17"/>
  <c r="T331" i="17"/>
  <c r="G118" i="9" s="1"/>
  <c r="S331" i="17"/>
  <c r="G118" i="8" s="1"/>
  <c r="R331" i="17"/>
  <c r="H322" i="17"/>
  <c r="T322" i="17" s="1"/>
  <c r="T116" i="9" s="1"/>
  <c r="G322" i="17"/>
  <c r="S322" i="17" s="1"/>
  <c r="T116" i="8" s="1"/>
  <c r="F322" i="17"/>
  <c r="R322" i="17" s="1"/>
  <c r="H321" i="17"/>
  <c r="T321" i="17" s="1"/>
  <c r="S116" i="9" s="1"/>
  <c r="G321" i="17"/>
  <c r="S321" i="17" s="1"/>
  <c r="S116" i="8" s="1"/>
  <c r="F321" i="17"/>
  <c r="R321" i="17" s="1"/>
  <c r="T320" i="17"/>
  <c r="G116" i="9" s="1"/>
  <c r="S320" i="17"/>
  <c r="G116" i="8" s="1"/>
  <c r="R320" i="17"/>
  <c r="H315" i="17"/>
  <c r="T315" i="17" s="1"/>
  <c r="T115" i="9" s="1"/>
  <c r="G315" i="17"/>
  <c r="S315" i="17" s="1"/>
  <c r="T115" i="8" s="1"/>
  <c r="F315" i="17"/>
  <c r="H314" i="17"/>
  <c r="T314" i="17" s="1"/>
  <c r="S115" i="9" s="1"/>
  <c r="G314" i="17"/>
  <c r="S314" i="17" s="1"/>
  <c r="S115" i="8" s="1"/>
  <c r="F314" i="17"/>
  <c r="R314" i="17" s="1"/>
  <c r="T313" i="17"/>
  <c r="G115" i="9" s="1"/>
  <c r="S313" i="17"/>
  <c r="G115" i="8" s="1"/>
  <c r="R313" i="17"/>
  <c r="H308" i="17"/>
  <c r="T308" i="17" s="1"/>
  <c r="T114" i="9" s="1"/>
  <c r="G308" i="17"/>
  <c r="S308" i="17" s="1"/>
  <c r="T114" i="8" s="1"/>
  <c r="F308" i="17"/>
  <c r="R308" i="17" s="1"/>
  <c r="H307" i="17"/>
  <c r="T307" i="17" s="1"/>
  <c r="S114" i="9" s="1"/>
  <c r="G307" i="17"/>
  <c r="S307" i="17" s="1"/>
  <c r="S114" i="8" s="1"/>
  <c r="F307" i="17"/>
  <c r="R307" i="17" s="1"/>
  <c r="T306" i="17"/>
  <c r="G114" i="9" s="1"/>
  <c r="S306" i="17"/>
  <c r="G114" i="8" s="1"/>
  <c r="R306" i="17"/>
  <c r="Q369" i="17"/>
  <c r="Q368" i="17"/>
  <c r="Q367" i="17"/>
  <c r="Q366" i="17"/>
  <c r="M366" i="17"/>
  <c r="Q362" i="17"/>
  <c r="Q361" i="17"/>
  <c r="Q360" i="17"/>
  <c r="Q359" i="17"/>
  <c r="M359" i="17"/>
  <c r="Q355" i="17"/>
  <c r="Q354" i="17"/>
  <c r="Q353" i="17"/>
  <c r="Q352" i="17"/>
  <c r="M352" i="17"/>
  <c r="Q348" i="17"/>
  <c r="Q347" i="17"/>
  <c r="Q346" i="17"/>
  <c r="Q345" i="17"/>
  <c r="M345" i="17"/>
  <c r="Q341" i="17"/>
  <c r="Q340" i="17"/>
  <c r="Q339" i="17"/>
  <c r="Q338" i="17"/>
  <c r="M338" i="17"/>
  <c r="Q334" i="17"/>
  <c r="Q333" i="17"/>
  <c r="Q332" i="17"/>
  <c r="Q331" i="17"/>
  <c r="M331" i="17"/>
  <c r="Q323" i="17"/>
  <c r="M323" i="17"/>
  <c r="Q322" i="17"/>
  <c r="M322" i="17"/>
  <c r="Q321" i="17"/>
  <c r="M321" i="17"/>
  <c r="Q320" i="17"/>
  <c r="M320" i="17"/>
  <c r="Q316" i="17"/>
  <c r="M316" i="17"/>
  <c r="M315" i="17"/>
  <c r="Q314" i="17"/>
  <c r="M314" i="17"/>
  <c r="Q313" i="17"/>
  <c r="M313" i="17"/>
  <c r="Q309" i="17"/>
  <c r="M309" i="17"/>
  <c r="Q308" i="17"/>
  <c r="M308" i="17"/>
  <c r="Q307" i="17"/>
  <c r="M307" i="17"/>
  <c r="Q306" i="17"/>
  <c r="M306" i="17"/>
  <c r="Q291" i="17"/>
  <c r="Q290" i="17"/>
  <c r="H290" i="17"/>
  <c r="T290" i="17" s="1"/>
  <c r="T110" i="9" s="1"/>
  <c r="G290" i="17"/>
  <c r="F290" i="17"/>
  <c r="R290" i="17" s="1"/>
  <c r="Q289" i="17"/>
  <c r="H289" i="17"/>
  <c r="T289" i="17" s="1"/>
  <c r="S110" i="9" s="1"/>
  <c r="G289" i="17"/>
  <c r="F289" i="17"/>
  <c r="R289" i="17" s="1"/>
  <c r="Q288" i="17"/>
  <c r="M288" i="17"/>
  <c r="T288" i="17"/>
  <c r="G110" i="9" s="1"/>
  <c r="S288" i="17"/>
  <c r="G110" i="8" s="1"/>
  <c r="R288" i="17"/>
  <c r="Q284" i="17"/>
  <c r="Q283" i="17"/>
  <c r="H283" i="17"/>
  <c r="T283" i="17" s="1"/>
  <c r="T109" i="9" s="1"/>
  <c r="G283" i="17"/>
  <c r="F283" i="17"/>
  <c r="R283" i="17" s="1"/>
  <c r="Q282" i="17"/>
  <c r="H282" i="17"/>
  <c r="T282" i="17" s="1"/>
  <c r="S109" i="9" s="1"/>
  <c r="G282" i="17"/>
  <c r="F282" i="17"/>
  <c r="R282" i="17" s="1"/>
  <c r="Q281" i="17"/>
  <c r="M281" i="17"/>
  <c r="T281" i="17"/>
  <c r="G109" i="9" s="1"/>
  <c r="S281" i="17"/>
  <c r="G109" i="8" s="1"/>
  <c r="R281" i="17"/>
  <c r="Q256" i="17"/>
  <c r="Q255" i="17"/>
  <c r="H255" i="17"/>
  <c r="T255" i="17" s="1"/>
  <c r="T105" i="9" s="1"/>
  <c r="G255" i="17"/>
  <c r="F255" i="17"/>
  <c r="R255" i="17" s="1"/>
  <c r="Q254" i="17"/>
  <c r="H254" i="17"/>
  <c r="T254" i="17" s="1"/>
  <c r="S105" i="9" s="1"/>
  <c r="G254" i="17"/>
  <c r="F254" i="17"/>
  <c r="R254" i="17" s="1"/>
  <c r="Q253" i="17"/>
  <c r="M253" i="17"/>
  <c r="T253" i="17"/>
  <c r="G105" i="9" s="1"/>
  <c r="S253" i="17"/>
  <c r="G105" i="8" s="1"/>
  <c r="R253" i="17"/>
  <c r="Q249" i="17"/>
  <c r="Q248" i="17"/>
  <c r="H248" i="17"/>
  <c r="T248" i="17" s="1"/>
  <c r="T104" i="9" s="1"/>
  <c r="G248" i="17"/>
  <c r="F248" i="17"/>
  <c r="R248" i="17" s="1"/>
  <c r="Q247" i="17"/>
  <c r="H247" i="17"/>
  <c r="T247" i="17" s="1"/>
  <c r="S104" i="9" s="1"/>
  <c r="G247" i="17"/>
  <c r="F247" i="17"/>
  <c r="R247" i="17" s="1"/>
  <c r="Q246" i="17"/>
  <c r="M246" i="17"/>
  <c r="T246" i="17"/>
  <c r="G104" i="9" s="1"/>
  <c r="S246" i="17"/>
  <c r="G104" i="8" s="1"/>
  <c r="R246" i="17"/>
  <c r="Q242" i="17"/>
  <c r="Q241" i="17"/>
  <c r="H241" i="17"/>
  <c r="T241" i="17" s="1"/>
  <c r="T103" i="9" s="1"/>
  <c r="G241" i="17"/>
  <c r="F241" i="17"/>
  <c r="R241" i="17" s="1"/>
  <c r="Q240" i="17"/>
  <c r="H240" i="17"/>
  <c r="T240" i="17" s="1"/>
  <c r="S103" i="9" s="1"/>
  <c r="G240" i="17"/>
  <c r="F240" i="17"/>
  <c r="R240" i="17" s="1"/>
  <c r="Q239" i="17"/>
  <c r="M239" i="17"/>
  <c r="T239" i="17"/>
  <c r="G103" i="9" s="1"/>
  <c r="S239" i="17"/>
  <c r="G103" i="8" s="1"/>
  <c r="R239" i="17"/>
  <c r="Q235" i="17"/>
  <c r="Q234" i="17"/>
  <c r="H234" i="17"/>
  <c r="T234" i="17" s="1"/>
  <c r="T102" i="9" s="1"/>
  <c r="G234" i="17"/>
  <c r="F234" i="17"/>
  <c r="R234" i="17" s="1"/>
  <c r="Q233" i="17"/>
  <c r="H233" i="17"/>
  <c r="T233" i="17" s="1"/>
  <c r="S102" i="9" s="1"/>
  <c r="G233" i="17"/>
  <c r="F233" i="17"/>
  <c r="R233" i="17" s="1"/>
  <c r="Q232" i="17"/>
  <c r="M232" i="17"/>
  <c r="T232" i="17"/>
  <c r="G102" i="9" s="1"/>
  <c r="S232" i="17"/>
  <c r="G102" i="8" s="1"/>
  <c r="R232" i="17"/>
  <c r="Q138" i="17"/>
  <c r="T136" i="17"/>
  <c r="T80" i="9" s="1"/>
  <c r="S136" i="17"/>
  <c r="T80" i="8" s="1"/>
  <c r="R136" i="17"/>
  <c r="Q136" i="17"/>
  <c r="M136" i="17"/>
  <c r="T135" i="17"/>
  <c r="S80" i="9" s="1"/>
  <c r="S135" i="17"/>
  <c r="S80" i="8" s="1"/>
  <c r="R135" i="17"/>
  <c r="Q135" i="17"/>
  <c r="M135" i="17"/>
  <c r="T134" i="17"/>
  <c r="G80" i="9" s="1"/>
  <c r="S134" i="17"/>
  <c r="G80" i="8" s="1"/>
  <c r="R134" i="17"/>
  <c r="G80" i="2" s="1"/>
  <c r="Q134" i="17"/>
  <c r="M134" i="17"/>
  <c r="Q122" i="17"/>
  <c r="T120" i="17"/>
  <c r="T78" i="9" s="1"/>
  <c r="S120" i="17"/>
  <c r="T78" i="8" s="1"/>
  <c r="R120" i="17"/>
  <c r="Q120" i="17"/>
  <c r="M120" i="17"/>
  <c r="T119" i="17"/>
  <c r="S78" i="9" s="1"/>
  <c r="S119" i="17"/>
  <c r="S78" i="8" s="1"/>
  <c r="R119" i="17"/>
  <c r="Q119" i="17"/>
  <c r="M119" i="17"/>
  <c r="T118" i="17"/>
  <c r="G78" i="9" s="1"/>
  <c r="S118" i="17"/>
  <c r="G78" i="8" s="1"/>
  <c r="R118" i="17"/>
  <c r="G78" i="2" s="1"/>
  <c r="Q118" i="17"/>
  <c r="M118" i="17"/>
  <c r="Q114" i="17"/>
  <c r="Q112" i="17"/>
  <c r="M112" i="17"/>
  <c r="T112" i="17"/>
  <c r="T77" i="9" s="1"/>
  <c r="S112" i="17"/>
  <c r="T77" i="8" s="1"/>
  <c r="R112" i="17"/>
  <c r="Q111" i="17"/>
  <c r="M111" i="17"/>
  <c r="T111" i="17"/>
  <c r="S77" i="9" s="1"/>
  <c r="S111" i="17"/>
  <c r="S77" i="8" s="1"/>
  <c r="R111" i="17"/>
  <c r="Q110" i="17"/>
  <c r="M110" i="17"/>
  <c r="T110" i="17"/>
  <c r="G77" i="9" s="1"/>
  <c r="S110" i="17"/>
  <c r="G77" i="8" s="1"/>
  <c r="R110" i="17"/>
  <c r="G77" i="2" s="1"/>
  <c r="Q14" i="17"/>
  <c r="M14" i="17"/>
  <c r="Q12" i="17"/>
  <c r="M12" i="17"/>
  <c r="T12" i="17"/>
  <c r="T53" i="9" s="1"/>
  <c r="S12" i="17"/>
  <c r="T53" i="8" s="1"/>
  <c r="R12" i="17"/>
  <c r="Q11" i="17"/>
  <c r="M11" i="17"/>
  <c r="T11" i="17"/>
  <c r="S53" i="9" s="1"/>
  <c r="S11" i="17"/>
  <c r="S53" i="8" s="1"/>
  <c r="R11" i="17"/>
  <c r="Q10" i="17"/>
  <c r="M10" i="17"/>
  <c r="T10" i="17"/>
  <c r="G53" i="9" s="1"/>
  <c r="S10" i="17"/>
  <c r="G53" i="8" s="1"/>
  <c r="R186" i="17"/>
  <c r="S186" i="17"/>
  <c r="G95" i="8" s="1"/>
  <c r="T186" i="17"/>
  <c r="G95" i="9" s="1"/>
  <c r="M186" i="17"/>
  <c r="Q186" i="17"/>
  <c r="F187" i="17"/>
  <c r="R187" i="17" s="1"/>
  <c r="G187" i="17"/>
  <c r="S187" i="17" s="1"/>
  <c r="S95" i="8" s="1"/>
  <c r="H187" i="17"/>
  <c r="T187" i="17" s="1"/>
  <c r="S95" i="9" s="1"/>
  <c r="M187" i="17"/>
  <c r="Q187" i="17"/>
  <c r="Q203" i="17"/>
  <c r="Q202" i="17"/>
  <c r="H202" i="17"/>
  <c r="T202" i="17" s="1"/>
  <c r="T97" i="9" s="1"/>
  <c r="G202" i="17"/>
  <c r="F202" i="17"/>
  <c r="R202" i="17" s="1"/>
  <c r="Q201" i="17"/>
  <c r="H201" i="17"/>
  <c r="T201" i="17" s="1"/>
  <c r="S97" i="9" s="1"/>
  <c r="G201" i="17"/>
  <c r="F201" i="17"/>
  <c r="R201" i="17" s="1"/>
  <c r="Q200" i="17"/>
  <c r="M200" i="17"/>
  <c r="T200" i="17"/>
  <c r="G97" i="9" s="1"/>
  <c r="S200" i="17"/>
  <c r="G97" i="8" s="1"/>
  <c r="R200" i="17"/>
  <c r="Q196" i="17"/>
  <c r="M196" i="17"/>
  <c r="M195" i="17"/>
  <c r="H195" i="17"/>
  <c r="T195" i="17" s="1"/>
  <c r="T96" i="9" s="1"/>
  <c r="G195" i="17"/>
  <c r="S195" i="17" s="1"/>
  <c r="T96" i="8" s="1"/>
  <c r="F195" i="17"/>
  <c r="Q194" i="17"/>
  <c r="M194" i="17"/>
  <c r="H194" i="17"/>
  <c r="T194" i="17" s="1"/>
  <c r="S96" i="9" s="1"/>
  <c r="G194" i="17"/>
  <c r="S194" i="17" s="1"/>
  <c r="S96" i="8" s="1"/>
  <c r="F194" i="17"/>
  <c r="R194" i="17" s="1"/>
  <c r="Q193" i="17"/>
  <c r="M193" i="17"/>
  <c r="T193" i="17"/>
  <c r="G96" i="9" s="1"/>
  <c r="S193" i="17"/>
  <c r="G96" i="8" s="1"/>
  <c r="R193" i="17"/>
  <c r="Q224" i="17"/>
  <c r="H223" i="17"/>
  <c r="T223" i="17" s="1"/>
  <c r="T100" i="9" s="1"/>
  <c r="G223" i="17"/>
  <c r="F223" i="17"/>
  <c r="Q222" i="17"/>
  <c r="H222" i="17"/>
  <c r="T222" i="17" s="1"/>
  <c r="S100" i="9" s="1"/>
  <c r="G222" i="17"/>
  <c r="F222" i="17"/>
  <c r="R222" i="17" s="1"/>
  <c r="Q221" i="17"/>
  <c r="M221" i="17"/>
  <c r="T221" i="17"/>
  <c r="G100" i="9" s="1"/>
  <c r="S221" i="17"/>
  <c r="G100" i="8" s="1"/>
  <c r="R221" i="17"/>
  <c r="Q217" i="17"/>
  <c r="M217" i="17"/>
  <c r="Q216" i="17"/>
  <c r="M216" i="17"/>
  <c r="H216" i="17"/>
  <c r="T216" i="17" s="1"/>
  <c r="T99" i="9" s="1"/>
  <c r="G216" i="17"/>
  <c r="S216" i="17" s="1"/>
  <c r="T99" i="8" s="1"/>
  <c r="F216" i="17"/>
  <c r="R216" i="17" s="1"/>
  <c r="Q215" i="17"/>
  <c r="M215" i="17"/>
  <c r="H215" i="17"/>
  <c r="T215" i="17" s="1"/>
  <c r="S99" i="9" s="1"/>
  <c r="G215" i="17"/>
  <c r="S215" i="17" s="1"/>
  <c r="S99" i="8" s="1"/>
  <c r="F215" i="17"/>
  <c r="Q214" i="17"/>
  <c r="M214" i="17"/>
  <c r="T214" i="17"/>
  <c r="G99" i="9" s="1"/>
  <c r="S214" i="17"/>
  <c r="G99" i="8" s="1"/>
  <c r="Q210" i="17"/>
  <c r="M210" i="17"/>
  <c r="Q209" i="17"/>
  <c r="M209" i="17"/>
  <c r="H209" i="17"/>
  <c r="T209" i="17" s="1"/>
  <c r="T98" i="9" s="1"/>
  <c r="G209" i="17"/>
  <c r="S209" i="17" s="1"/>
  <c r="T98" i="8" s="1"/>
  <c r="F209" i="17"/>
  <c r="R209" i="17" s="1"/>
  <c r="Q208" i="17"/>
  <c r="M208" i="17"/>
  <c r="H208" i="17"/>
  <c r="T208" i="17" s="1"/>
  <c r="S98" i="9" s="1"/>
  <c r="G208" i="17"/>
  <c r="S208" i="17" s="1"/>
  <c r="S98" i="8" s="1"/>
  <c r="F208" i="17"/>
  <c r="R208" i="17" s="1"/>
  <c r="Q207" i="17"/>
  <c r="M207" i="17"/>
  <c r="T207" i="17"/>
  <c r="G98" i="9" s="1"/>
  <c r="S207" i="17"/>
  <c r="G98" i="8" s="1"/>
  <c r="R207" i="17"/>
  <c r="H188" i="17"/>
  <c r="T188" i="17" s="1"/>
  <c r="T95" i="9" s="1"/>
  <c r="G188" i="17"/>
  <c r="F188" i="17"/>
  <c r="R188" i="17" s="1"/>
  <c r="Q189" i="17"/>
  <c r="Q188" i="17"/>
  <c r="M189" i="17"/>
  <c r="M188" i="17"/>
  <c r="H113" i="11"/>
  <c r="G96" i="19"/>
  <c r="H96" i="19" s="1"/>
  <c r="J96" i="19" s="1"/>
  <c r="H73" i="11"/>
  <c r="G73" i="11"/>
  <c r="G95" i="19"/>
  <c r="H95" i="19" s="1"/>
  <c r="J95" i="19" s="1"/>
  <c r="G27" i="11"/>
  <c r="G52" i="11"/>
  <c r="H27" i="11"/>
  <c r="G94" i="19"/>
  <c r="H94" i="19" s="1"/>
  <c r="J94" i="19" s="1"/>
  <c r="F27" i="11"/>
  <c r="G80" i="16" l="1"/>
  <c r="G78" i="16"/>
  <c r="G77" i="16"/>
  <c r="K222" i="17"/>
  <c r="M222" i="17" s="1"/>
  <c r="K233" i="17"/>
  <c r="M233" i="17" s="1"/>
  <c r="K248" i="17"/>
  <c r="M248" i="17" s="1"/>
  <c r="K282" i="17"/>
  <c r="M282" i="17" s="1"/>
  <c r="K346" i="17"/>
  <c r="M346" i="17" s="1"/>
  <c r="K347" i="17"/>
  <c r="M347" i="17" s="1"/>
  <c r="K353" i="17"/>
  <c r="M353" i="17" s="1"/>
  <c r="K354" i="17"/>
  <c r="M354" i="17" s="1"/>
  <c r="K382" i="17"/>
  <c r="M382" i="17" s="1"/>
  <c r="K240" i="17"/>
  <c r="M240" i="17" s="1"/>
  <c r="K255" i="17"/>
  <c r="M255" i="17" s="1"/>
  <c r="K289" i="17"/>
  <c r="M289" i="17" s="1"/>
  <c r="K360" i="17"/>
  <c r="M360" i="17" s="1"/>
  <c r="K361" i="17"/>
  <c r="M361" i="17" s="1"/>
  <c r="K374" i="17"/>
  <c r="M374" i="17" s="1"/>
  <c r="K389" i="17"/>
  <c r="M389" i="17" s="1"/>
  <c r="K202" i="17"/>
  <c r="M202" i="17" s="1"/>
  <c r="K234" i="17"/>
  <c r="M234" i="17" s="1"/>
  <c r="K283" i="17"/>
  <c r="M283" i="17" s="1"/>
  <c r="K332" i="17"/>
  <c r="M332" i="17" s="1"/>
  <c r="K333" i="17"/>
  <c r="M333" i="17" s="1"/>
  <c r="K367" i="17"/>
  <c r="M367" i="17" s="1"/>
  <c r="K368" i="17"/>
  <c r="M368" i="17" s="1"/>
  <c r="K381" i="17"/>
  <c r="M381" i="17" s="1"/>
  <c r="K201" i="17"/>
  <c r="M201" i="17" s="1"/>
  <c r="K223" i="17"/>
  <c r="M223" i="17" s="1"/>
  <c r="K247" i="17"/>
  <c r="M247" i="17" s="1"/>
  <c r="K241" i="17"/>
  <c r="M241" i="17" s="1"/>
  <c r="K254" i="17"/>
  <c r="M254" i="17" s="1"/>
  <c r="K290" i="17"/>
  <c r="M290" i="17" s="1"/>
  <c r="K339" i="17"/>
  <c r="M339" i="17" s="1"/>
  <c r="K340" i="17"/>
  <c r="M340" i="17" s="1"/>
  <c r="K375" i="17"/>
  <c r="M375" i="17" s="1"/>
  <c r="K388" i="17"/>
  <c r="M388" i="17" s="1"/>
  <c r="R195" i="17"/>
  <c r="T96" i="2" s="1"/>
  <c r="T96" i="16" s="1"/>
  <c r="Q195" i="17"/>
  <c r="R315" i="17"/>
  <c r="T115" i="2" s="1"/>
  <c r="T115" i="16" s="1"/>
  <c r="Q315" i="17"/>
  <c r="R223" i="17"/>
  <c r="T100" i="2" s="1"/>
  <c r="Q223" i="17"/>
  <c r="AO105" i="8"/>
  <c r="BH105" i="8" s="1"/>
  <c r="AO105" i="9"/>
  <c r="BH105" i="9" s="1"/>
  <c r="AO109" i="8"/>
  <c r="BH109" i="8" s="1"/>
  <c r="AO109" i="9"/>
  <c r="BH109" i="9" s="1"/>
  <c r="BB109" i="9"/>
  <c r="AO110" i="9"/>
  <c r="BH110" i="9" s="1"/>
  <c r="AO110" i="8"/>
  <c r="BH110" i="8" s="1"/>
  <c r="BB110" i="9"/>
  <c r="T53" i="2"/>
  <c r="T53" i="16" s="1"/>
  <c r="S78" i="2"/>
  <c r="S78" i="16" s="1"/>
  <c r="BA78" i="9"/>
  <c r="S80" i="2"/>
  <c r="BA80" i="8"/>
  <c r="AO104" i="8"/>
  <c r="BH104" i="8" s="1"/>
  <c r="BB105" i="9"/>
  <c r="AS62" i="20"/>
  <c r="S77" i="2"/>
  <c r="S77" i="16" s="1"/>
  <c r="AO78" i="9"/>
  <c r="BH78" i="9" s="1"/>
  <c r="T78" i="2"/>
  <c r="T78" i="16" s="1"/>
  <c r="BB78" i="9"/>
  <c r="AO80" i="9"/>
  <c r="BH80" i="9" s="1"/>
  <c r="AO80" i="8"/>
  <c r="BH80" i="8" s="1"/>
  <c r="T80" i="2"/>
  <c r="T80" i="16" s="1"/>
  <c r="BB80" i="8"/>
  <c r="BA105" i="9"/>
  <c r="BA109" i="9"/>
  <c r="BA110" i="9"/>
  <c r="T77" i="2"/>
  <c r="T77" i="16" s="1"/>
  <c r="S53" i="2"/>
  <c r="S53" i="16" s="1"/>
  <c r="BM62" i="20"/>
  <c r="BS63" i="20"/>
  <c r="BR63" i="20"/>
  <c r="S98" i="2"/>
  <c r="S98" i="16" s="1"/>
  <c r="AS79" i="20"/>
  <c r="T103" i="2"/>
  <c r="G104" i="2"/>
  <c r="BR77" i="20"/>
  <c r="BR75" i="20"/>
  <c r="S95" i="2"/>
  <c r="S95" i="16" s="1"/>
  <c r="AS74" i="20"/>
  <c r="BM81" i="20"/>
  <c r="BS81" i="20"/>
  <c r="BM82" i="20"/>
  <c r="BS82" i="20"/>
  <c r="BM83" i="20"/>
  <c r="BS83" i="20"/>
  <c r="S119" i="2"/>
  <c r="T121" i="2"/>
  <c r="G123" i="2"/>
  <c r="G123" i="16" s="1"/>
  <c r="S123" i="2"/>
  <c r="G114" i="2"/>
  <c r="G114" i="16" s="1"/>
  <c r="S114" i="2"/>
  <c r="S114" i="16" s="1"/>
  <c r="T114" i="2"/>
  <c r="T114" i="16" s="1"/>
  <c r="S115" i="2"/>
  <c r="S115" i="16" s="1"/>
  <c r="G116" i="2"/>
  <c r="G116" i="16" s="1"/>
  <c r="S116" i="2"/>
  <c r="S116" i="16" s="1"/>
  <c r="T119" i="2"/>
  <c r="G120" i="2"/>
  <c r="G120" i="16" s="1"/>
  <c r="G122" i="2"/>
  <c r="G122" i="16" s="1"/>
  <c r="S122" i="2"/>
  <c r="G124" i="2"/>
  <c r="G124" i="16" s="1"/>
  <c r="T124" i="2"/>
  <c r="G125" i="2"/>
  <c r="G125" i="16" s="1"/>
  <c r="T125" i="2"/>
  <c r="G126" i="2"/>
  <c r="G126" i="16" s="1"/>
  <c r="T126" i="2"/>
  <c r="BS74" i="20"/>
  <c r="AY78" i="20"/>
  <c r="S100" i="2"/>
  <c r="AS75" i="20"/>
  <c r="S97" i="2"/>
  <c r="G102" i="2"/>
  <c r="G102" i="16" s="1"/>
  <c r="G109" i="2"/>
  <c r="G110" i="2"/>
  <c r="G119" i="2"/>
  <c r="G119" i="16" s="1"/>
  <c r="BR104" i="20"/>
  <c r="BM77" i="20"/>
  <c r="BS77" i="20"/>
  <c r="BS78" i="20"/>
  <c r="BM79" i="20"/>
  <c r="BS79" i="20"/>
  <c r="BM75" i="20"/>
  <c r="BS75" i="20"/>
  <c r="BM76" i="20"/>
  <c r="BS76" i="20"/>
  <c r="AX74" i="20"/>
  <c r="G95" i="2"/>
  <c r="G95" i="16" s="1"/>
  <c r="BR81" i="20"/>
  <c r="BR82" i="20"/>
  <c r="BR83" i="20"/>
  <c r="T116" i="2"/>
  <c r="T116" i="16" s="1"/>
  <c r="S120" i="2"/>
  <c r="T122" i="2"/>
  <c r="AX93" i="20"/>
  <c r="AS94" i="20"/>
  <c r="AX94" i="20"/>
  <c r="AX95" i="20"/>
  <c r="AS99" i="20"/>
  <c r="AS103" i="20"/>
  <c r="AS104" i="20"/>
  <c r="S125" i="2"/>
  <c r="AS105" i="20"/>
  <c r="S126" i="2"/>
  <c r="AY77" i="20"/>
  <c r="S96" i="2"/>
  <c r="S96" i="16" s="1"/>
  <c r="AS76" i="20"/>
  <c r="G103" i="2"/>
  <c r="T104" i="2"/>
  <c r="G105" i="2"/>
  <c r="G115" i="2"/>
  <c r="G115" i="16" s="1"/>
  <c r="T120" i="2"/>
  <c r="T95" i="2"/>
  <c r="G98" i="2"/>
  <c r="G98" i="16" s="1"/>
  <c r="T98" i="2"/>
  <c r="T98" i="16" s="1"/>
  <c r="T99" i="2"/>
  <c r="T99" i="16" s="1"/>
  <c r="G100" i="2"/>
  <c r="G100" i="16" s="1"/>
  <c r="G96" i="2"/>
  <c r="G96" i="16" s="1"/>
  <c r="AX75" i="20"/>
  <c r="G97" i="2"/>
  <c r="G97" i="16" s="1"/>
  <c r="T97" i="2"/>
  <c r="BM74" i="20"/>
  <c r="S102" i="2"/>
  <c r="S103" i="2"/>
  <c r="S104" i="2"/>
  <c r="S105" i="2"/>
  <c r="S109" i="2"/>
  <c r="S110" i="2"/>
  <c r="G118" i="2"/>
  <c r="G118" i="16" s="1"/>
  <c r="BM102" i="20"/>
  <c r="BM93" i="20"/>
  <c r="BS93" i="20"/>
  <c r="BR94" i="20"/>
  <c r="BS94" i="20"/>
  <c r="BM95" i="20"/>
  <c r="BR95" i="20"/>
  <c r="BS95" i="20"/>
  <c r="BM97" i="20"/>
  <c r="BM98" i="20"/>
  <c r="BS98" i="20"/>
  <c r="BS99" i="20"/>
  <c r="BS100" i="20"/>
  <c r="BM101" i="20"/>
  <c r="BS101" i="20"/>
  <c r="BM103" i="20"/>
  <c r="BS103" i="20"/>
  <c r="BM104" i="20"/>
  <c r="BS104" i="20"/>
  <c r="BM105" i="20"/>
  <c r="BS105" i="20"/>
  <c r="U387" i="17"/>
  <c r="I374" i="17"/>
  <c r="I387" i="17"/>
  <c r="I388" i="17"/>
  <c r="I389" i="17"/>
  <c r="U380" i="17"/>
  <c r="I373" i="17"/>
  <c r="I380" i="17"/>
  <c r="I381" i="17"/>
  <c r="I382" i="17"/>
  <c r="I375" i="17"/>
  <c r="R374" i="17"/>
  <c r="U373" i="17"/>
  <c r="I331" i="17"/>
  <c r="I332" i="17"/>
  <c r="I333" i="17"/>
  <c r="R332" i="17"/>
  <c r="I338" i="17"/>
  <c r="I339" i="17"/>
  <c r="I340" i="17"/>
  <c r="I346" i="17"/>
  <c r="I347" i="17"/>
  <c r="I352" i="17"/>
  <c r="I353" i="17"/>
  <c r="I354" i="17"/>
  <c r="I361" i="17"/>
  <c r="I366" i="17"/>
  <c r="I367" i="17"/>
  <c r="I368" i="17"/>
  <c r="R333" i="17"/>
  <c r="R352" i="17"/>
  <c r="R353" i="17"/>
  <c r="R368" i="17"/>
  <c r="I359" i="17"/>
  <c r="I360" i="17"/>
  <c r="I345" i="17"/>
  <c r="U331" i="17"/>
  <c r="U338" i="17"/>
  <c r="U345" i="17"/>
  <c r="U359" i="17"/>
  <c r="U366" i="17"/>
  <c r="U306" i="17"/>
  <c r="U313" i="17"/>
  <c r="U322" i="17"/>
  <c r="U307" i="17"/>
  <c r="U308" i="17"/>
  <c r="U314" i="17"/>
  <c r="U320" i="17"/>
  <c r="U321" i="17"/>
  <c r="I306" i="17"/>
  <c r="I307" i="17"/>
  <c r="I308" i="17"/>
  <c r="I313" i="17"/>
  <c r="I314" i="17"/>
  <c r="I315" i="17"/>
  <c r="I320" i="17"/>
  <c r="I321" i="17"/>
  <c r="I322" i="17"/>
  <c r="T105" i="2"/>
  <c r="T102" i="2"/>
  <c r="T109" i="2"/>
  <c r="T110" i="2"/>
  <c r="U232" i="17"/>
  <c r="U239" i="17"/>
  <c r="U246" i="17"/>
  <c r="U253" i="17"/>
  <c r="U281" i="17"/>
  <c r="U288" i="17"/>
  <c r="I232" i="17"/>
  <c r="I233" i="17"/>
  <c r="I234" i="17"/>
  <c r="I239" i="17"/>
  <c r="I240" i="17"/>
  <c r="I241" i="17"/>
  <c r="I246" i="17"/>
  <c r="I247" i="17"/>
  <c r="I248" i="17"/>
  <c r="I253" i="17"/>
  <c r="I254" i="17"/>
  <c r="I255" i="17"/>
  <c r="I281" i="17"/>
  <c r="I282" i="17"/>
  <c r="I283" i="17"/>
  <c r="I288" i="17"/>
  <c r="I289" i="17"/>
  <c r="I290" i="17"/>
  <c r="U119" i="17"/>
  <c r="U135" i="17"/>
  <c r="U120" i="17"/>
  <c r="U136" i="17"/>
  <c r="U118" i="17"/>
  <c r="U134" i="17"/>
  <c r="U110" i="17"/>
  <c r="U111" i="17"/>
  <c r="U112" i="17"/>
  <c r="I111" i="17"/>
  <c r="I112" i="17"/>
  <c r="I187" i="17"/>
  <c r="I214" i="17"/>
  <c r="I11" i="17"/>
  <c r="I10" i="17"/>
  <c r="I188" i="17"/>
  <c r="R10" i="17"/>
  <c r="G53" i="2" s="1"/>
  <c r="G53" i="16" s="1"/>
  <c r="I12" i="17"/>
  <c r="U12" i="17"/>
  <c r="U11" i="17"/>
  <c r="U216" i="17"/>
  <c r="U221" i="17"/>
  <c r="U187" i="17"/>
  <c r="I215" i="17"/>
  <c r="I186" i="17"/>
  <c r="U186" i="17"/>
  <c r="U209" i="17"/>
  <c r="R214" i="17"/>
  <c r="I216" i="17"/>
  <c r="R215" i="17"/>
  <c r="U200" i="17"/>
  <c r="I200" i="17"/>
  <c r="I201" i="17"/>
  <c r="I202" i="17"/>
  <c r="U193" i="17"/>
  <c r="U194" i="17"/>
  <c r="I193" i="17"/>
  <c r="I194" i="17"/>
  <c r="I195" i="17"/>
  <c r="I221" i="17"/>
  <c r="I222" i="17"/>
  <c r="I223" i="17"/>
  <c r="U207" i="17"/>
  <c r="U208" i="17"/>
  <c r="I207" i="17"/>
  <c r="I208" i="17"/>
  <c r="I209" i="17"/>
  <c r="S188" i="17"/>
  <c r="T95" i="8" s="1"/>
  <c r="AM126" i="16"/>
  <c r="AL126" i="16"/>
  <c r="AK126" i="16"/>
  <c r="AJ126" i="16"/>
  <c r="AI126" i="16"/>
  <c r="AH126" i="16"/>
  <c r="AG126" i="16"/>
  <c r="AF126" i="16"/>
  <c r="AE126" i="16"/>
  <c r="AD126" i="16"/>
  <c r="AC126" i="16"/>
  <c r="AB126" i="16"/>
  <c r="AA126" i="16"/>
  <c r="Z126" i="16"/>
  <c r="Y126" i="16"/>
  <c r="X126" i="16"/>
  <c r="AM125" i="16"/>
  <c r="AL125" i="16"/>
  <c r="AK125" i="16"/>
  <c r="AJ125" i="16"/>
  <c r="AI125" i="16"/>
  <c r="AH125" i="16"/>
  <c r="AG125" i="16"/>
  <c r="AF125" i="16"/>
  <c r="AE125" i="16"/>
  <c r="AD125" i="16"/>
  <c r="AC125" i="16"/>
  <c r="AB125" i="16"/>
  <c r="AA125" i="16"/>
  <c r="Z125" i="16"/>
  <c r="Y125" i="16"/>
  <c r="X125" i="16"/>
  <c r="AM124" i="16"/>
  <c r="AL124" i="16"/>
  <c r="AK124" i="16"/>
  <c r="AJ124" i="16"/>
  <c r="AI124" i="16"/>
  <c r="AH124" i="16"/>
  <c r="AG124" i="16"/>
  <c r="AF124" i="16"/>
  <c r="AE124" i="16"/>
  <c r="AD124" i="16"/>
  <c r="AC124" i="16"/>
  <c r="AB124" i="16"/>
  <c r="AA124" i="16"/>
  <c r="Z124" i="16"/>
  <c r="Y124" i="16"/>
  <c r="X124" i="16"/>
  <c r="AM123" i="16"/>
  <c r="AL123" i="16"/>
  <c r="AK123" i="16"/>
  <c r="AJ123" i="16"/>
  <c r="AI123" i="16"/>
  <c r="AH123" i="16"/>
  <c r="AG123" i="16"/>
  <c r="AF123" i="16"/>
  <c r="AE123" i="16"/>
  <c r="AD123" i="16"/>
  <c r="AC123" i="16"/>
  <c r="AB123" i="16"/>
  <c r="AA123" i="16"/>
  <c r="Z123" i="16"/>
  <c r="Y123" i="16"/>
  <c r="X123" i="16"/>
  <c r="AM122" i="16"/>
  <c r="AL122" i="16"/>
  <c r="AK122" i="16"/>
  <c r="AJ122" i="16"/>
  <c r="AI122" i="16"/>
  <c r="AH122" i="16"/>
  <c r="AG122" i="16"/>
  <c r="AF122" i="16"/>
  <c r="AE122" i="16"/>
  <c r="AD122" i="16"/>
  <c r="AC122" i="16"/>
  <c r="AB122" i="16"/>
  <c r="AA122" i="16"/>
  <c r="Z122" i="16"/>
  <c r="Y122" i="16"/>
  <c r="X122" i="16"/>
  <c r="AM121" i="16"/>
  <c r="AL121" i="16"/>
  <c r="AK121" i="16"/>
  <c r="AJ121" i="16"/>
  <c r="AI121" i="16"/>
  <c r="AH121" i="16"/>
  <c r="AG121" i="16"/>
  <c r="AF121" i="16"/>
  <c r="AE121" i="16"/>
  <c r="AD121" i="16"/>
  <c r="AC121" i="16"/>
  <c r="AB121" i="16"/>
  <c r="AA121" i="16"/>
  <c r="Z121" i="16"/>
  <c r="Y121" i="16"/>
  <c r="X121" i="16"/>
  <c r="AM120" i="16"/>
  <c r="AL120" i="16"/>
  <c r="AK120" i="16"/>
  <c r="AJ120" i="16"/>
  <c r="AI120" i="16"/>
  <c r="AH120" i="16"/>
  <c r="AG120" i="16"/>
  <c r="AF120" i="16"/>
  <c r="AE120" i="16"/>
  <c r="AD120" i="16"/>
  <c r="AC120" i="16"/>
  <c r="AB120" i="16"/>
  <c r="AA120" i="16"/>
  <c r="Z120" i="16"/>
  <c r="Y120" i="16"/>
  <c r="X120" i="16"/>
  <c r="AM119" i="16"/>
  <c r="AL119" i="16"/>
  <c r="AK119" i="16"/>
  <c r="AJ119" i="16"/>
  <c r="AI119" i="16"/>
  <c r="AH119" i="16"/>
  <c r="AG119" i="16"/>
  <c r="AF119" i="16"/>
  <c r="AE119" i="16"/>
  <c r="AD119" i="16"/>
  <c r="AC119" i="16"/>
  <c r="AB119" i="16"/>
  <c r="AA119" i="16"/>
  <c r="Z119" i="16"/>
  <c r="Y119" i="16"/>
  <c r="X119" i="16"/>
  <c r="AM118" i="16"/>
  <c r="AL118" i="16"/>
  <c r="AK118" i="16"/>
  <c r="AJ118" i="16"/>
  <c r="AI118" i="16"/>
  <c r="AH118" i="16"/>
  <c r="AG118" i="16"/>
  <c r="AF118" i="16"/>
  <c r="AE118" i="16"/>
  <c r="AD118" i="16"/>
  <c r="AC118" i="16"/>
  <c r="AB118" i="16"/>
  <c r="AA118" i="16"/>
  <c r="Z118" i="16"/>
  <c r="Y118" i="16"/>
  <c r="X118" i="16"/>
  <c r="AM117" i="16"/>
  <c r="AL117" i="16"/>
  <c r="AK117" i="16"/>
  <c r="AJ117" i="16"/>
  <c r="AI117" i="16"/>
  <c r="AH117" i="16"/>
  <c r="AG117" i="16"/>
  <c r="AF117" i="16"/>
  <c r="AE117" i="16"/>
  <c r="AD117" i="16"/>
  <c r="AC117" i="16"/>
  <c r="AB117" i="16"/>
  <c r="AA117" i="16"/>
  <c r="Z117" i="16"/>
  <c r="Y117" i="16"/>
  <c r="X117" i="16"/>
  <c r="AM116" i="16"/>
  <c r="AL116" i="16"/>
  <c r="AK116" i="16"/>
  <c r="AJ116" i="16"/>
  <c r="AI116" i="16"/>
  <c r="AH116" i="16"/>
  <c r="AG116" i="16"/>
  <c r="AF116" i="16"/>
  <c r="AE116" i="16"/>
  <c r="AD116" i="16"/>
  <c r="AC116" i="16"/>
  <c r="AB116" i="16"/>
  <c r="AA116" i="16"/>
  <c r="Z116" i="16"/>
  <c r="Y116" i="16"/>
  <c r="X116" i="16"/>
  <c r="AM115" i="16"/>
  <c r="AL115" i="16"/>
  <c r="AK115" i="16"/>
  <c r="AJ115" i="16"/>
  <c r="AI115" i="16"/>
  <c r="AH115" i="16"/>
  <c r="AG115" i="16"/>
  <c r="AF115" i="16"/>
  <c r="AE115" i="16"/>
  <c r="AD115" i="16"/>
  <c r="AC115" i="16"/>
  <c r="AB115" i="16"/>
  <c r="AA115" i="16"/>
  <c r="Z115" i="16"/>
  <c r="Y115" i="16"/>
  <c r="X115" i="16"/>
  <c r="AM114" i="16"/>
  <c r="AL114" i="16"/>
  <c r="AK114" i="16"/>
  <c r="AJ114" i="16"/>
  <c r="AI114" i="16"/>
  <c r="AH114" i="16"/>
  <c r="AG114" i="16"/>
  <c r="AF114" i="16"/>
  <c r="AE114" i="16"/>
  <c r="AD114" i="16"/>
  <c r="AC114" i="16"/>
  <c r="AB114" i="16"/>
  <c r="AA114" i="16"/>
  <c r="Z114" i="16"/>
  <c r="Y114" i="16"/>
  <c r="X114" i="16"/>
  <c r="AM113" i="16"/>
  <c r="AL113" i="16"/>
  <c r="AK113" i="16"/>
  <c r="AJ113" i="16"/>
  <c r="AI113" i="16"/>
  <c r="AH113" i="16"/>
  <c r="AG113" i="16"/>
  <c r="AF113" i="16"/>
  <c r="AE113" i="16"/>
  <c r="AD113" i="16"/>
  <c r="AC113" i="16"/>
  <c r="AB113" i="16"/>
  <c r="AA113" i="16"/>
  <c r="Z113" i="16"/>
  <c r="Y113" i="16"/>
  <c r="X113" i="16"/>
  <c r="AM112" i="16"/>
  <c r="AL112" i="16"/>
  <c r="AK112" i="16"/>
  <c r="AJ112" i="16"/>
  <c r="AI112" i="16"/>
  <c r="AH112" i="16"/>
  <c r="AG112" i="16"/>
  <c r="AF112" i="16"/>
  <c r="AE112" i="16"/>
  <c r="AD112" i="16"/>
  <c r="AC112" i="16"/>
  <c r="AB112" i="16"/>
  <c r="AA112" i="16"/>
  <c r="Z112" i="16"/>
  <c r="Y112" i="16"/>
  <c r="X112" i="16"/>
  <c r="AM105" i="16"/>
  <c r="AL105" i="16"/>
  <c r="AK105" i="16"/>
  <c r="AJ105" i="16"/>
  <c r="AI105" i="16"/>
  <c r="AH105" i="16"/>
  <c r="AG105" i="16"/>
  <c r="AF105" i="16"/>
  <c r="AE105" i="16"/>
  <c r="AD105" i="16"/>
  <c r="AC105" i="16"/>
  <c r="AB105" i="16"/>
  <c r="AA105" i="16"/>
  <c r="Z105" i="16"/>
  <c r="Y105" i="16"/>
  <c r="X105" i="16"/>
  <c r="AM104" i="16"/>
  <c r="AL104" i="16"/>
  <c r="AK104" i="16"/>
  <c r="AJ104" i="16"/>
  <c r="AI104" i="16"/>
  <c r="AH104" i="16"/>
  <c r="AG104" i="16"/>
  <c r="AF104" i="16"/>
  <c r="AE104" i="16"/>
  <c r="AD104" i="16"/>
  <c r="AC104" i="16"/>
  <c r="AB104" i="16"/>
  <c r="AA104" i="16"/>
  <c r="Z104" i="16"/>
  <c r="Y104" i="16"/>
  <c r="X104" i="16"/>
  <c r="AM103" i="16"/>
  <c r="AL103" i="16"/>
  <c r="AK103" i="16"/>
  <c r="AJ103" i="16"/>
  <c r="AI103" i="16"/>
  <c r="AH103" i="16"/>
  <c r="AG103" i="16"/>
  <c r="AF103" i="16"/>
  <c r="AE103" i="16"/>
  <c r="AD103" i="16"/>
  <c r="AC103" i="16"/>
  <c r="AB103" i="16"/>
  <c r="AA103" i="16"/>
  <c r="Z103" i="16"/>
  <c r="Y103" i="16"/>
  <c r="X103" i="16"/>
  <c r="AM102" i="16"/>
  <c r="AL102" i="16"/>
  <c r="AK102" i="16"/>
  <c r="AJ102" i="16"/>
  <c r="AI102" i="16"/>
  <c r="AH102" i="16"/>
  <c r="AG102" i="16"/>
  <c r="AF102" i="16"/>
  <c r="AE102" i="16"/>
  <c r="AD102" i="16"/>
  <c r="AC102" i="16"/>
  <c r="AB102" i="16"/>
  <c r="AA102" i="16"/>
  <c r="Z102" i="16"/>
  <c r="Y102" i="16"/>
  <c r="X102" i="16"/>
  <c r="AM101" i="16"/>
  <c r="AL101" i="16"/>
  <c r="AK101" i="16"/>
  <c r="AJ101" i="16"/>
  <c r="AI101" i="16"/>
  <c r="AH101" i="16"/>
  <c r="AG101" i="16"/>
  <c r="AF101" i="16"/>
  <c r="AE101" i="16"/>
  <c r="AD101" i="16"/>
  <c r="AC101" i="16"/>
  <c r="AB101" i="16"/>
  <c r="AA101" i="16"/>
  <c r="Z101" i="16"/>
  <c r="Y101" i="16"/>
  <c r="X101" i="16"/>
  <c r="AM97" i="16"/>
  <c r="AL97" i="16"/>
  <c r="AK97" i="16"/>
  <c r="AJ97" i="16"/>
  <c r="AI97" i="16"/>
  <c r="AH97" i="16"/>
  <c r="AG97" i="16"/>
  <c r="AF97" i="16"/>
  <c r="AE97" i="16"/>
  <c r="AD97" i="16"/>
  <c r="AC97" i="16"/>
  <c r="AB97" i="16"/>
  <c r="AA97" i="16"/>
  <c r="Z97" i="16"/>
  <c r="Y97" i="16"/>
  <c r="X97" i="16"/>
  <c r="AM96" i="16"/>
  <c r="AL96" i="16"/>
  <c r="AK96" i="16"/>
  <c r="AJ96" i="16"/>
  <c r="AI96" i="16"/>
  <c r="AH96" i="16"/>
  <c r="AG96" i="16"/>
  <c r="AF96" i="16"/>
  <c r="AE96" i="16"/>
  <c r="AD96" i="16"/>
  <c r="AC96" i="16"/>
  <c r="AB96" i="16"/>
  <c r="AA96" i="16"/>
  <c r="Z96" i="16"/>
  <c r="Y96" i="16"/>
  <c r="X96" i="16"/>
  <c r="AM100" i="16"/>
  <c r="AL100" i="16"/>
  <c r="AK100" i="16"/>
  <c r="AJ100" i="16"/>
  <c r="AI100" i="16"/>
  <c r="AH100" i="16"/>
  <c r="AG100" i="16"/>
  <c r="AF100" i="16"/>
  <c r="AE100" i="16"/>
  <c r="AD100" i="16"/>
  <c r="AC100" i="16"/>
  <c r="AB100" i="16"/>
  <c r="AA100" i="16"/>
  <c r="Z100" i="16"/>
  <c r="Y100" i="16"/>
  <c r="X100" i="16"/>
  <c r="AM99" i="16"/>
  <c r="AL99" i="16"/>
  <c r="AK99" i="16"/>
  <c r="AJ99" i="16"/>
  <c r="AI99" i="16"/>
  <c r="AH99" i="16"/>
  <c r="AG99" i="16"/>
  <c r="AF99" i="16"/>
  <c r="AE99" i="16"/>
  <c r="AD99" i="16"/>
  <c r="AC99" i="16"/>
  <c r="AB99" i="16"/>
  <c r="AA99" i="16"/>
  <c r="Z99" i="16"/>
  <c r="Y99" i="16"/>
  <c r="X99" i="16"/>
  <c r="AM98" i="16"/>
  <c r="AL98" i="16"/>
  <c r="AK98" i="16"/>
  <c r="AJ98" i="16"/>
  <c r="AI98" i="16"/>
  <c r="AH98" i="16"/>
  <c r="AG98" i="16"/>
  <c r="AF98" i="16"/>
  <c r="AE98" i="16"/>
  <c r="AD98" i="16"/>
  <c r="AC98" i="16"/>
  <c r="AB98" i="16"/>
  <c r="AA98" i="16"/>
  <c r="Z98" i="16"/>
  <c r="Y98" i="16"/>
  <c r="X98" i="16"/>
  <c r="AM95" i="16"/>
  <c r="AL95" i="16"/>
  <c r="AK95" i="16"/>
  <c r="AJ95" i="16"/>
  <c r="AI95" i="16"/>
  <c r="AH95" i="16"/>
  <c r="AG95" i="16"/>
  <c r="AF95" i="16"/>
  <c r="AE95" i="16"/>
  <c r="AD95" i="16"/>
  <c r="AC95" i="16"/>
  <c r="AB95" i="16"/>
  <c r="AA95" i="16"/>
  <c r="Z95" i="16"/>
  <c r="Y95" i="16"/>
  <c r="X95" i="16"/>
  <c r="B113" i="16"/>
  <c r="AM94" i="16"/>
  <c r="AL94" i="16"/>
  <c r="AK94" i="16"/>
  <c r="AJ94" i="16"/>
  <c r="AI94" i="16"/>
  <c r="AH94" i="16"/>
  <c r="AG94" i="16"/>
  <c r="AF94" i="16"/>
  <c r="AE94" i="16"/>
  <c r="AD94" i="16"/>
  <c r="AC94" i="16"/>
  <c r="AB94" i="16"/>
  <c r="AA94" i="16"/>
  <c r="Z94" i="16"/>
  <c r="Y94" i="16"/>
  <c r="X94" i="16"/>
  <c r="AM93" i="16"/>
  <c r="AL93" i="16"/>
  <c r="AK93" i="16"/>
  <c r="AJ93" i="16"/>
  <c r="AI93" i="16"/>
  <c r="AH93" i="16"/>
  <c r="AG93" i="16"/>
  <c r="AF93" i="16"/>
  <c r="AE93" i="16"/>
  <c r="AD93" i="16"/>
  <c r="AC93" i="16"/>
  <c r="AB93" i="16"/>
  <c r="AA93" i="16"/>
  <c r="Z93" i="16"/>
  <c r="Y93" i="16"/>
  <c r="X93" i="16"/>
  <c r="AM92" i="16"/>
  <c r="AL92" i="16"/>
  <c r="AK92" i="16"/>
  <c r="AJ92" i="16"/>
  <c r="AI92" i="16"/>
  <c r="AH92" i="16"/>
  <c r="AG92" i="16"/>
  <c r="AF92" i="16"/>
  <c r="AE92" i="16"/>
  <c r="AD92" i="16"/>
  <c r="AC92" i="16"/>
  <c r="AB92" i="16"/>
  <c r="AA92" i="16"/>
  <c r="Z92" i="16"/>
  <c r="Y92" i="16"/>
  <c r="X92" i="16"/>
  <c r="AM91" i="16"/>
  <c r="AL91" i="16"/>
  <c r="AK91" i="16"/>
  <c r="AJ91" i="16"/>
  <c r="AI91" i="16"/>
  <c r="AH91" i="16"/>
  <c r="AG91" i="16"/>
  <c r="AF91" i="16"/>
  <c r="AE91" i="16"/>
  <c r="AD91" i="16"/>
  <c r="AC91" i="16"/>
  <c r="AB91" i="16"/>
  <c r="AA91" i="16"/>
  <c r="Z91" i="16"/>
  <c r="Y91" i="16"/>
  <c r="X91" i="16"/>
  <c r="AM90" i="16"/>
  <c r="AL90" i="16"/>
  <c r="AK90" i="16"/>
  <c r="AJ90" i="16"/>
  <c r="AI90" i="16"/>
  <c r="AH90" i="16"/>
  <c r="AG90" i="16"/>
  <c r="AF90" i="16"/>
  <c r="AE90" i="16"/>
  <c r="AD90" i="16"/>
  <c r="AC90" i="16"/>
  <c r="AB90" i="16"/>
  <c r="AA90" i="16"/>
  <c r="Z90" i="16"/>
  <c r="Y90" i="16"/>
  <c r="X90" i="16"/>
  <c r="AM89" i="16"/>
  <c r="AL89" i="16"/>
  <c r="AK89" i="16"/>
  <c r="AJ89" i="16"/>
  <c r="AI89" i="16"/>
  <c r="AH89" i="16"/>
  <c r="AG89" i="16"/>
  <c r="AF89" i="16"/>
  <c r="AE89" i="16"/>
  <c r="AD89" i="16"/>
  <c r="AC89" i="16"/>
  <c r="AB89" i="16"/>
  <c r="AA89" i="16"/>
  <c r="Z89" i="16"/>
  <c r="Y89" i="16"/>
  <c r="X89" i="16"/>
  <c r="AM88" i="16"/>
  <c r="AL88" i="16"/>
  <c r="AK88" i="16"/>
  <c r="AJ88" i="16"/>
  <c r="AI88" i="16"/>
  <c r="AH88" i="16"/>
  <c r="AG88" i="16"/>
  <c r="AF88" i="16"/>
  <c r="AE88" i="16"/>
  <c r="AD88" i="16"/>
  <c r="AC88" i="16"/>
  <c r="AB88" i="16"/>
  <c r="AA88" i="16"/>
  <c r="Z88" i="16"/>
  <c r="Y88" i="16"/>
  <c r="X88" i="16"/>
  <c r="AM87" i="16"/>
  <c r="AL87" i="16"/>
  <c r="AK87" i="16"/>
  <c r="AJ87" i="16"/>
  <c r="AI87" i="16"/>
  <c r="AH87" i="16"/>
  <c r="AG87" i="16"/>
  <c r="AF87" i="16"/>
  <c r="AE87" i="16"/>
  <c r="AD87" i="16"/>
  <c r="AC87" i="16"/>
  <c r="AB87" i="16"/>
  <c r="AA87" i="16"/>
  <c r="Z87" i="16"/>
  <c r="Y87" i="16"/>
  <c r="X87" i="16"/>
  <c r="AM86" i="16"/>
  <c r="AL86" i="16"/>
  <c r="AK86" i="16"/>
  <c r="AJ86" i="16"/>
  <c r="AI86" i="16"/>
  <c r="AH86" i="16"/>
  <c r="AG86" i="16"/>
  <c r="AF86" i="16"/>
  <c r="AE86" i="16"/>
  <c r="AD86" i="16"/>
  <c r="AC86" i="16"/>
  <c r="AB86" i="16"/>
  <c r="AA86" i="16"/>
  <c r="Z86" i="16"/>
  <c r="Y86" i="16"/>
  <c r="X86" i="16"/>
  <c r="AM85" i="16"/>
  <c r="AL85" i="16"/>
  <c r="AK85" i="16"/>
  <c r="AJ85" i="16"/>
  <c r="AI85" i="16"/>
  <c r="AH85" i="16"/>
  <c r="AG85" i="16"/>
  <c r="AF85" i="16"/>
  <c r="AE85" i="16"/>
  <c r="AD85" i="16"/>
  <c r="AC85" i="16"/>
  <c r="AB85" i="16"/>
  <c r="AA85" i="16"/>
  <c r="Z85" i="16"/>
  <c r="Y85" i="16"/>
  <c r="X85" i="16"/>
  <c r="AM83" i="16"/>
  <c r="AL83" i="16"/>
  <c r="AK83" i="16"/>
  <c r="AJ83" i="16"/>
  <c r="AI83" i="16"/>
  <c r="AH83" i="16"/>
  <c r="AG83" i="16"/>
  <c r="AF83" i="16"/>
  <c r="AE83" i="16"/>
  <c r="AD83" i="16"/>
  <c r="AC83" i="16"/>
  <c r="AB83" i="16"/>
  <c r="AA83" i="16"/>
  <c r="Z83" i="16"/>
  <c r="Y83" i="16"/>
  <c r="X83" i="16"/>
  <c r="AM82" i="16"/>
  <c r="AL82" i="16"/>
  <c r="AK82" i="16"/>
  <c r="AJ82" i="16"/>
  <c r="AI82" i="16"/>
  <c r="AH82" i="16"/>
  <c r="AG82" i="16"/>
  <c r="AF82" i="16"/>
  <c r="AE82" i="16"/>
  <c r="AD82" i="16"/>
  <c r="AC82" i="16"/>
  <c r="AB82" i="16"/>
  <c r="AA82" i="16"/>
  <c r="Z82" i="16"/>
  <c r="Y82" i="16"/>
  <c r="X82" i="16"/>
  <c r="AM81" i="16"/>
  <c r="AL81" i="16"/>
  <c r="AK81" i="16"/>
  <c r="AJ81" i="16"/>
  <c r="AI81" i="16"/>
  <c r="AH81" i="16"/>
  <c r="AG81" i="16"/>
  <c r="AF81" i="16"/>
  <c r="AE81" i="16"/>
  <c r="AD81" i="16"/>
  <c r="AC81" i="16"/>
  <c r="AB81" i="16"/>
  <c r="AA81" i="16"/>
  <c r="Z81" i="16"/>
  <c r="Y81" i="16"/>
  <c r="X81" i="16"/>
  <c r="AM80" i="16"/>
  <c r="AL80" i="16"/>
  <c r="AK80" i="16"/>
  <c r="AJ80" i="16"/>
  <c r="AI80" i="16"/>
  <c r="AH80" i="16"/>
  <c r="AG80" i="16"/>
  <c r="AF80" i="16"/>
  <c r="AE80" i="16"/>
  <c r="AD80" i="16"/>
  <c r="AC80" i="16"/>
  <c r="AB80" i="16"/>
  <c r="AA80" i="16"/>
  <c r="Z80" i="16"/>
  <c r="Y80" i="16"/>
  <c r="X80" i="16"/>
  <c r="AM78" i="16"/>
  <c r="AL78" i="16"/>
  <c r="AK78" i="16"/>
  <c r="AJ78" i="16"/>
  <c r="AI78" i="16"/>
  <c r="AH78" i="16"/>
  <c r="AG78" i="16"/>
  <c r="AF78" i="16"/>
  <c r="AE78" i="16"/>
  <c r="AD78" i="16"/>
  <c r="AC78" i="16"/>
  <c r="AB78" i="16"/>
  <c r="AA78" i="16"/>
  <c r="Z78" i="16"/>
  <c r="Y78" i="16"/>
  <c r="X78" i="16"/>
  <c r="AM77" i="16"/>
  <c r="AL77" i="16"/>
  <c r="AK77" i="16"/>
  <c r="AJ77" i="16"/>
  <c r="AI77" i="16"/>
  <c r="AH77" i="16"/>
  <c r="AG77" i="16"/>
  <c r="AF77" i="16"/>
  <c r="AE77" i="16"/>
  <c r="AD77" i="16"/>
  <c r="AC77" i="16"/>
  <c r="AB77" i="16"/>
  <c r="AA77" i="16"/>
  <c r="Z77" i="16"/>
  <c r="Y77" i="16"/>
  <c r="X77" i="16"/>
  <c r="AM76" i="16"/>
  <c r="AL76" i="16"/>
  <c r="AK76" i="16"/>
  <c r="AJ76" i="16"/>
  <c r="AI76" i="16"/>
  <c r="AH76" i="16"/>
  <c r="AG76" i="16"/>
  <c r="AF76" i="16"/>
  <c r="AE76" i="16"/>
  <c r="AD76" i="16"/>
  <c r="AC76" i="16"/>
  <c r="AB76" i="16"/>
  <c r="AA76" i="16"/>
  <c r="Z76" i="16"/>
  <c r="Y76" i="16"/>
  <c r="X76" i="16"/>
  <c r="AM75" i="16"/>
  <c r="AL75" i="16"/>
  <c r="AK75" i="16"/>
  <c r="AJ75" i="16"/>
  <c r="AI75" i="16"/>
  <c r="AH75" i="16"/>
  <c r="AG75" i="16"/>
  <c r="AF75" i="16"/>
  <c r="AE75" i="16"/>
  <c r="AD75" i="16"/>
  <c r="AC75" i="16"/>
  <c r="AB75" i="16"/>
  <c r="AA75" i="16"/>
  <c r="Z75" i="16"/>
  <c r="Y75" i="16"/>
  <c r="X75" i="16"/>
  <c r="AM74" i="16"/>
  <c r="AL74" i="16"/>
  <c r="AJ74" i="16"/>
  <c r="AI74" i="16"/>
  <c r="AH74" i="16"/>
  <c r="AF74" i="16"/>
  <c r="AE74" i="16"/>
  <c r="AD74" i="16"/>
  <c r="AC74" i="16"/>
  <c r="AA74" i="16"/>
  <c r="Y74" i="16"/>
  <c r="AM73" i="16"/>
  <c r="AL73" i="16"/>
  <c r="AK73" i="16"/>
  <c r="AJ73" i="16"/>
  <c r="AG73" i="16"/>
  <c r="AF73" i="16"/>
  <c r="AE73" i="16"/>
  <c r="AD73" i="16"/>
  <c r="AC73" i="16"/>
  <c r="AB73" i="16"/>
  <c r="AA73" i="16"/>
  <c r="Z73" i="16"/>
  <c r="Y73" i="16"/>
  <c r="AM72" i="16"/>
  <c r="AL72" i="16"/>
  <c r="AK72" i="16"/>
  <c r="AJ72" i="16"/>
  <c r="AI72" i="16"/>
  <c r="AH72" i="16"/>
  <c r="AG72" i="16"/>
  <c r="AF72" i="16"/>
  <c r="AE72" i="16"/>
  <c r="AD72" i="16"/>
  <c r="AC72" i="16"/>
  <c r="AB72" i="16"/>
  <c r="AA72" i="16"/>
  <c r="Z72" i="16"/>
  <c r="Y72" i="16"/>
  <c r="X72" i="16"/>
  <c r="AM71" i="16"/>
  <c r="AL71" i="16"/>
  <c r="AJ71" i="16"/>
  <c r="AI71" i="16"/>
  <c r="AH71" i="16"/>
  <c r="AF71" i="16"/>
  <c r="AE71" i="16"/>
  <c r="AD71" i="16"/>
  <c r="AC71" i="16"/>
  <c r="AA71" i="16"/>
  <c r="Y71" i="16"/>
  <c r="B71" i="16"/>
  <c r="B72" i="16" s="1"/>
  <c r="B73" i="16" s="1"/>
  <c r="B74" i="16" s="1"/>
  <c r="AM70" i="16"/>
  <c r="AL70" i="16"/>
  <c r="AI70" i="16"/>
  <c r="AH70" i="16"/>
  <c r="AG70" i="16"/>
  <c r="AF70" i="16"/>
  <c r="AE70" i="16"/>
  <c r="AD70" i="16"/>
  <c r="AC70" i="16"/>
  <c r="AA70" i="16"/>
  <c r="Y70" i="16"/>
  <c r="AM69" i="16"/>
  <c r="AL69" i="16"/>
  <c r="AK69" i="16"/>
  <c r="AJ69" i="16"/>
  <c r="AI69" i="16"/>
  <c r="AH69" i="16"/>
  <c r="AG69" i="16"/>
  <c r="AF69" i="16"/>
  <c r="AE69" i="16"/>
  <c r="AD69" i="16"/>
  <c r="AC69" i="16"/>
  <c r="AB69" i="16"/>
  <c r="AA69" i="16"/>
  <c r="Z69" i="16"/>
  <c r="Y69" i="16"/>
  <c r="X69" i="16"/>
  <c r="AM68" i="16"/>
  <c r="AL68" i="16"/>
  <c r="AK68" i="16"/>
  <c r="AJ68" i="16"/>
  <c r="AI68" i="16"/>
  <c r="AH68" i="16"/>
  <c r="AG68" i="16"/>
  <c r="AF68" i="16"/>
  <c r="AE68" i="16"/>
  <c r="AD68" i="16"/>
  <c r="AC68" i="16"/>
  <c r="AB68" i="16"/>
  <c r="AA68" i="16"/>
  <c r="Z68" i="16"/>
  <c r="Y68" i="16"/>
  <c r="X68" i="16"/>
  <c r="AM67" i="16"/>
  <c r="AL67" i="16"/>
  <c r="AK67" i="16"/>
  <c r="AJ67" i="16"/>
  <c r="AI67" i="16"/>
  <c r="AH67" i="16"/>
  <c r="AG67" i="16"/>
  <c r="AF67" i="16"/>
  <c r="AE67" i="16"/>
  <c r="AD67" i="16"/>
  <c r="AC67" i="16"/>
  <c r="AB67" i="16"/>
  <c r="AA67" i="16"/>
  <c r="Z67" i="16"/>
  <c r="Y67" i="16"/>
  <c r="X67" i="16"/>
  <c r="AM66" i="16"/>
  <c r="AL66" i="16"/>
  <c r="AK66" i="16"/>
  <c r="AJ66" i="16"/>
  <c r="AI66" i="16"/>
  <c r="AH66" i="16"/>
  <c r="AG66" i="16"/>
  <c r="AF66" i="16"/>
  <c r="AE66" i="16"/>
  <c r="AD66" i="16"/>
  <c r="AC66" i="16"/>
  <c r="AB66" i="16"/>
  <c r="AA66" i="16"/>
  <c r="Z66" i="16"/>
  <c r="Y66" i="16"/>
  <c r="X66" i="16"/>
  <c r="AM65" i="16"/>
  <c r="AL65" i="16"/>
  <c r="AK65" i="16"/>
  <c r="AJ65" i="16"/>
  <c r="AI65" i="16"/>
  <c r="AH65" i="16"/>
  <c r="AG65" i="16"/>
  <c r="AF65" i="16"/>
  <c r="AE65" i="16"/>
  <c r="AD65" i="16"/>
  <c r="AC65" i="16"/>
  <c r="AB65" i="16"/>
  <c r="AA65" i="16"/>
  <c r="Z65" i="16"/>
  <c r="Y65" i="16"/>
  <c r="X65" i="16"/>
  <c r="AM64" i="16"/>
  <c r="AL64" i="16"/>
  <c r="AK64" i="16"/>
  <c r="AJ64" i="16"/>
  <c r="AI64" i="16"/>
  <c r="AH64" i="16"/>
  <c r="AG64" i="16"/>
  <c r="AF64" i="16"/>
  <c r="AE64" i="16"/>
  <c r="AD64" i="16"/>
  <c r="AC64" i="16"/>
  <c r="AB64" i="16"/>
  <c r="AA64" i="16"/>
  <c r="Z64" i="16"/>
  <c r="Y64" i="16"/>
  <c r="X64" i="16"/>
  <c r="AM63" i="16"/>
  <c r="AL63" i="16"/>
  <c r="AK63" i="16"/>
  <c r="AJ63" i="16"/>
  <c r="AI63" i="16"/>
  <c r="AH63" i="16"/>
  <c r="AG63" i="16"/>
  <c r="AF63" i="16"/>
  <c r="AE63" i="16"/>
  <c r="AD63" i="16"/>
  <c r="AC63" i="16"/>
  <c r="AB63" i="16"/>
  <c r="AA63" i="16"/>
  <c r="Z63" i="16"/>
  <c r="Y63" i="16"/>
  <c r="X63" i="16"/>
  <c r="AM62" i="16"/>
  <c r="AL62" i="16"/>
  <c r="AK62" i="16"/>
  <c r="AJ62" i="16"/>
  <c r="AI62" i="16"/>
  <c r="AH62" i="16"/>
  <c r="AG62" i="16"/>
  <c r="AF62" i="16"/>
  <c r="AE62" i="16"/>
  <c r="AD62" i="16"/>
  <c r="AC62" i="16"/>
  <c r="AB62" i="16"/>
  <c r="AA62" i="16"/>
  <c r="Z62" i="16"/>
  <c r="Y62" i="16"/>
  <c r="X62" i="16"/>
  <c r="AM61" i="16"/>
  <c r="AL61" i="16"/>
  <c r="AK61" i="16"/>
  <c r="AJ61" i="16"/>
  <c r="AI61" i="16"/>
  <c r="AH61" i="16"/>
  <c r="AG61" i="16"/>
  <c r="AF61" i="16"/>
  <c r="AE61" i="16"/>
  <c r="AD61" i="16"/>
  <c r="AC61" i="16"/>
  <c r="AB61" i="16"/>
  <c r="AA61" i="16"/>
  <c r="Z61" i="16"/>
  <c r="Y61" i="16"/>
  <c r="X61" i="16"/>
  <c r="AM60" i="16"/>
  <c r="AL60" i="16"/>
  <c r="AK60" i="16"/>
  <c r="AJ60" i="16"/>
  <c r="AI60" i="16"/>
  <c r="AH60" i="16"/>
  <c r="AG60" i="16"/>
  <c r="AF60" i="16"/>
  <c r="AE60" i="16"/>
  <c r="AD60" i="16"/>
  <c r="AC60" i="16"/>
  <c r="AB60" i="16"/>
  <c r="AA60" i="16"/>
  <c r="Z60" i="16"/>
  <c r="Y60" i="16"/>
  <c r="X60" i="16"/>
  <c r="AM59" i="16"/>
  <c r="AL59" i="16"/>
  <c r="AK59" i="16"/>
  <c r="AJ59" i="16"/>
  <c r="AI59" i="16"/>
  <c r="AH59" i="16"/>
  <c r="AG59" i="16"/>
  <c r="AF59" i="16"/>
  <c r="AE59" i="16"/>
  <c r="AD59" i="16"/>
  <c r="AC59" i="16"/>
  <c r="AB59" i="16"/>
  <c r="AA59" i="16"/>
  <c r="Z59" i="16"/>
  <c r="Y59" i="16"/>
  <c r="X59" i="16"/>
  <c r="AM57" i="16"/>
  <c r="AL57" i="16"/>
  <c r="AK57" i="16"/>
  <c r="AJ57" i="16"/>
  <c r="AI57" i="16"/>
  <c r="AH57" i="16"/>
  <c r="AG57" i="16"/>
  <c r="AF57" i="16"/>
  <c r="AE57" i="16"/>
  <c r="AD57" i="16"/>
  <c r="AC57" i="16"/>
  <c r="AB57" i="16"/>
  <c r="AA57" i="16"/>
  <c r="Z57" i="16"/>
  <c r="Y57" i="16"/>
  <c r="X57" i="16"/>
  <c r="AM56" i="16"/>
  <c r="AL56" i="16"/>
  <c r="AK56" i="16"/>
  <c r="AJ56" i="16"/>
  <c r="AI56" i="16"/>
  <c r="AH56" i="16"/>
  <c r="AG56" i="16"/>
  <c r="AF56" i="16"/>
  <c r="AE56" i="16"/>
  <c r="AD56" i="16"/>
  <c r="AC56" i="16"/>
  <c r="AB56" i="16"/>
  <c r="AA56" i="16"/>
  <c r="Z56" i="16"/>
  <c r="Y56" i="16"/>
  <c r="X56" i="16"/>
  <c r="AM58" i="16"/>
  <c r="AL58" i="16"/>
  <c r="AK58" i="16"/>
  <c r="AJ58" i="16"/>
  <c r="AI58" i="16"/>
  <c r="AH58" i="16"/>
  <c r="AG58" i="16"/>
  <c r="AF58" i="16"/>
  <c r="AE58" i="16"/>
  <c r="AD58" i="16"/>
  <c r="AC58" i="16"/>
  <c r="AB58" i="16"/>
  <c r="AA58" i="16"/>
  <c r="Z58" i="16"/>
  <c r="Y58" i="16"/>
  <c r="X58" i="16"/>
  <c r="AM55" i="16"/>
  <c r="AL55" i="16"/>
  <c r="AK55" i="16"/>
  <c r="AJ55" i="16"/>
  <c r="AI55" i="16"/>
  <c r="AH55" i="16"/>
  <c r="AG55" i="16"/>
  <c r="AF55" i="16"/>
  <c r="AE55" i="16"/>
  <c r="AD55" i="16"/>
  <c r="AC55" i="16"/>
  <c r="AB55" i="16"/>
  <c r="AA55" i="16"/>
  <c r="Z55" i="16"/>
  <c r="Y55" i="16"/>
  <c r="X55" i="16"/>
  <c r="AM54" i="16"/>
  <c r="AL54" i="16"/>
  <c r="AK54" i="16"/>
  <c r="AJ54" i="16"/>
  <c r="AI54" i="16"/>
  <c r="AH54" i="16"/>
  <c r="AG54" i="16"/>
  <c r="AF54" i="16"/>
  <c r="AE54" i="16"/>
  <c r="AD54" i="16"/>
  <c r="AC54" i="16"/>
  <c r="AB54" i="16"/>
  <c r="AA54" i="16"/>
  <c r="Z54" i="16"/>
  <c r="Y54" i="16"/>
  <c r="X54" i="16"/>
  <c r="AM53" i="16"/>
  <c r="AL53" i="16"/>
  <c r="AK53" i="16"/>
  <c r="AJ53" i="16"/>
  <c r="AI53" i="16"/>
  <c r="AH53" i="16"/>
  <c r="AG53" i="16"/>
  <c r="AF53" i="16"/>
  <c r="AE53" i="16"/>
  <c r="AD53" i="16"/>
  <c r="AC53" i="16"/>
  <c r="AB53" i="16"/>
  <c r="AA53" i="16"/>
  <c r="Z53" i="16"/>
  <c r="Y53" i="16"/>
  <c r="X53" i="16"/>
  <c r="AM52" i="16"/>
  <c r="AL52" i="16"/>
  <c r="AK52" i="16"/>
  <c r="AJ52" i="16"/>
  <c r="AI52" i="16"/>
  <c r="AH52" i="16"/>
  <c r="AG52" i="16"/>
  <c r="AF52" i="16"/>
  <c r="AE52" i="16"/>
  <c r="AD52" i="16"/>
  <c r="AC52" i="16"/>
  <c r="AB52" i="16"/>
  <c r="AA52" i="16"/>
  <c r="Z52" i="16"/>
  <c r="Y52" i="16"/>
  <c r="X52" i="16"/>
  <c r="AM51" i="16"/>
  <c r="AL51" i="16"/>
  <c r="AK51" i="16"/>
  <c r="AJ51" i="16"/>
  <c r="AI51" i="16"/>
  <c r="AH51" i="16"/>
  <c r="AG51" i="16"/>
  <c r="AF51" i="16"/>
  <c r="AE51" i="16"/>
  <c r="AD51" i="16"/>
  <c r="AC51" i="16"/>
  <c r="AB51" i="16"/>
  <c r="AA51" i="16"/>
  <c r="Z51" i="16"/>
  <c r="Y51" i="16"/>
  <c r="AM50" i="16"/>
  <c r="AL50" i="16"/>
  <c r="AK50" i="16"/>
  <c r="AJ50" i="16"/>
  <c r="AG50" i="16"/>
  <c r="AF50" i="16"/>
  <c r="AE50" i="16"/>
  <c r="AD50" i="16"/>
  <c r="AC50" i="16"/>
  <c r="AB50" i="16"/>
  <c r="AA50" i="16"/>
  <c r="Z50" i="16"/>
  <c r="Y50" i="16"/>
  <c r="AM49" i="16"/>
  <c r="AL49" i="16"/>
  <c r="AK49" i="16"/>
  <c r="AJ49" i="16"/>
  <c r="AI49" i="16"/>
  <c r="AH49" i="16"/>
  <c r="AG49" i="16"/>
  <c r="AF49" i="16"/>
  <c r="AE49" i="16"/>
  <c r="AD49" i="16"/>
  <c r="AC49" i="16"/>
  <c r="AB49" i="16"/>
  <c r="AA49" i="16"/>
  <c r="Z49" i="16"/>
  <c r="Y49" i="16"/>
  <c r="X49" i="16"/>
  <c r="AM48" i="16"/>
  <c r="AL48" i="16"/>
  <c r="AJ48" i="16"/>
  <c r="AI48" i="16"/>
  <c r="AH48" i="16"/>
  <c r="AF48" i="16"/>
  <c r="AE48" i="16"/>
  <c r="AD48" i="16"/>
  <c r="AC48" i="16"/>
  <c r="AA48" i="16"/>
  <c r="Y48" i="16"/>
  <c r="AM47" i="16"/>
  <c r="AL47" i="16"/>
  <c r="AI47" i="16"/>
  <c r="AH47" i="16"/>
  <c r="AG47" i="16"/>
  <c r="AF47" i="16"/>
  <c r="AE47" i="16"/>
  <c r="AD47" i="16"/>
  <c r="AC47" i="16"/>
  <c r="AB47" i="16"/>
  <c r="AA47" i="16"/>
  <c r="Z47" i="16"/>
  <c r="Y47" i="16"/>
  <c r="AM46" i="16"/>
  <c r="AL46" i="16"/>
  <c r="AK46" i="16"/>
  <c r="AJ46" i="16"/>
  <c r="AI46" i="16"/>
  <c r="AH46" i="16"/>
  <c r="AG46" i="16"/>
  <c r="AF46" i="16"/>
  <c r="AE46" i="16"/>
  <c r="AD46" i="16"/>
  <c r="AC46" i="16"/>
  <c r="AB46" i="16"/>
  <c r="AA46" i="16"/>
  <c r="Z46" i="16"/>
  <c r="Y46" i="16"/>
  <c r="X46" i="16"/>
  <c r="AM45" i="16"/>
  <c r="AL45" i="16"/>
  <c r="AK45" i="16"/>
  <c r="AJ45" i="16"/>
  <c r="AI45" i="16"/>
  <c r="AH45" i="16"/>
  <c r="AG45" i="16"/>
  <c r="AF45" i="16"/>
  <c r="AE45" i="16"/>
  <c r="AD45" i="16"/>
  <c r="AC45" i="16"/>
  <c r="AB45" i="16"/>
  <c r="AA45" i="16"/>
  <c r="Z45" i="16"/>
  <c r="Y45" i="16"/>
  <c r="X45" i="16"/>
  <c r="D45" i="16"/>
  <c r="AM44" i="16"/>
  <c r="AL44" i="16"/>
  <c r="AK44" i="16"/>
  <c r="AJ44" i="16"/>
  <c r="AI44" i="16"/>
  <c r="AH44" i="16"/>
  <c r="AG44" i="16"/>
  <c r="AF44" i="16"/>
  <c r="AE44" i="16"/>
  <c r="AD44" i="16"/>
  <c r="AC44" i="16"/>
  <c r="AB44" i="16"/>
  <c r="AA44" i="16"/>
  <c r="Z44" i="16"/>
  <c r="Y44" i="16"/>
  <c r="X44" i="16"/>
  <c r="D44" i="16"/>
  <c r="AM43" i="16"/>
  <c r="AL43" i="16"/>
  <c r="AK43" i="16"/>
  <c r="AJ43" i="16"/>
  <c r="AI43" i="16"/>
  <c r="AH43" i="16"/>
  <c r="AG43" i="16"/>
  <c r="AF43" i="16"/>
  <c r="AE43" i="16"/>
  <c r="AD43" i="16"/>
  <c r="AC43" i="16"/>
  <c r="AB43" i="16"/>
  <c r="AA43" i="16"/>
  <c r="Z43" i="16"/>
  <c r="Y43" i="16"/>
  <c r="X43" i="16"/>
  <c r="D43" i="16"/>
  <c r="AM42" i="16"/>
  <c r="AL42" i="16"/>
  <c r="AK42" i="16"/>
  <c r="AJ42" i="16"/>
  <c r="AI42" i="16"/>
  <c r="AH42" i="16"/>
  <c r="AG42" i="16"/>
  <c r="AF42" i="16"/>
  <c r="AE42" i="16"/>
  <c r="AD42" i="16"/>
  <c r="AC42" i="16"/>
  <c r="AB42" i="16"/>
  <c r="AA42" i="16"/>
  <c r="Z42" i="16"/>
  <c r="Y42" i="16"/>
  <c r="X42" i="16"/>
  <c r="D42" i="16"/>
  <c r="B42" i="16"/>
  <c r="B43" i="16" s="1"/>
  <c r="B44" i="16" s="1"/>
  <c r="B45" i="16" s="1"/>
  <c r="B47" i="16" s="1"/>
  <c r="B48" i="16" s="1"/>
  <c r="B49" i="16" s="1"/>
  <c r="B50" i="16" s="1"/>
  <c r="AM41" i="16"/>
  <c r="AL41" i="16"/>
  <c r="AK41" i="16"/>
  <c r="AJ41" i="16"/>
  <c r="AI41" i="16"/>
  <c r="AH41" i="16"/>
  <c r="AG41" i="16"/>
  <c r="AF41" i="16"/>
  <c r="AE41" i="16"/>
  <c r="AD41" i="16"/>
  <c r="AC41" i="16"/>
  <c r="AB41" i="16"/>
  <c r="AA41" i="16"/>
  <c r="Z41" i="16"/>
  <c r="Y41" i="16"/>
  <c r="X41" i="16"/>
  <c r="AM40" i="16"/>
  <c r="AL40" i="16"/>
  <c r="AK40" i="16"/>
  <c r="AJ40" i="16"/>
  <c r="AI40" i="16"/>
  <c r="AH40" i="16"/>
  <c r="AG40" i="16"/>
  <c r="AF40" i="16"/>
  <c r="AE40" i="16"/>
  <c r="AD40" i="16"/>
  <c r="AC40" i="16"/>
  <c r="AB40" i="16"/>
  <c r="AA40" i="16"/>
  <c r="Z40" i="16"/>
  <c r="Y40" i="16"/>
  <c r="X40" i="16"/>
  <c r="AM39" i="16"/>
  <c r="AL39" i="16"/>
  <c r="AK39" i="16"/>
  <c r="AJ39" i="16"/>
  <c r="AG39" i="16"/>
  <c r="AF39" i="16"/>
  <c r="AE39" i="16"/>
  <c r="AD39" i="16"/>
  <c r="AC39" i="16"/>
  <c r="AB39" i="16"/>
  <c r="AA39" i="16"/>
  <c r="Z39" i="16"/>
  <c r="Y39" i="16"/>
  <c r="D39" i="16"/>
  <c r="AM38" i="16"/>
  <c r="AL38" i="16"/>
  <c r="AJ38" i="16"/>
  <c r="AI38" i="16"/>
  <c r="AH38" i="16"/>
  <c r="AG38" i="16"/>
  <c r="AF38" i="16"/>
  <c r="AE38" i="16"/>
  <c r="AD38" i="16"/>
  <c r="AC38" i="16"/>
  <c r="AB38" i="16"/>
  <c r="AA38" i="16"/>
  <c r="Z38" i="16"/>
  <c r="Y38" i="16"/>
  <c r="D38" i="16"/>
  <c r="AM37" i="16"/>
  <c r="AL37" i="16"/>
  <c r="AK37" i="16"/>
  <c r="AJ37" i="16"/>
  <c r="AI37" i="16"/>
  <c r="AH37" i="16"/>
  <c r="AG37" i="16"/>
  <c r="AF37" i="16"/>
  <c r="AE37" i="16"/>
  <c r="AD37" i="16"/>
  <c r="AC37" i="16"/>
  <c r="AB37" i="16"/>
  <c r="AA37" i="16"/>
  <c r="Z37" i="16"/>
  <c r="Y37" i="16"/>
  <c r="D37" i="16"/>
  <c r="AM36" i="16"/>
  <c r="AL36" i="16"/>
  <c r="AK36" i="16"/>
  <c r="AJ36" i="16"/>
  <c r="AI36" i="16"/>
  <c r="AH36" i="16"/>
  <c r="AG36" i="16"/>
  <c r="AF36" i="16"/>
  <c r="AE36" i="16"/>
  <c r="AD36" i="16"/>
  <c r="AC36" i="16"/>
  <c r="AB36" i="16"/>
  <c r="AA36" i="16"/>
  <c r="Z36" i="16"/>
  <c r="Y36" i="16"/>
  <c r="X36" i="16"/>
  <c r="AM35" i="16"/>
  <c r="AL35" i="16"/>
  <c r="AK35" i="16"/>
  <c r="AJ35" i="16"/>
  <c r="AI35" i="16"/>
  <c r="AH35" i="16"/>
  <c r="AG35" i="16"/>
  <c r="AF35" i="16"/>
  <c r="AE35" i="16"/>
  <c r="AD35" i="16"/>
  <c r="AC35" i="16"/>
  <c r="AB35" i="16"/>
  <c r="AA35" i="16"/>
  <c r="Z35" i="16"/>
  <c r="Y35" i="16"/>
  <c r="X35" i="16"/>
  <c r="D35" i="16"/>
  <c r="AM34" i="16"/>
  <c r="AL34" i="16"/>
  <c r="AK34" i="16"/>
  <c r="AJ34" i="16"/>
  <c r="AI34" i="16"/>
  <c r="AH34" i="16"/>
  <c r="AG34" i="16"/>
  <c r="AF34" i="16"/>
  <c r="AE34" i="16"/>
  <c r="AD34" i="16"/>
  <c r="AC34" i="16"/>
  <c r="AB34" i="16"/>
  <c r="AA34" i="16"/>
  <c r="Z34" i="16"/>
  <c r="Y34" i="16"/>
  <c r="X34" i="16"/>
  <c r="D34" i="16"/>
  <c r="AM33" i="16"/>
  <c r="AL33" i="16"/>
  <c r="AK33" i="16"/>
  <c r="AJ33" i="16"/>
  <c r="AI33" i="16"/>
  <c r="AH33" i="16"/>
  <c r="AG33" i="16"/>
  <c r="AF33" i="16"/>
  <c r="AE33" i="16"/>
  <c r="AD33" i="16"/>
  <c r="AC33" i="16"/>
  <c r="AB33" i="16"/>
  <c r="AA33" i="16"/>
  <c r="Z33" i="16"/>
  <c r="Y33" i="16"/>
  <c r="D33" i="16"/>
  <c r="AM32" i="16"/>
  <c r="AL32" i="16"/>
  <c r="AK32" i="16"/>
  <c r="AJ32" i="16"/>
  <c r="AI32" i="16"/>
  <c r="AH32" i="16"/>
  <c r="AG32" i="16"/>
  <c r="AF32" i="16"/>
  <c r="AE32" i="16"/>
  <c r="AD32" i="16"/>
  <c r="AC32" i="16"/>
  <c r="AB32" i="16"/>
  <c r="AA32" i="16"/>
  <c r="Z32" i="16"/>
  <c r="Y32" i="16"/>
  <c r="X32" i="16"/>
  <c r="D32" i="16"/>
  <c r="AM31" i="16"/>
  <c r="AL31" i="16"/>
  <c r="AK31" i="16"/>
  <c r="AJ31" i="16"/>
  <c r="AI31" i="16"/>
  <c r="AH31" i="16"/>
  <c r="AG31" i="16"/>
  <c r="AF31" i="16"/>
  <c r="AE31" i="16"/>
  <c r="AD31" i="16"/>
  <c r="AC31" i="16"/>
  <c r="AB31" i="16"/>
  <c r="AA31" i="16"/>
  <c r="Z31" i="16"/>
  <c r="Y31" i="16"/>
  <c r="D31" i="16"/>
  <c r="AM30" i="16"/>
  <c r="AL30" i="16"/>
  <c r="AK30" i="16"/>
  <c r="AJ30" i="16"/>
  <c r="AI30" i="16"/>
  <c r="AH30" i="16"/>
  <c r="AG30" i="16"/>
  <c r="AF30" i="16"/>
  <c r="AE30" i="16"/>
  <c r="AD30" i="16"/>
  <c r="AC30" i="16"/>
  <c r="AB30" i="16"/>
  <c r="AA30" i="16"/>
  <c r="Z30" i="16"/>
  <c r="Y30" i="16"/>
  <c r="X30" i="16"/>
  <c r="AM29" i="16"/>
  <c r="AL29" i="16"/>
  <c r="AK29" i="16"/>
  <c r="AJ29" i="16"/>
  <c r="AI29" i="16"/>
  <c r="AH29" i="16"/>
  <c r="AG29" i="16"/>
  <c r="AF29" i="16"/>
  <c r="AE29" i="16"/>
  <c r="AD29" i="16"/>
  <c r="AC29" i="16"/>
  <c r="AB29" i="16"/>
  <c r="AA29" i="16"/>
  <c r="Z29" i="16"/>
  <c r="Y29" i="16"/>
  <c r="X29" i="16"/>
  <c r="D29" i="16"/>
  <c r="B29" i="16"/>
  <c r="B31" i="16" s="1"/>
  <c r="B32" i="16" s="1"/>
  <c r="B33" i="16" s="1"/>
  <c r="B34" i="16" s="1"/>
  <c r="B35" i="16" s="1"/>
  <c r="B37" i="16" s="1"/>
  <c r="B38" i="16" s="1"/>
  <c r="B39" i="16" s="1"/>
  <c r="AM28" i="16"/>
  <c r="AL28" i="16"/>
  <c r="AK28" i="16"/>
  <c r="AJ28" i="16"/>
  <c r="AI28" i="16"/>
  <c r="AH28" i="16"/>
  <c r="AG28" i="16"/>
  <c r="AF28" i="16"/>
  <c r="AE28" i="16"/>
  <c r="AD28" i="16"/>
  <c r="AC28" i="16"/>
  <c r="AB28" i="16"/>
  <c r="AA28" i="16"/>
  <c r="Z28" i="16"/>
  <c r="Y28" i="16"/>
  <c r="X28" i="16"/>
  <c r="D28" i="16"/>
  <c r="AM27" i="16"/>
  <c r="AL27" i="16"/>
  <c r="AK27" i="16"/>
  <c r="AJ27" i="16"/>
  <c r="AI27" i="16"/>
  <c r="AH27" i="16"/>
  <c r="AG27" i="16"/>
  <c r="AF27" i="16"/>
  <c r="AE27" i="16"/>
  <c r="AD27" i="16"/>
  <c r="AC27" i="16"/>
  <c r="AB27" i="16"/>
  <c r="AA27" i="16"/>
  <c r="Z27" i="16"/>
  <c r="Y27" i="16"/>
  <c r="X27" i="16"/>
  <c r="AM26" i="16"/>
  <c r="AL26" i="16"/>
  <c r="AK26" i="16"/>
  <c r="AJ26" i="16"/>
  <c r="AI26" i="16"/>
  <c r="AH26" i="16"/>
  <c r="AG26" i="16"/>
  <c r="AF26" i="16"/>
  <c r="AE26" i="16"/>
  <c r="AD26" i="16"/>
  <c r="AC26" i="16"/>
  <c r="AB26" i="16"/>
  <c r="AA26" i="16"/>
  <c r="Z26" i="16"/>
  <c r="Y26" i="16"/>
  <c r="X26" i="16"/>
  <c r="AM25" i="16"/>
  <c r="AL25" i="16"/>
  <c r="AK25" i="16"/>
  <c r="AJ25" i="16"/>
  <c r="AI25" i="16"/>
  <c r="AH25" i="16"/>
  <c r="AG25" i="16"/>
  <c r="AF25" i="16"/>
  <c r="AE25" i="16"/>
  <c r="AD25" i="16"/>
  <c r="AC25" i="16"/>
  <c r="AB25" i="16"/>
  <c r="AA25" i="16"/>
  <c r="Z25" i="16"/>
  <c r="Y25" i="16"/>
  <c r="X25" i="16"/>
  <c r="AM24" i="16"/>
  <c r="AK24" i="16"/>
  <c r="AJ24" i="16"/>
  <c r="AI24" i="16"/>
  <c r="AH24" i="16"/>
  <c r="AG24" i="16"/>
  <c r="AF24" i="16"/>
  <c r="AE24" i="16"/>
  <c r="AD24" i="16"/>
  <c r="AC24" i="16"/>
  <c r="AB24" i="16"/>
  <c r="AA24" i="16"/>
  <c r="Z24" i="16"/>
  <c r="Y24" i="16"/>
  <c r="AM23" i="16"/>
  <c r="AL23" i="16"/>
  <c r="AK23" i="16"/>
  <c r="AJ23" i="16"/>
  <c r="AI23" i="16"/>
  <c r="AH23" i="16"/>
  <c r="AG23" i="16"/>
  <c r="AF23" i="16"/>
  <c r="AE23" i="16"/>
  <c r="AD23" i="16"/>
  <c r="AC23" i="16"/>
  <c r="AB23" i="16"/>
  <c r="AA23" i="16"/>
  <c r="Z23" i="16"/>
  <c r="Y23" i="16"/>
  <c r="X23" i="16"/>
  <c r="AM22" i="16"/>
  <c r="AL22" i="16"/>
  <c r="AK22" i="16"/>
  <c r="AJ22" i="16"/>
  <c r="AI22" i="16"/>
  <c r="AH22" i="16"/>
  <c r="AG22" i="16"/>
  <c r="AF22" i="16"/>
  <c r="AE22" i="16"/>
  <c r="AD22" i="16"/>
  <c r="AC22" i="16"/>
  <c r="AB22" i="16"/>
  <c r="AA22" i="16"/>
  <c r="Z22" i="16"/>
  <c r="Y22" i="16"/>
  <c r="AM20" i="16"/>
  <c r="AL20" i="16"/>
  <c r="AK20" i="16"/>
  <c r="AJ20" i="16"/>
  <c r="AI20" i="16"/>
  <c r="AH20" i="16"/>
  <c r="AG20" i="16"/>
  <c r="AF20" i="16"/>
  <c r="AE20" i="16"/>
  <c r="AD20" i="16"/>
  <c r="AC20" i="16"/>
  <c r="AB20" i="16"/>
  <c r="AA20" i="16"/>
  <c r="Z20" i="16"/>
  <c r="Y20" i="16"/>
  <c r="X20" i="16"/>
  <c r="AM19" i="16"/>
  <c r="AL19" i="16"/>
  <c r="AK19" i="16"/>
  <c r="AJ19" i="16"/>
  <c r="AI19" i="16"/>
  <c r="AH19" i="16"/>
  <c r="AG19" i="16"/>
  <c r="AF19" i="16"/>
  <c r="AE19" i="16"/>
  <c r="AD19" i="16"/>
  <c r="AC19" i="16"/>
  <c r="AB19" i="16"/>
  <c r="AA19" i="16"/>
  <c r="Z19" i="16"/>
  <c r="Y19" i="16"/>
  <c r="X19" i="16"/>
  <c r="B23" i="16"/>
  <c r="B24" i="16" s="1"/>
  <c r="B25" i="16" s="1"/>
  <c r="AM18" i="16"/>
  <c r="AL18" i="16"/>
  <c r="AK18" i="16"/>
  <c r="AJ18" i="16"/>
  <c r="AI18" i="16"/>
  <c r="AH18" i="16"/>
  <c r="AG18" i="16"/>
  <c r="AF18" i="16"/>
  <c r="AE18" i="16"/>
  <c r="AD18" i="16"/>
  <c r="AC18" i="16"/>
  <c r="AB18" i="16"/>
  <c r="AA18" i="16"/>
  <c r="Z18" i="16"/>
  <c r="AM17" i="16"/>
  <c r="AL17" i="16"/>
  <c r="AK17" i="16"/>
  <c r="AJ17" i="16"/>
  <c r="AI17" i="16"/>
  <c r="AH17" i="16"/>
  <c r="AG17" i="16"/>
  <c r="AF17" i="16"/>
  <c r="AE17" i="16"/>
  <c r="AD17" i="16"/>
  <c r="AC17" i="16"/>
  <c r="AB17" i="16"/>
  <c r="AA17" i="16"/>
  <c r="Z17" i="16"/>
  <c r="Y17" i="16"/>
  <c r="X17" i="16"/>
  <c r="AM16" i="16"/>
  <c r="AL16" i="16"/>
  <c r="AK16" i="16"/>
  <c r="AJ16" i="16"/>
  <c r="AI16" i="16"/>
  <c r="AH16" i="16"/>
  <c r="AG16" i="16"/>
  <c r="AF16" i="16"/>
  <c r="AE16" i="16"/>
  <c r="AD16" i="16"/>
  <c r="AC16" i="16"/>
  <c r="AB16" i="16"/>
  <c r="AA16" i="16"/>
  <c r="Z16" i="16"/>
  <c r="Y16" i="16"/>
  <c r="X16" i="16"/>
  <c r="G11" i="16"/>
  <c r="AX11" i="16" s="1"/>
  <c r="B7" i="16"/>
  <c r="AB126" i="3"/>
  <c r="AA126" i="3"/>
  <c r="AB125" i="3"/>
  <c r="AA125" i="3"/>
  <c r="AB124" i="3"/>
  <c r="AA124" i="3"/>
  <c r="AB123" i="3"/>
  <c r="AA123" i="3"/>
  <c r="AB122" i="3"/>
  <c r="AA122" i="3"/>
  <c r="AB121" i="3"/>
  <c r="AA121" i="3"/>
  <c r="AB120" i="3"/>
  <c r="AA120" i="3"/>
  <c r="AB119" i="3"/>
  <c r="AA119" i="3"/>
  <c r="AB118" i="3"/>
  <c r="AA118" i="3"/>
  <c r="AB116" i="3"/>
  <c r="AA116" i="3"/>
  <c r="AB115" i="3"/>
  <c r="AA115" i="3"/>
  <c r="AB114" i="3"/>
  <c r="AA114" i="3"/>
  <c r="AB113" i="3"/>
  <c r="AA113" i="3"/>
  <c r="AB103" i="3"/>
  <c r="AA103" i="3"/>
  <c r="AB102" i="3"/>
  <c r="AA102" i="3"/>
  <c r="AB97" i="3"/>
  <c r="AA97" i="3"/>
  <c r="AB96" i="3"/>
  <c r="AA96" i="3"/>
  <c r="AB100" i="3"/>
  <c r="AA100" i="3"/>
  <c r="AB99" i="3"/>
  <c r="AA99" i="3"/>
  <c r="AB98" i="3"/>
  <c r="AA98" i="3"/>
  <c r="AB95" i="3"/>
  <c r="AA95" i="3"/>
  <c r="AB94" i="3"/>
  <c r="AA94" i="3"/>
  <c r="AB91" i="3"/>
  <c r="AA91" i="3"/>
  <c r="AB90" i="3"/>
  <c r="AA90" i="3"/>
  <c r="AB89" i="3"/>
  <c r="AA89" i="3"/>
  <c r="AB88" i="3"/>
  <c r="AA88" i="3"/>
  <c r="AB87" i="3"/>
  <c r="AA87" i="3"/>
  <c r="AB83" i="3"/>
  <c r="AA83" i="3"/>
  <c r="AB82" i="3"/>
  <c r="AA82" i="3"/>
  <c r="AB81" i="3"/>
  <c r="AA81" i="3"/>
  <c r="AB78" i="3"/>
  <c r="AA78" i="3"/>
  <c r="AB77" i="3"/>
  <c r="AA77" i="3"/>
  <c r="AB76" i="3"/>
  <c r="AA76" i="3"/>
  <c r="AB75" i="3"/>
  <c r="AA75" i="3"/>
  <c r="AB74" i="3"/>
  <c r="AB73" i="3"/>
  <c r="AA73" i="3"/>
  <c r="AB72" i="3"/>
  <c r="AA72" i="3"/>
  <c r="AB71" i="3"/>
  <c r="AB70" i="3"/>
  <c r="AB67" i="3"/>
  <c r="AA67" i="3"/>
  <c r="AB66" i="3"/>
  <c r="AA66" i="3"/>
  <c r="AB65" i="3"/>
  <c r="AA65" i="3"/>
  <c r="AB64" i="3"/>
  <c r="AA64" i="3"/>
  <c r="AB63" i="3"/>
  <c r="AA63" i="3"/>
  <c r="AB62" i="3"/>
  <c r="AA62" i="3"/>
  <c r="AB61" i="3"/>
  <c r="AA61" i="3"/>
  <c r="AB60" i="3"/>
  <c r="AA60" i="3"/>
  <c r="AB59" i="3"/>
  <c r="AA59" i="3"/>
  <c r="AB57" i="3"/>
  <c r="AA57" i="3"/>
  <c r="AB56" i="3"/>
  <c r="AA56" i="3"/>
  <c r="AB58" i="3"/>
  <c r="AA58" i="3"/>
  <c r="AB55" i="3"/>
  <c r="AA55" i="3"/>
  <c r="AB54" i="3"/>
  <c r="AA54" i="3"/>
  <c r="AB53" i="3"/>
  <c r="AA53" i="3"/>
  <c r="AB52" i="3"/>
  <c r="AA52" i="3"/>
  <c r="AB51" i="3"/>
  <c r="AA51" i="3"/>
  <c r="AB50" i="3"/>
  <c r="AA50" i="3"/>
  <c r="AB49" i="3"/>
  <c r="AA49" i="3"/>
  <c r="AB48" i="3"/>
  <c r="AB47" i="3"/>
  <c r="AA47" i="3"/>
  <c r="AB45" i="3"/>
  <c r="AA45" i="3"/>
  <c r="AB44" i="3"/>
  <c r="AA44" i="3"/>
  <c r="AB43" i="3"/>
  <c r="AA43" i="3"/>
  <c r="AB42" i="3"/>
  <c r="AA42" i="3"/>
  <c r="AB39" i="3"/>
  <c r="AA39" i="3"/>
  <c r="AB38" i="3"/>
  <c r="AA38" i="3"/>
  <c r="AB37" i="3"/>
  <c r="AA37" i="3"/>
  <c r="AB35" i="3"/>
  <c r="AA35" i="3"/>
  <c r="AB34" i="3"/>
  <c r="AA34" i="3"/>
  <c r="AB33" i="3"/>
  <c r="AA33" i="3"/>
  <c r="AB32" i="3"/>
  <c r="AA32" i="3"/>
  <c r="AB31" i="3"/>
  <c r="AA31" i="3"/>
  <c r="AB29" i="3"/>
  <c r="AA29" i="3"/>
  <c r="AB28" i="3"/>
  <c r="AA28" i="3"/>
  <c r="AB25" i="3"/>
  <c r="AA25" i="3"/>
  <c r="AB24" i="3"/>
  <c r="AA24" i="3"/>
  <c r="AB23" i="3"/>
  <c r="AA23" i="3"/>
  <c r="AB22" i="3"/>
  <c r="AA22" i="3"/>
  <c r="AB19" i="3"/>
  <c r="AA19" i="3"/>
  <c r="AB18" i="3"/>
  <c r="B114" i="16" l="1"/>
  <c r="B115" i="16" s="1"/>
  <c r="B116" i="16" s="1"/>
  <c r="B118" i="16" s="1"/>
  <c r="B119" i="16" s="1"/>
  <c r="B120" i="16" s="1"/>
  <c r="B121" i="16" s="1"/>
  <c r="B122" i="16" s="1"/>
  <c r="B123" i="16" s="1"/>
  <c r="B124" i="16" s="1"/>
  <c r="B125" i="16" s="1"/>
  <c r="B126" i="16" s="1"/>
  <c r="B75" i="16"/>
  <c r="B76" i="16" s="1"/>
  <c r="B77" i="16" s="1"/>
  <c r="B78" i="16" s="1"/>
  <c r="B79" i="16" s="1"/>
  <c r="B80" i="16" s="1"/>
  <c r="B81" i="16" s="1"/>
  <c r="B82" i="16" s="1"/>
  <c r="B83" i="16" s="1"/>
  <c r="B84" i="16" s="1"/>
  <c r="B85" i="16" s="1"/>
  <c r="B86" i="16" s="1"/>
  <c r="B51" i="16"/>
  <c r="B52" i="16" s="1"/>
  <c r="B53" i="16" s="1"/>
  <c r="B54" i="16" s="1"/>
  <c r="B55" i="16" s="1"/>
  <c r="B56" i="16" s="1"/>
  <c r="B57" i="16" s="1"/>
  <c r="B58" i="16" s="1"/>
  <c r="B59" i="16" s="1"/>
  <c r="B60" i="16" s="1"/>
  <c r="B61" i="16" s="1"/>
  <c r="B62" i="16" s="1"/>
  <c r="B63" i="16" s="1"/>
  <c r="B64" i="16" s="1"/>
  <c r="B65" i="16" s="1"/>
  <c r="B66" i="16" s="1"/>
  <c r="B67" i="16" s="1"/>
  <c r="BA109" i="2"/>
  <c r="AO103" i="2"/>
  <c r="BH103" i="2" s="1"/>
  <c r="G103" i="16"/>
  <c r="BB103" i="2"/>
  <c r="BB109" i="2"/>
  <c r="BA105" i="2"/>
  <c r="BA80" i="2"/>
  <c r="S80" i="16"/>
  <c r="BB110" i="2"/>
  <c r="BA104" i="2"/>
  <c r="T95" i="16"/>
  <c r="AO105" i="2"/>
  <c r="BH105" i="2" s="1"/>
  <c r="G105" i="16"/>
  <c r="AO105" i="16" s="1"/>
  <c r="BH105" i="16" s="1"/>
  <c r="AO110" i="2"/>
  <c r="BH110" i="2" s="1"/>
  <c r="G110" i="16"/>
  <c r="AO110" i="16" s="1"/>
  <c r="BH110" i="16" s="1"/>
  <c r="BB105" i="2"/>
  <c r="BA110" i="2"/>
  <c r="BA103" i="2"/>
  <c r="BB104" i="2"/>
  <c r="AO109" i="2"/>
  <c r="BH109" i="2" s="1"/>
  <c r="G109" i="16"/>
  <c r="AO109" i="16" s="1"/>
  <c r="BH109" i="16" s="1"/>
  <c r="AO104" i="2"/>
  <c r="BH104" i="2" s="1"/>
  <c r="G104" i="16"/>
  <c r="E14" i="20"/>
  <c r="AO21" i="16"/>
  <c r="BH21" i="16" s="1"/>
  <c r="BK109" i="9"/>
  <c r="BE79" i="16"/>
  <c r="BE84" i="16"/>
  <c r="AB112" i="3"/>
  <c r="AB101" i="3"/>
  <c r="AB117" i="3"/>
  <c r="S388" i="17"/>
  <c r="S340" i="17"/>
  <c r="S290" i="17"/>
  <c r="S241" i="17"/>
  <c r="S223" i="17"/>
  <c r="T100" i="8" s="1"/>
  <c r="AY79" i="20" s="1"/>
  <c r="S381" i="17"/>
  <c r="S367" i="17"/>
  <c r="S332" i="17"/>
  <c r="S118" i="8" s="1"/>
  <c r="S234" i="17"/>
  <c r="S389" i="17"/>
  <c r="S361" i="17"/>
  <c r="S289" i="17"/>
  <c r="S240" i="17"/>
  <c r="S354" i="17"/>
  <c r="S347" i="17"/>
  <c r="S282" i="17"/>
  <c r="S233" i="17"/>
  <c r="S375" i="17"/>
  <c r="S339" i="17"/>
  <c r="S254" i="17"/>
  <c r="S247" i="17"/>
  <c r="S201" i="17"/>
  <c r="S368" i="17"/>
  <c r="T123" i="8" s="1"/>
  <c r="S333" i="17"/>
  <c r="T118" i="8" s="1"/>
  <c r="S283" i="17"/>
  <c r="S202" i="17"/>
  <c r="S374" i="17"/>
  <c r="S124" i="8" s="1"/>
  <c r="S360" i="17"/>
  <c r="S255" i="17"/>
  <c r="S382" i="17"/>
  <c r="S353" i="17"/>
  <c r="S121" i="8" s="1"/>
  <c r="S346" i="17"/>
  <c r="S248" i="17"/>
  <c r="S222" i="17"/>
  <c r="AD65" i="20"/>
  <c r="BF42" i="16"/>
  <c r="BF72" i="16"/>
  <c r="BO72" i="16" s="1"/>
  <c r="BF73" i="16"/>
  <c r="BF75" i="16"/>
  <c r="BO75" i="16" s="1"/>
  <c r="BF76" i="16"/>
  <c r="BO76" i="16" s="1"/>
  <c r="BF77" i="16"/>
  <c r="BF78" i="16"/>
  <c r="BF80" i="16"/>
  <c r="BF81" i="16"/>
  <c r="BF82" i="16"/>
  <c r="BF83" i="16"/>
  <c r="BF85" i="16"/>
  <c r="BF86" i="16"/>
  <c r="BO86" i="16" s="1"/>
  <c r="BF136" i="16"/>
  <c r="BF33" i="16"/>
  <c r="BF38" i="16"/>
  <c r="BF19" i="16"/>
  <c r="BF20" i="16"/>
  <c r="BO20" i="16" s="1"/>
  <c r="BF25" i="16"/>
  <c r="BO25" i="16" s="1"/>
  <c r="BF26" i="16"/>
  <c r="BO26" i="16" s="1"/>
  <c r="BF27" i="16"/>
  <c r="BO27" i="16" s="1"/>
  <c r="BK110" i="9"/>
  <c r="BK105" i="9"/>
  <c r="BF24" i="16"/>
  <c r="BF29" i="16"/>
  <c r="BF30" i="16"/>
  <c r="BO30" i="16" s="1"/>
  <c r="BF34" i="16"/>
  <c r="BF39" i="16"/>
  <c r="BF40" i="16"/>
  <c r="BF41" i="16"/>
  <c r="BO41" i="16" s="1"/>
  <c r="BF44" i="16"/>
  <c r="AQ16" i="16"/>
  <c r="AU16" i="16"/>
  <c r="AY16" i="16"/>
  <c r="BC16" i="16"/>
  <c r="AQ17" i="16"/>
  <c r="AU17" i="16"/>
  <c r="AY17" i="16"/>
  <c r="BC17" i="16"/>
  <c r="AR18" i="16"/>
  <c r="AV18" i="16"/>
  <c r="AZ18" i="16"/>
  <c r="BD18" i="16"/>
  <c r="AS19" i="16"/>
  <c r="AX19" i="16"/>
  <c r="BB19" i="16"/>
  <c r="AP20" i="16"/>
  <c r="AT20" i="16"/>
  <c r="AX20" i="16"/>
  <c r="BB20" i="16"/>
  <c r="AP22" i="16"/>
  <c r="AW22" i="16"/>
  <c r="BA22" i="16"/>
  <c r="AO23" i="16"/>
  <c r="BH23" i="16" s="1"/>
  <c r="AY23" i="16"/>
  <c r="BF31" i="16"/>
  <c r="BF35" i="16"/>
  <c r="BF36" i="16"/>
  <c r="BO36" i="16" s="1"/>
  <c r="BF45" i="16"/>
  <c r="BO45" i="16" s="1"/>
  <c r="BF46" i="16"/>
  <c r="BO46" i="16" s="1"/>
  <c r="BF47" i="16"/>
  <c r="BF49" i="16"/>
  <c r="BO49" i="16" s="1"/>
  <c r="BF50" i="16"/>
  <c r="BF51" i="16"/>
  <c r="BF52" i="16"/>
  <c r="BO52" i="16" s="1"/>
  <c r="BF53" i="16"/>
  <c r="BO53" i="16" s="1"/>
  <c r="BF54" i="16"/>
  <c r="BO54" i="16" s="1"/>
  <c r="BF55" i="16"/>
  <c r="BO55" i="16" s="1"/>
  <c r="BF58" i="16"/>
  <c r="BF56" i="16"/>
  <c r="BO56" i="16" s="1"/>
  <c r="BF57" i="16"/>
  <c r="BF59" i="16"/>
  <c r="BO59" i="16" s="1"/>
  <c r="BF60" i="16"/>
  <c r="BO60" i="16" s="1"/>
  <c r="BF61" i="16"/>
  <c r="BO61" i="16" s="1"/>
  <c r="BF62" i="16"/>
  <c r="BO62" i="16" s="1"/>
  <c r="BF63" i="16"/>
  <c r="BF64" i="16"/>
  <c r="BF65" i="16"/>
  <c r="BO65" i="16" s="1"/>
  <c r="BF66" i="16"/>
  <c r="BO66" i="16" s="1"/>
  <c r="BF67" i="16"/>
  <c r="BO67" i="16" s="1"/>
  <c r="BF68" i="16"/>
  <c r="BF69" i="16"/>
  <c r="BO69" i="16" s="1"/>
  <c r="AR16" i="16"/>
  <c r="AV16" i="16"/>
  <c r="AZ16" i="16"/>
  <c r="BD16" i="16"/>
  <c r="AR17" i="16"/>
  <c r="AV17" i="16"/>
  <c r="AZ17" i="16"/>
  <c r="BD17" i="16"/>
  <c r="AS18" i="16"/>
  <c r="AW18" i="16"/>
  <c r="BA18" i="16"/>
  <c r="AO19" i="16"/>
  <c r="BH19" i="16" s="1"/>
  <c r="AU19" i="16"/>
  <c r="AY19" i="16"/>
  <c r="BC19" i="16"/>
  <c r="AQ20" i="16"/>
  <c r="AU20" i="16"/>
  <c r="AY20" i="16"/>
  <c r="BC20" i="16"/>
  <c r="AT22" i="16"/>
  <c r="AX22" i="16"/>
  <c r="BB22" i="16"/>
  <c r="AP23" i="16"/>
  <c r="AZ23" i="16"/>
  <c r="BF17" i="16"/>
  <c r="BF22" i="16"/>
  <c r="BF28" i="16"/>
  <c r="BF32" i="16"/>
  <c r="BF37" i="16"/>
  <c r="BF87" i="16"/>
  <c r="BO87" i="16" s="1"/>
  <c r="BF88" i="16"/>
  <c r="BO88" i="16" s="1"/>
  <c r="BF89" i="16"/>
  <c r="BO89" i="16" s="1"/>
  <c r="BF90" i="16"/>
  <c r="BO90" i="16" s="1"/>
  <c r="BF91" i="16"/>
  <c r="BO91" i="16" s="1"/>
  <c r="BF92" i="16"/>
  <c r="BF93" i="16"/>
  <c r="BO93" i="16" s="1"/>
  <c r="BF94" i="16"/>
  <c r="BO94" i="16" s="1"/>
  <c r="AO16" i="16"/>
  <c r="AS16" i="16"/>
  <c r="AW16" i="16"/>
  <c r="BA16" i="16"/>
  <c r="AO17" i="16"/>
  <c r="AS17" i="16"/>
  <c r="AW17" i="16"/>
  <c r="BA17" i="16"/>
  <c r="AT18" i="16"/>
  <c r="AX18" i="16"/>
  <c r="BB18" i="16"/>
  <c r="AQ19" i="16"/>
  <c r="AV19" i="16"/>
  <c r="AZ19" i="16"/>
  <c r="BD19" i="16"/>
  <c r="AR20" i="16"/>
  <c r="AV20" i="16"/>
  <c r="AZ20" i="16"/>
  <c r="BD20" i="16"/>
  <c r="AU22" i="16"/>
  <c r="AY22" i="16"/>
  <c r="BC22" i="16"/>
  <c r="AT23" i="16"/>
  <c r="BA23" i="16"/>
  <c r="AV24" i="16"/>
  <c r="AZ24" i="16"/>
  <c r="BD24" i="16"/>
  <c r="AX25" i="16"/>
  <c r="BB25" i="16"/>
  <c r="AP26" i="16"/>
  <c r="AT26" i="16"/>
  <c r="AX26" i="16"/>
  <c r="BB26" i="16"/>
  <c r="AP27" i="16"/>
  <c r="AT27" i="16"/>
  <c r="AX27" i="16"/>
  <c r="BB27" i="16"/>
  <c r="AT28" i="16"/>
  <c r="AX28" i="16"/>
  <c r="BB28" i="16"/>
  <c r="AT29" i="16"/>
  <c r="AX29" i="16"/>
  <c r="BB29" i="16"/>
  <c r="AP30" i="16"/>
  <c r="AT30" i="16"/>
  <c r="AX30" i="16"/>
  <c r="BB30" i="16"/>
  <c r="BF23" i="16"/>
  <c r="BF43" i="16"/>
  <c r="BO43" i="16" s="1"/>
  <c r="BF95" i="16"/>
  <c r="BF98" i="16"/>
  <c r="BF99" i="16"/>
  <c r="BF100" i="16"/>
  <c r="BF96" i="16"/>
  <c r="BF97" i="16"/>
  <c r="BF101" i="16"/>
  <c r="BO101" i="16" s="1"/>
  <c r="BF102" i="16"/>
  <c r="BF103" i="16"/>
  <c r="BF104" i="16"/>
  <c r="BF105" i="16"/>
  <c r="BF112" i="16"/>
  <c r="BO112" i="16" s="1"/>
  <c r="BF113" i="16"/>
  <c r="BO113" i="16" s="1"/>
  <c r="BF114" i="16"/>
  <c r="BF115" i="16"/>
  <c r="BF116" i="16"/>
  <c r="BF117" i="16"/>
  <c r="BO117" i="16" s="1"/>
  <c r="BF118" i="16"/>
  <c r="BF119" i="16"/>
  <c r="BF120" i="16"/>
  <c r="BF121" i="16"/>
  <c r="BF122" i="16"/>
  <c r="BF123" i="16"/>
  <c r="BF124" i="16"/>
  <c r="BF125" i="16"/>
  <c r="BF126" i="16"/>
  <c r="AP16" i="16"/>
  <c r="AT16" i="16"/>
  <c r="AX16" i="16"/>
  <c r="BB16" i="16"/>
  <c r="AP17" i="16"/>
  <c r="AT17" i="16"/>
  <c r="AX17" i="16"/>
  <c r="BB17" i="16"/>
  <c r="AQ18" i="16"/>
  <c r="AU18" i="16"/>
  <c r="AY18" i="16"/>
  <c r="BC18" i="16"/>
  <c r="AR19" i="16"/>
  <c r="AW19" i="16"/>
  <c r="BA19" i="16"/>
  <c r="AO20" i="16"/>
  <c r="AS20" i="16"/>
  <c r="AW20" i="16"/>
  <c r="BA20" i="16"/>
  <c r="AV22" i="16"/>
  <c r="AZ22" i="16"/>
  <c r="BD22" i="16"/>
  <c r="AX23" i="16"/>
  <c r="BC23" i="16"/>
  <c r="AT24" i="16"/>
  <c r="AX24" i="16"/>
  <c r="BB24" i="16"/>
  <c r="AP25" i="16"/>
  <c r="AZ25" i="16"/>
  <c r="BD25" i="16"/>
  <c r="AR26" i="16"/>
  <c r="AV26" i="16"/>
  <c r="AZ26" i="16"/>
  <c r="BD26" i="16"/>
  <c r="AR27" i="16"/>
  <c r="AV27" i="16"/>
  <c r="AZ27" i="16"/>
  <c r="BD27" i="16"/>
  <c r="AR28" i="16"/>
  <c r="AV28" i="16"/>
  <c r="AZ28" i="16"/>
  <c r="BD28" i="16"/>
  <c r="AR29" i="16"/>
  <c r="AV29" i="16"/>
  <c r="AZ29" i="16"/>
  <c r="BD29" i="16"/>
  <c r="AR30" i="16"/>
  <c r="AV30" i="16"/>
  <c r="AZ30" i="16"/>
  <c r="BD30" i="16"/>
  <c r="AS31" i="16"/>
  <c r="AW31" i="16"/>
  <c r="BA31" i="16"/>
  <c r="AO32" i="16"/>
  <c r="BH32" i="16" s="1"/>
  <c r="AU32" i="16"/>
  <c r="AY32" i="16"/>
  <c r="BC32" i="16"/>
  <c r="AR33" i="16"/>
  <c r="AW33" i="16"/>
  <c r="BA33" i="16"/>
  <c r="AO34" i="16"/>
  <c r="BH34" i="16" s="1"/>
  <c r="AV34" i="16"/>
  <c r="AZ34" i="16"/>
  <c r="BD34" i="16"/>
  <c r="AR35" i="16"/>
  <c r="AW35" i="16"/>
  <c r="BA35" i="16"/>
  <c r="AO36" i="16"/>
  <c r="AS36" i="16"/>
  <c r="AW36" i="16"/>
  <c r="BA36" i="16"/>
  <c r="AV37" i="16"/>
  <c r="AZ37" i="16"/>
  <c r="BD37" i="16"/>
  <c r="AU38" i="16"/>
  <c r="AY38" i="16"/>
  <c r="BC38" i="16"/>
  <c r="AR39" i="16"/>
  <c r="AV39" i="16"/>
  <c r="BD39" i="16"/>
  <c r="AR40" i="16"/>
  <c r="AV40" i="16"/>
  <c r="AZ40" i="16"/>
  <c r="BD40" i="16"/>
  <c r="AR41" i="16"/>
  <c r="AV41" i="16"/>
  <c r="AZ41" i="16"/>
  <c r="BD41" i="16"/>
  <c r="AR42" i="16"/>
  <c r="AV42" i="16"/>
  <c r="AZ42" i="16"/>
  <c r="BD42" i="16"/>
  <c r="AR43" i="16"/>
  <c r="AV43" i="16"/>
  <c r="AZ43" i="16"/>
  <c r="BD43" i="16"/>
  <c r="AR44" i="16"/>
  <c r="AV44" i="16"/>
  <c r="AZ44" i="16"/>
  <c r="BD44" i="16"/>
  <c r="AR45" i="16"/>
  <c r="AV45" i="16"/>
  <c r="AZ45" i="16"/>
  <c r="BD45" i="16"/>
  <c r="AR46" i="16"/>
  <c r="AV46" i="16"/>
  <c r="AZ46" i="16"/>
  <c r="BD46" i="16"/>
  <c r="AT47" i="16"/>
  <c r="BD23" i="16"/>
  <c r="AU24" i="16"/>
  <c r="AY24" i="16"/>
  <c r="AT25" i="16"/>
  <c r="BA25" i="16"/>
  <c r="AO26" i="16"/>
  <c r="AS26" i="16"/>
  <c r="AW26" i="16"/>
  <c r="BA26" i="16"/>
  <c r="AO27" i="16"/>
  <c r="AS27" i="16"/>
  <c r="AW27" i="16"/>
  <c r="BA27" i="16"/>
  <c r="AS28" i="16"/>
  <c r="AW28" i="16"/>
  <c r="BA28" i="16"/>
  <c r="AS29" i="16"/>
  <c r="AW29" i="16"/>
  <c r="BA29" i="16"/>
  <c r="AO30" i="16"/>
  <c r="AS30" i="16"/>
  <c r="AW30" i="16"/>
  <c r="BA30" i="16"/>
  <c r="AT31" i="16"/>
  <c r="AX31" i="16"/>
  <c r="BB31" i="16"/>
  <c r="AQ32" i="16"/>
  <c r="AV32" i="16"/>
  <c r="AZ32" i="16"/>
  <c r="BD32" i="16"/>
  <c r="AT33" i="16"/>
  <c r="AX33" i="16"/>
  <c r="BB33" i="16"/>
  <c r="AP34" i="16"/>
  <c r="AW34" i="16"/>
  <c r="BA34" i="16"/>
  <c r="AS35" i="16"/>
  <c r="AX35" i="16"/>
  <c r="BB35" i="16"/>
  <c r="AP36" i="16"/>
  <c r="AT36" i="16"/>
  <c r="AX36" i="16"/>
  <c r="BB36" i="16"/>
  <c r="AP37" i="16"/>
  <c r="AW37" i="16"/>
  <c r="BA37" i="16"/>
  <c r="AV38" i="16"/>
  <c r="AZ38" i="16"/>
  <c r="BD38" i="16"/>
  <c r="AS39" i="16"/>
  <c r="AW39" i="16"/>
  <c r="BA39" i="16"/>
  <c r="AO40" i="16"/>
  <c r="AS40" i="16"/>
  <c r="AW40" i="16"/>
  <c r="BA40" i="16"/>
  <c r="AO41" i="16"/>
  <c r="AS41" i="16"/>
  <c r="AW41" i="16"/>
  <c r="BA41" i="16"/>
  <c r="AS42" i="16"/>
  <c r="AW42" i="16"/>
  <c r="BA42" i="16"/>
  <c r="AO43" i="16"/>
  <c r="BH43" i="16" s="1"/>
  <c r="AS43" i="16"/>
  <c r="AW43" i="16"/>
  <c r="BA43" i="16"/>
  <c r="AW44" i="16"/>
  <c r="BA44" i="16"/>
  <c r="AO45" i="16"/>
  <c r="BH45" i="16" s="1"/>
  <c r="AW45" i="16"/>
  <c r="BA45" i="16"/>
  <c r="AO46" i="16"/>
  <c r="AS46" i="16"/>
  <c r="AW46" i="16"/>
  <c r="BA46" i="16"/>
  <c r="AU47" i="16"/>
  <c r="AY47" i="16"/>
  <c r="AQ31" i="16"/>
  <c r="AU31" i="16"/>
  <c r="AY31" i="16"/>
  <c r="BC31" i="16"/>
  <c r="AR32" i="16"/>
  <c r="AW32" i="16"/>
  <c r="BA32" i="16"/>
  <c r="AU33" i="16"/>
  <c r="AY33" i="16"/>
  <c r="BC33" i="16"/>
  <c r="AR34" i="16"/>
  <c r="AX34" i="16"/>
  <c r="BB34" i="16"/>
  <c r="AP35" i="16"/>
  <c r="AU35" i="16"/>
  <c r="AY35" i="16"/>
  <c r="BC35" i="16"/>
  <c r="AQ36" i="16"/>
  <c r="AU36" i="16"/>
  <c r="AY36" i="16"/>
  <c r="BC36" i="16"/>
  <c r="AT37" i="16"/>
  <c r="AX37" i="16"/>
  <c r="BB37" i="16"/>
  <c r="AP38" i="16"/>
  <c r="AW38" i="16"/>
  <c r="BA38" i="16"/>
  <c r="AT39" i="16"/>
  <c r="AX39" i="16"/>
  <c r="BB39" i="16"/>
  <c r="AP40" i="16"/>
  <c r="AT40" i="16"/>
  <c r="AX40" i="16"/>
  <c r="BB40" i="16"/>
  <c r="AP41" i="16"/>
  <c r="AT41" i="16"/>
  <c r="AX41" i="16"/>
  <c r="BB41" i="16"/>
  <c r="AT42" i="16"/>
  <c r="AX42" i="16"/>
  <c r="BB42" i="16"/>
  <c r="AX43" i="16"/>
  <c r="BB43" i="16"/>
  <c r="AP44" i="16"/>
  <c r="AT44" i="16"/>
  <c r="AX44" i="16"/>
  <c r="BB44" i="16"/>
  <c r="AP45" i="16"/>
  <c r="AX45" i="16"/>
  <c r="BB45" i="16"/>
  <c r="AP46" i="16"/>
  <c r="AT46" i="16"/>
  <c r="AX46" i="16"/>
  <c r="BB46" i="16"/>
  <c r="AP47" i="16"/>
  <c r="AV47" i="16"/>
  <c r="AZ47" i="16"/>
  <c r="BD47" i="16"/>
  <c r="AR48" i="16"/>
  <c r="AW48" i="16"/>
  <c r="BA48" i="16"/>
  <c r="AW49" i="16"/>
  <c r="BA49" i="16"/>
  <c r="AT50" i="16"/>
  <c r="AX50" i="16"/>
  <c r="BB50" i="16"/>
  <c r="AT51" i="16"/>
  <c r="AX51" i="16"/>
  <c r="BB51" i="16"/>
  <c r="AP52" i="16"/>
  <c r="AT52" i="16"/>
  <c r="AX52" i="16"/>
  <c r="BB52" i="16"/>
  <c r="AR53" i="16"/>
  <c r="AW53" i="16"/>
  <c r="AP54" i="16"/>
  <c r="AV54" i="16"/>
  <c r="AZ54" i="16"/>
  <c r="BD54" i="16"/>
  <c r="AT55" i="16"/>
  <c r="AX55" i="16"/>
  <c r="AP58" i="16"/>
  <c r="AV58" i="16"/>
  <c r="AZ58" i="16"/>
  <c r="BD58" i="16"/>
  <c r="AT56" i="16"/>
  <c r="AX56" i="16"/>
  <c r="AP57" i="16"/>
  <c r="AV57" i="16"/>
  <c r="AZ57" i="16"/>
  <c r="BD57" i="16"/>
  <c r="BB23" i="16"/>
  <c r="AP24" i="16"/>
  <c r="AW24" i="16"/>
  <c r="BA24" i="16"/>
  <c r="AO25" i="16"/>
  <c r="BH25" i="16" s="1"/>
  <c r="AY25" i="16"/>
  <c r="BC25" i="16"/>
  <c r="AQ26" i="16"/>
  <c r="AU26" i="16"/>
  <c r="AY26" i="16"/>
  <c r="BC26" i="16"/>
  <c r="AQ27" i="16"/>
  <c r="AU27" i="16"/>
  <c r="AY27" i="16"/>
  <c r="BC27" i="16"/>
  <c r="AQ28" i="16"/>
  <c r="AU28" i="16"/>
  <c r="AY28" i="16"/>
  <c r="BC28" i="16"/>
  <c r="AQ29" i="16"/>
  <c r="AU29" i="16"/>
  <c r="AY29" i="16"/>
  <c r="BC29" i="16"/>
  <c r="AQ30" i="16"/>
  <c r="AU30" i="16"/>
  <c r="AY30" i="16"/>
  <c r="BC30" i="16"/>
  <c r="AR31" i="16"/>
  <c r="AV31" i="16"/>
  <c r="AZ31" i="16"/>
  <c r="BD31" i="16"/>
  <c r="AS32" i="16"/>
  <c r="AX32" i="16"/>
  <c r="BB32" i="16"/>
  <c r="AP33" i="16"/>
  <c r="AV33" i="16"/>
  <c r="AZ33" i="16"/>
  <c r="BD33" i="16"/>
  <c r="AU34" i="16"/>
  <c r="AY34" i="16"/>
  <c r="BC34" i="16"/>
  <c r="AQ35" i="16"/>
  <c r="AV35" i="16"/>
  <c r="AZ35" i="16"/>
  <c r="BD35" i="16"/>
  <c r="AR36" i="16"/>
  <c r="AV36" i="16"/>
  <c r="AZ36" i="16"/>
  <c r="BD36" i="16"/>
  <c r="AU37" i="16"/>
  <c r="AY37" i="16"/>
  <c r="BC37" i="16"/>
  <c r="AT38" i="16"/>
  <c r="AX38" i="16"/>
  <c r="AQ39" i="16"/>
  <c r="AU39" i="16"/>
  <c r="BC39" i="16"/>
  <c r="AQ40" i="16"/>
  <c r="AU40" i="16"/>
  <c r="AY40" i="16"/>
  <c r="BC40" i="16"/>
  <c r="AQ41" i="16"/>
  <c r="AU41" i="16"/>
  <c r="AY41" i="16"/>
  <c r="BC41" i="16"/>
  <c r="AQ42" i="16"/>
  <c r="AU42" i="16"/>
  <c r="AY42" i="16"/>
  <c r="BC42" i="16"/>
  <c r="AQ43" i="16"/>
  <c r="AU43" i="16"/>
  <c r="AY43" i="16"/>
  <c r="BC43" i="16"/>
  <c r="AU44" i="16"/>
  <c r="AY44" i="16"/>
  <c r="BC44" i="16"/>
  <c r="AU45" i="16"/>
  <c r="AY45" i="16"/>
  <c r="BC45" i="16"/>
  <c r="AQ46" i="16"/>
  <c r="AU46" i="16"/>
  <c r="AY46" i="16"/>
  <c r="BC46" i="16"/>
  <c r="AR47" i="16"/>
  <c r="AX47" i="16"/>
  <c r="AP48" i="16"/>
  <c r="AU48" i="16"/>
  <c r="AY48" i="16"/>
  <c r="BC48" i="16"/>
  <c r="AU49" i="16"/>
  <c r="AY49" i="16"/>
  <c r="AR50" i="16"/>
  <c r="AV50" i="16"/>
  <c r="BD50" i="16"/>
  <c r="AP51" i="16"/>
  <c r="AV51" i="16"/>
  <c r="AZ51" i="16"/>
  <c r="AR52" i="16"/>
  <c r="AV52" i="16"/>
  <c r="AZ52" i="16"/>
  <c r="BD52" i="16"/>
  <c r="AU53" i="16"/>
  <c r="AY53" i="16"/>
  <c r="BD53" i="16"/>
  <c r="AT54" i="16"/>
  <c r="AX54" i="16"/>
  <c r="AP55" i="16"/>
  <c r="AV55" i="16"/>
  <c r="AZ55" i="16"/>
  <c r="BD55" i="16"/>
  <c r="AT58" i="16"/>
  <c r="AX58" i="16"/>
  <c r="AP56" i="16"/>
  <c r="AV56" i="16"/>
  <c r="AZ56" i="16"/>
  <c r="BD56" i="16"/>
  <c r="AT57" i="16"/>
  <c r="AX57" i="16"/>
  <c r="AP59" i="16"/>
  <c r="AV59" i="16"/>
  <c r="AZ59" i="16"/>
  <c r="BD59" i="16"/>
  <c r="AT60" i="16"/>
  <c r="AX60" i="16"/>
  <c r="AP61" i="16"/>
  <c r="AV61" i="16"/>
  <c r="AZ61" i="16"/>
  <c r="BD61" i="16"/>
  <c r="AT62" i="16"/>
  <c r="AX62" i="16"/>
  <c r="AP63" i="16"/>
  <c r="AV63" i="16"/>
  <c r="AZ63" i="16"/>
  <c r="BD63" i="16"/>
  <c r="AT64" i="16"/>
  <c r="AX64" i="16"/>
  <c r="AP65" i="16"/>
  <c r="AT65" i="16"/>
  <c r="AX65" i="16"/>
  <c r="BB65" i="16"/>
  <c r="AP66" i="16"/>
  <c r="AT66" i="16"/>
  <c r="AX66" i="16"/>
  <c r="BB66" i="16"/>
  <c r="AP67" i="16"/>
  <c r="AT67" i="16"/>
  <c r="AX67" i="16"/>
  <c r="BB67" i="16"/>
  <c r="AP68" i="16"/>
  <c r="AT68" i="16"/>
  <c r="AX68" i="16"/>
  <c r="BB68" i="16"/>
  <c r="AP69" i="16"/>
  <c r="AT69" i="16"/>
  <c r="AX69" i="16"/>
  <c r="BB69" i="16"/>
  <c r="AP70" i="16"/>
  <c r="AV70" i="16"/>
  <c r="AZ70" i="16"/>
  <c r="BD70" i="16"/>
  <c r="AR71" i="16"/>
  <c r="AW71" i="16"/>
  <c r="BC71" i="16"/>
  <c r="AU72" i="16"/>
  <c r="BC47" i="16"/>
  <c r="AV48" i="16"/>
  <c r="AZ48" i="16"/>
  <c r="BD48" i="16"/>
  <c r="AR49" i="16"/>
  <c r="AV49" i="16"/>
  <c r="AZ49" i="16"/>
  <c r="AS50" i="16"/>
  <c r="AW50" i="16"/>
  <c r="BA50" i="16"/>
  <c r="AR51" i="16"/>
  <c r="AW51" i="16"/>
  <c r="BA51" i="16"/>
  <c r="AO52" i="16"/>
  <c r="BH52" i="16" s="1"/>
  <c r="AS52" i="16"/>
  <c r="AW52" i="16"/>
  <c r="BA52" i="16"/>
  <c r="AP53" i="16"/>
  <c r="AV53" i="16"/>
  <c r="AZ53" i="16"/>
  <c r="AU54" i="16"/>
  <c r="AY54" i="16"/>
  <c r="BC54" i="16"/>
  <c r="AR55" i="16"/>
  <c r="AW55" i="16"/>
  <c r="AU58" i="16"/>
  <c r="AY58" i="16"/>
  <c r="BC58" i="16"/>
  <c r="AR56" i="16"/>
  <c r="AW56" i="16"/>
  <c r="AU57" i="16"/>
  <c r="AY57" i="16"/>
  <c r="BC57" i="16"/>
  <c r="AR59" i="16"/>
  <c r="AW59" i="16"/>
  <c r="AU60" i="16"/>
  <c r="AY60" i="16"/>
  <c r="BC60" i="16"/>
  <c r="AR61" i="16"/>
  <c r="AW61" i="16"/>
  <c r="AU62" i="16"/>
  <c r="AY62" i="16"/>
  <c r="BC62" i="16"/>
  <c r="AR63" i="16"/>
  <c r="AW63" i="16"/>
  <c r="AU64" i="16"/>
  <c r="AY64" i="16"/>
  <c r="BC64" i="16"/>
  <c r="AQ65" i="16"/>
  <c r="AU65" i="16"/>
  <c r="AY65" i="16"/>
  <c r="BC65" i="16"/>
  <c r="AQ66" i="16"/>
  <c r="AU66" i="16"/>
  <c r="AY66" i="16"/>
  <c r="BC66" i="16"/>
  <c r="AQ67" i="16"/>
  <c r="AU67" i="16"/>
  <c r="AY67" i="16"/>
  <c r="BC67" i="16"/>
  <c r="AQ68" i="16"/>
  <c r="AU68" i="16"/>
  <c r="AY68" i="16"/>
  <c r="BC68" i="16"/>
  <c r="AQ69" i="16"/>
  <c r="AU69" i="16"/>
  <c r="AY69" i="16"/>
  <c r="BC69" i="16"/>
  <c r="AR70" i="16"/>
  <c r="AW70" i="16"/>
  <c r="AT71" i="16"/>
  <c r="AY71" i="16"/>
  <c r="BD71" i="16"/>
  <c r="AR72" i="16"/>
  <c r="AT59" i="16"/>
  <c r="AX59" i="16"/>
  <c r="AP60" i="16"/>
  <c r="AV60" i="16"/>
  <c r="AZ60" i="16"/>
  <c r="BD60" i="16"/>
  <c r="AT61" i="16"/>
  <c r="AX61" i="16"/>
  <c r="AP62" i="16"/>
  <c r="AV62" i="16"/>
  <c r="AZ62" i="16"/>
  <c r="BD62" i="16"/>
  <c r="AT63" i="16"/>
  <c r="AX63" i="16"/>
  <c r="AP64" i="16"/>
  <c r="AV64" i="16"/>
  <c r="AZ64" i="16"/>
  <c r="BD64" i="16"/>
  <c r="AR65" i="16"/>
  <c r="AV65" i="16"/>
  <c r="AZ65" i="16"/>
  <c r="BD65" i="16"/>
  <c r="AR66" i="16"/>
  <c r="AV66" i="16"/>
  <c r="AZ66" i="16"/>
  <c r="BD66" i="16"/>
  <c r="AR67" i="16"/>
  <c r="AV67" i="16"/>
  <c r="AZ67" i="16"/>
  <c r="BD67" i="16"/>
  <c r="AR68" i="16"/>
  <c r="AV68" i="16"/>
  <c r="AZ68" i="16"/>
  <c r="BD68" i="16"/>
  <c r="AR69" i="16"/>
  <c r="AV69" i="16"/>
  <c r="AZ69" i="16"/>
  <c r="BD69" i="16"/>
  <c r="AT70" i="16"/>
  <c r="AX70" i="16"/>
  <c r="AP71" i="16"/>
  <c r="AU71" i="16"/>
  <c r="AZ71" i="16"/>
  <c r="AW47" i="16"/>
  <c r="AT48" i="16"/>
  <c r="AP49" i="16"/>
  <c r="AT49" i="16"/>
  <c r="AX49" i="16"/>
  <c r="BB49" i="16"/>
  <c r="AQ50" i="16"/>
  <c r="AU50" i="16"/>
  <c r="BC50" i="16"/>
  <c r="AU51" i="16"/>
  <c r="AY51" i="16"/>
  <c r="AQ52" i="16"/>
  <c r="AU52" i="16"/>
  <c r="AY52" i="16"/>
  <c r="BC52" i="16"/>
  <c r="AT53" i="16"/>
  <c r="AX53" i="16"/>
  <c r="BC53" i="16"/>
  <c r="AR54" i="16"/>
  <c r="AW54" i="16"/>
  <c r="AU55" i="16"/>
  <c r="AY55" i="16"/>
  <c r="BC55" i="16"/>
  <c r="AR58" i="16"/>
  <c r="AW58" i="16"/>
  <c r="AU56" i="16"/>
  <c r="AY56" i="16"/>
  <c r="BC56" i="16"/>
  <c r="AR57" i="16"/>
  <c r="AW57" i="16"/>
  <c r="AU59" i="16"/>
  <c r="AY59" i="16"/>
  <c r="BC59" i="16"/>
  <c r="AR60" i="16"/>
  <c r="AW60" i="16"/>
  <c r="AU61" i="16"/>
  <c r="AY61" i="16"/>
  <c r="BC61" i="16"/>
  <c r="AR62" i="16"/>
  <c r="AW62" i="16"/>
  <c r="AU63" i="16"/>
  <c r="AY63" i="16"/>
  <c r="BC63" i="16"/>
  <c r="AR64" i="16"/>
  <c r="AW64" i="16"/>
  <c r="AO65" i="16"/>
  <c r="BH65" i="16" s="1"/>
  <c r="AS65" i="16"/>
  <c r="AW65" i="16"/>
  <c r="BA65" i="16"/>
  <c r="AO66" i="16"/>
  <c r="BH66" i="16" s="1"/>
  <c r="AS66" i="16"/>
  <c r="AW66" i="16"/>
  <c r="BA66" i="16"/>
  <c r="AO67" i="16"/>
  <c r="BH67" i="16" s="1"/>
  <c r="AS67" i="16"/>
  <c r="AW67" i="16"/>
  <c r="BA67" i="16"/>
  <c r="AO68" i="16"/>
  <c r="AS68" i="16"/>
  <c r="AW68" i="16"/>
  <c r="BA68" i="16"/>
  <c r="AO69" i="16"/>
  <c r="AS69" i="16"/>
  <c r="AW69" i="16"/>
  <c r="BA69" i="16"/>
  <c r="AU70" i="16"/>
  <c r="AY70" i="16"/>
  <c r="BC70" i="16"/>
  <c r="AV71" i="16"/>
  <c r="BA71" i="16"/>
  <c r="AP72" i="16"/>
  <c r="AT72" i="16"/>
  <c r="AX72" i="16"/>
  <c r="AY72" i="16"/>
  <c r="AR73" i="16"/>
  <c r="AV73" i="16"/>
  <c r="BB73" i="16"/>
  <c r="AP74" i="16"/>
  <c r="AV74" i="16"/>
  <c r="AZ74" i="16"/>
  <c r="BD74" i="16"/>
  <c r="AP75" i="16"/>
  <c r="AT75" i="16"/>
  <c r="AX75" i="16"/>
  <c r="BB75" i="16"/>
  <c r="AP76" i="16"/>
  <c r="AT76" i="16"/>
  <c r="AX76" i="16"/>
  <c r="BB76" i="16"/>
  <c r="AP77" i="16"/>
  <c r="AV77" i="16"/>
  <c r="AZ77" i="16"/>
  <c r="AP78" i="16"/>
  <c r="AV78" i="16"/>
  <c r="AZ78" i="16"/>
  <c r="AP80" i="16"/>
  <c r="AV80" i="16"/>
  <c r="AZ80" i="16"/>
  <c r="AU81" i="16"/>
  <c r="AY81" i="16"/>
  <c r="BC81" i="16"/>
  <c r="AR82" i="16"/>
  <c r="AW82" i="16"/>
  <c r="AU83" i="16"/>
  <c r="AY83" i="16"/>
  <c r="BC83" i="16"/>
  <c r="AR85" i="16"/>
  <c r="AW85" i="16"/>
  <c r="AO86" i="16"/>
  <c r="BH86" i="16" s="1"/>
  <c r="AS86" i="16"/>
  <c r="AW86" i="16"/>
  <c r="BA86" i="16"/>
  <c r="AO87" i="16"/>
  <c r="BH87" i="16" s="1"/>
  <c r="AS87" i="16"/>
  <c r="AW87" i="16"/>
  <c r="BA87" i="16"/>
  <c r="AO88" i="16"/>
  <c r="BH88" i="16" s="1"/>
  <c r="AS88" i="16"/>
  <c r="AW88" i="16"/>
  <c r="BA88" i="16"/>
  <c r="AO89" i="16"/>
  <c r="BH89" i="16" s="1"/>
  <c r="AS89" i="16"/>
  <c r="AW89" i="16"/>
  <c r="BA89" i="16"/>
  <c r="AO90" i="16"/>
  <c r="BH90" i="16" s="1"/>
  <c r="AS90" i="16"/>
  <c r="AW90" i="16"/>
  <c r="BA90" i="16"/>
  <c r="AO91" i="16"/>
  <c r="BH91" i="16" s="1"/>
  <c r="AS91" i="16"/>
  <c r="AW91" i="16"/>
  <c r="BA91" i="16"/>
  <c r="AO92" i="16"/>
  <c r="AS92" i="16"/>
  <c r="AW92" i="16"/>
  <c r="BA92" i="16"/>
  <c r="AO93" i="16"/>
  <c r="AS93" i="16"/>
  <c r="AW93" i="16"/>
  <c r="BA93" i="16"/>
  <c r="AT94" i="16"/>
  <c r="AX94" i="16"/>
  <c r="AR95" i="16"/>
  <c r="AV95" i="16"/>
  <c r="AV72" i="16"/>
  <c r="AZ72" i="16"/>
  <c r="AS73" i="16"/>
  <c r="AW73" i="16"/>
  <c r="BC73" i="16"/>
  <c r="AR74" i="16"/>
  <c r="AW74" i="16"/>
  <c r="BA74" i="16"/>
  <c r="AQ75" i="16"/>
  <c r="AU75" i="16"/>
  <c r="AY75" i="16"/>
  <c r="AQ76" i="16"/>
  <c r="AU76" i="16"/>
  <c r="AY76" i="16"/>
  <c r="BC76" i="16"/>
  <c r="AR77" i="16"/>
  <c r="AW77" i="16"/>
  <c r="AR78" i="16"/>
  <c r="AW78" i="16"/>
  <c r="AR80" i="16"/>
  <c r="AW80" i="16"/>
  <c r="AP81" i="16"/>
  <c r="AV81" i="16"/>
  <c r="AZ81" i="16"/>
  <c r="BD81" i="16"/>
  <c r="AT82" i="16"/>
  <c r="AX82" i="16"/>
  <c r="AP83" i="16"/>
  <c r="AV83" i="16"/>
  <c r="AZ83" i="16"/>
  <c r="BD83" i="16"/>
  <c r="AT85" i="16"/>
  <c r="AX85" i="16"/>
  <c r="AP86" i="16"/>
  <c r="AT86" i="16"/>
  <c r="AX86" i="16"/>
  <c r="BB86" i="16"/>
  <c r="AP87" i="16"/>
  <c r="AT87" i="16"/>
  <c r="AX87" i="16"/>
  <c r="BB87" i="16"/>
  <c r="AP88" i="16"/>
  <c r="AT88" i="16"/>
  <c r="AX88" i="16"/>
  <c r="BB88" i="16"/>
  <c r="AP89" i="16"/>
  <c r="AT89" i="16"/>
  <c r="AX89" i="16"/>
  <c r="BB89" i="16"/>
  <c r="AP90" i="16"/>
  <c r="AT90" i="16"/>
  <c r="AX90" i="16"/>
  <c r="BB90" i="16"/>
  <c r="AP91" i="16"/>
  <c r="AT91" i="16"/>
  <c r="AX91" i="16"/>
  <c r="BB91" i="16"/>
  <c r="AP92" i="16"/>
  <c r="AT92" i="16"/>
  <c r="AX92" i="16"/>
  <c r="BB92" i="16"/>
  <c r="AP93" i="16"/>
  <c r="AT93" i="16"/>
  <c r="AX93" i="16"/>
  <c r="BB93" i="16"/>
  <c r="AQ94" i="16"/>
  <c r="AU94" i="16"/>
  <c r="AY94" i="16"/>
  <c r="BC94" i="16"/>
  <c r="AS95" i="16"/>
  <c r="AW95" i="16"/>
  <c r="AW72" i="16"/>
  <c r="BA72" i="16"/>
  <c r="AT73" i="16"/>
  <c r="AX73" i="16"/>
  <c r="BD73" i="16"/>
  <c r="AT74" i="16"/>
  <c r="AR75" i="16"/>
  <c r="AV75" i="16"/>
  <c r="AZ75" i="16"/>
  <c r="AR76" i="16"/>
  <c r="AV76" i="16"/>
  <c r="AZ76" i="16"/>
  <c r="BD76" i="16"/>
  <c r="AT77" i="16"/>
  <c r="AX77" i="16"/>
  <c r="BC77" i="16"/>
  <c r="AT78" i="16"/>
  <c r="AX78" i="16"/>
  <c r="BC78" i="16"/>
  <c r="AT80" i="16"/>
  <c r="AX80" i="16"/>
  <c r="BC80" i="16"/>
  <c r="AR81" i="16"/>
  <c r="AW81" i="16"/>
  <c r="AU82" i="16"/>
  <c r="AY82" i="16"/>
  <c r="BC82" i="16"/>
  <c r="AR83" i="16"/>
  <c r="AW83" i="16"/>
  <c r="AU85" i="16"/>
  <c r="AY85" i="16"/>
  <c r="BC85" i="16"/>
  <c r="AQ86" i="16"/>
  <c r="AU86" i="16"/>
  <c r="AY86" i="16"/>
  <c r="BC86" i="16"/>
  <c r="AQ87" i="16"/>
  <c r="AU87" i="16"/>
  <c r="AY87" i="16"/>
  <c r="BC87" i="16"/>
  <c r="AQ88" i="16"/>
  <c r="AU88" i="16"/>
  <c r="AY88" i="16"/>
  <c r="BC88" i="16"/>
  <c r="AQ89" i="16"/>
  <c r="AU89" i="16"/>
  <c r="AY89" i="16"/>
  <c r="BC89" i="16"/>
  <c r="AQ90" i="16"/>
  <c r="AU90" i="16"/>
  <c r="AY90" i="16"/>
  <c r="BC90" i="16"/>
  <c r="AQ91" i="16"/>
  <c r="AU91" i="16"/>
  <c r="AY91" i="16"/>
  <c r="BC91" i="16"/>
  <c r="AQ92" i="16"/>
  <c r="AU92" i="16"/>
  <c r="AY92" i="16"/>
  <c r="BC92" i="16"/>
  <c r="AQ93" i="16"/>
  <c r="AU93" i="16"/>
  <c r="AY93" i="16"/>
  <c r="BC93" i="16"/>
  <c r="AR94" i="16"/>
  <c r="AV94" i="16"/>
  <c r="AZ94" i="16"/>
  <c r="BD94" i="16"/>
  <c r="BB72" i="16"/>
  <c r="AQ73" i="16"/>
  <c r="AU73" i="16"/>
  <c r="BA73" i="16"/>
  <c r="AU74" i="16"/>
  <c r="AY74" i="16"/>
  <c r="BC74" i="16"/>
  <c r="AS75" i="16"/>
  <c r="AW75" i="16"/>
  <c r="BA75" i="16"/>
  <c r="AO76" i="16"/>
  <c r="BH76" i="16" s="1"/>
  <c r="AS76" i="16"/>
  <c r="AW76" i="16"/>
  <c r="BA76" i="16"/>
  <c r="AU77" i="16"/>
  <c r="AY77" i="16"/>
  <c r="BD77" i="16"/>
  <c r="AU78" i="16"/>
  <c r="AY78" i="16"/>
  <c r="BD78" i="16"/>
  <c r="AU80" i="16"/>
  <c r="AY80" i="16"/>
  <c r="BD80" i="16"/>
  <c r="AT81" i="16"/>
  <c r="AX81" i="16"/>
  <c r="AP82" i="16"/>
  <c r="AV82" i="16"/>
  <c r="AZ82" i="16"/>
  <c r="BD82" i="16"/>
  <c r="AT83" i="16"/>
  <c r="AX83" i="16"/>
  <c r="AP85" i="16"/>
  <c r="AV85" i="16"/>
  <c r="AZ85" i="16"/>
  <c r="BD85" i="16"/>
  <c r="AR86" i="16"/>
  <c r="AV86" i="16"/>
  <c r="AZ86" i="16"/>
  <c r="BD86" i="16"/>
  <c r="AR87" i="16"/>
  <c r="AV87" i="16"/>
  <c r="AZ87" i="16"/>
  <c r="BD87" i="16"/>
  <c r="AR88" i="16"/>
  <c r="AV88" i="16"/>
  <c r="AZ88" i="16"/>
  <c r="BD88" i="16"/>
  <c r="AR89" i="16"/>
  <c r="AV89" i="16"/>
  <c r="AZ89" i="16"/>
  <c r="BD89" i="16"/>
  <c r="AR90" i="16"/>
  <c r="AV90" i="16"/>
  <c r="AZ90" i="16"/>
  <c r="BD90" i="16"/>
  <c r="AR91" i="16"/>
  <c r="AV91" i="16"/>
  <c r="AZ91" i="16"/>
  <c r="BD91" i="16"/>
  <c r="AR92" i="16"/>
  <c r="AV92" i="16"/>
  <c r="AZ92" i="16"/>
  <c r="BD92" i="16"/>
  <c r="AR93" i="16"/>
  <c r="AV93" i="16"/>
  <c r="AZ93" i="16"/>
  <c r="BD93" i="16"/>
  <c r="AS94" i="16"/>
  <c r="AW94" i="16"/>
  <c r="AZ95" i="16"/>
  <c r="AR98" i="16"/>
  <c r="AV98" i="16"/>
  <c r="AZ98" i="16"/>
  <c r="AR99" i="16"/>
  <c r="AV99" i="16"/>
  <c r="AZ99" i="16"/>
  <c r="AR100" i="16"/>
  <c r="AV100" i="16"/>
  <c r="AZ100" i="16"/>
  <c r="AR96" i="16"/>
  <c r="AV96" i="16"/>
  <c r="AZ96" i="16"/>
  <c r="AR97" i="16"/>
  <c r="AV97" i="16"/>
  <c r="AZ97" i="16"/>
  <c r="AP101" i="16"/>
  <c r="AT101" i="16"/>
  <c r="AX101" i="16"/>
  <c r="BB101" i="16"/>
  <c r="AR102" i="16"/>
  <c r="AV102" i="16"/>
  <c r="AZ102" i="16"/>
  <c r="AR103" i="16"/>
  <c r="AV103" i="16"/>
  <c r="AZ103" i="16"/>
  <c r="AR104" i="16"/>
  <c r="AV104" i="16"/>
  <c r="AZ104" i="16"/>
  <c r="AR105" i="16"/>
  <c r="AV105" i="16"/>
  <c r="AZ105" i="16"/>
  <c r="AP112" i="16"/>
  <c r="AT112" i="16"/>
  <c r="AX112" i="16"/>
  <c r="BB112" i="16"/>
  <c r="AQ113" i="16"/>
  <c r="AU113" i="16"/>
  <c r="AY113" i="16"/>
  <c r="BC113" i="16"/>
  <c r="AS114" i="16"/>
  <c r="AW114" i="16"/>
  <c r="BC114" i="16"/>
  <c r="AS115" i="16"/>
  <c r="AW115" i="16"/>
  <c r="BC115" i="16"/>
  <c r="AS116" i="16"/>
  <c r="AW116" i="16"/>
  <c r="BC116" i="16"/>
  <c r="AQ117" i="16"/>
  <c r="AU117" i="16"/>
  <c r="AY117" i="16"/>
  <c r="BC117" i="16"/>
  <c r="AS118" i="16"/>
  <c r="AW118" i="16"/>
  <c r="BC118" i="16"/>
  <c r="AS119" i="16"/>
  <c r="AW119" i="16"/>
  <c r="BC119" i="16"/>
  <c r="AS120" i="16"/>
  <c r="AW120" i="16"/>
  <c r="BC120" i="16"/>
  <c r="AS121" i="16"/>
  <c r="AW121" i="16"/>
  <c r="BC121" i="16"/>
  <c r="AS122" i="16"/>
  <c r="AW122" i="16"/>
  <c r="BC122" i="16"/>
  <c r="AS123" i="16"/>
  <c r="AW123" i="16"/>
  <c r="BC123" i="16"/>
  <c r="AS124" i="16"/>
  <c r="AW124" i="16"/>
  <c r="BC124" i="16"/>
  <c r="AS125" i="16"/>
  <c r="AW125" i="16"/>
  <c r="BC125" i="16"/>
  <c r="AS126" i="16"/>
  <c r="AW126" i="16"/>
  <c r="BC126" i="16"/>
  <c r="BC95" i="16"/>
  <c r="AS98" i="16"/>
  <c r="AW98" i="16"/>
  <c r="BC98" i="16"/>
  <c r="AS99" i="16"/>
  <c r="AW99" i="16"/>
  <c r="BC99" i="16"/>
  <c r="AS100" i="16"/>
  <c r="AW100" i="16"/>
  <c r="BC100" i="16"/>
  <c r="AS96" i="16"/>
  <c r="AW96" i="16"/>
  <c r="BC96" i="16"/>
  <c r="AS97" i="16"/>
  <c r="AW97" i="16"/>
  <c r="BC97" i="16"/>
  <c r="AQ101" i="16"/>
  <c r="AU101" i="16"/>
  <c r="AY101" i="16"/>
  <c r="BC101" i="16"/>
  <c r="AS102" i="16"/>
  <c r="AW102" i="16"/>
  <c r="BC102" i="16"/>
  <c r="AS103" i="16"/>
  <c r="AW103" i="16"/>
  <c r="BC103" i="16"/>
  <c r="AS104" i="16"/>
  <c r="AW104" i="16"/>
  <c r="BC104" i="16"/>
  <c r="AS105" i="16"/>
  <c r="AW105" i="16"/>
  <c r="BC105" i="16"/>
  <c r="AQ112" i="16"/>
  <c r="AU112" i="16"/>
  <c r="AY112" i="16"/>
  <c r="BC112" i="16"/>
  <c r="AR113" i="16"/>
  <c r="AV113" i="16"/>
  <c r="AZ113" i="16"/>
  <c r="BD113" i="16"/>
  <c r="AT114" i="16"/>
  <c r="AX114" i="16"/>
  <c r="BD114" i="16"/>
  <c r="AT115" i="16"/>
  <c r="AX115" i="16"/>
  <c r="BD115" i="16"/>
  <c r="AT116" i="16"/>
  <c r="AX116" i="16"/>
  <c r="BD116" i="16"/>
  <c r="AR117" i="16"/>
  <c r="AV117" i="16"/>
  <c r="AZ117" i="16"/>
  <c r="BD117" i="16"/>
  <c r="AT118" i="16"/>
  <c r="AX118" i="16"/>
  <c r="BD118" i="16"/>
  <c r="AT119" i="16"/>
  <c r="AX119" i="16"/>
  <c r="BD119" i="16"/>
  <c r="AT120" i="16"/>
  <c r="AX120" i="16"/>
  <c r="BD120" i="16"/>
  <c r="AT121" i="16"/>
  <c r="AX121" i="16"/>
  <c r="BD121" i="16"/>
  <c r="AT122" i="16"/>
  <c r="AX122" i="16"/>
  <c r="BD122" i="16"/>
  <c r="AT123" i="16"/>
  <c r="AX123" i="16"/>
  <c r="BD123" i="16"/>
  <c r="AT124" i="16"/>
  <c r="AX124" i="16"/>
  <c r="BD124" i="16"/>
  <c r="AT125" i="16"/>
  <c r="AX125" i="16"/>
  <c r="BD125" i="16"/>
  <c r="AT126" i="16"/>
  <c r="AX126" i="16"/>
  <c r="BD126" i="16"/>
  <c r="AT95" i="16"/>
  <c r="AX95" i="16"/>
  <c r="BD95" i="16"/>
  <c r="AT98" i="16"/>
  <c r="AX98" i="16"/>
  <c r="BD98" i="16"/>
  <c r="AT99" i="16"/>
  <c r="AX99" i="16"/>
  <c r="BD99" i="16"/>
  <c r="AT100" i="16"/>
  <c r="AX100" i="16"/>
  <c r="BD100" i="16"/>
  <c r="AT96" i="16"/>
  <c r="AX96" i="16"/>
  <c r="BD96" i="16"/>
  <c r="AT97" i="16"/>
  <c r="AX97" i="16"/>
  <c r="BD97" i="16"/>
  <c r="AR101" i="16"/>
  <c r="AV101" i="16"/>
  <c r="AZ101" i="16"/>
  <c r="BD101" i="16"/>
  <c r="AT102" i="16"/>
  <c r="AX102" i="16"/>
  <c r="BD102" i="16"/>
  <c r="AT103" i="16"/>
  <c r="AX103" i="16"/>
  <c r="BD103" i="16"/>
  <c r="AT104" i="16"/>
  <c r="AX104" i="16"/>
  <c r="BD104" i="16"/>
  <c r="AT105" i="16"/>
  <c r="AX105" i="16"/>
  <c r="BD105" i="16"/>
  <c r="AR112" i="16"/>
  <c r="AV112" i="16"/>
  <c r="AZ112" i="16"/>
  <c r="BD112" i="16"/>
  <c r="AS113" i="16"/>
  <c r="AW113" i="16"/>
  <c r="AQ114" i="16"/>
  <c r="AU114" i="16"/>
  <c r="AY114" i="16"/>
  <c r="AQ115" i="16"/>
  <c r="AU115" i="16"/>
  <c r="AY115" i="16"/>
  <c r="AQ116" i="16"/>
  <c r="AU116" i="16"/>
  <c r="AY116" i="16"/>
  <c r="AO117" i="16"/>
  <c r="AS117" i="16"/>
  <c r="AW117" i="16"/>
  <c r="BA117" i="16"/>
  <c r="AQ118" i="16"/>
  <c r="AU118" i="16"/>
  <c r="AY118" i="16"/>
  <c r="AQ119" i="16"/>
  <c r="AU119" i="16"/>
  <c r="AY119" i="16"/>
  <c r="AQ120" i="16"/>
  <c r="AU120" i="16"/>
  <c r="AY120" i="16"/>
  <c r="AQ121" i="16"/>
  <c r="AU121" i="16"/>
  <c r="AY121" i="16"/>
  <c r="AQ122" i="16"/>
  <c r="AU122" i="16"/>
  <c r="AY122" i="16"/>
  <c r="AQ123" i="16"/>
  <c r="AU123" i="16"/>
  <c r="AY123" i="16"/>
  <c r="AQ124" i="16"/>
  <c r="AU124" i="16"/>
  <c r="AY124" i="16"/>
  <c r="AQ125" i="16"/>
  <c r="AU125" i="16"/>
  <c r="AY125" i="16"/>
  <c r="AQ126" i="16"/>
  <c r="AU126" i="16"/>
  <c r="AY126" i="16"/>
  <c r="AQ95" i="16"/>
  <c r="AU95" i="16"/>
  <c r="AY95" i="16"/>
  <c r="AQ98" i="16"/>
  <c r="AU98" i="16"/>
  <c r="AY98" i="16"/>
  <c r="AQ99" i="16"/>
  <c r="AU99" i="16"/>
  <c r="AY99" i="16"/>
  <c r="AQ100" i="16"/>
  <c r="AU100" i="16"/>
  <c r="AY100" i="16"/>
  <c r="AQ96" i="16"/>
  <c r="AU96" i="16"/>
  <c r="AY96" i="16"/>
  <c r="AQ97" i="16"/>
  <c r="AU97" i="16"/>
  <c r="AY97" i="16"/>
  <c r="AO101" i="16"/>
  <c r="AS101" i="16"/>
  <c r="AW101" i="16"/>
  <c r="BA101" i="16"/>
  <c r="AQ102" i="16"/>
  <c r="AU102" i="16"/>
  <c r="AY102" i="16"/>
  <c r="AQ103" i="16"/>
  <c r="AU103" i="16"/>
  <c r="AY103" i="16"/>
  <c r="AQ104" i="16"/>
  <c r="AU104" i="16"/>
  <c r="AY104" i="16"/>
  <c r="AQ105" i="16"/>
  <c r="AU105" i="16"/>
  <c r="AY105" i="16"/>
  <c r="AO112" i="16"/>
  <c r="AS112" i="16"/>
  <c r="AW112" i="16"/>
  <c r="BA112" i="16"/>
  <c r="AT113" i="16"/>
  <c r="AX113" i="16"/>
  <c r="AR114" i="16"/>
  <c r="AV114" i="16"/>
  <c r="AZ114" i="16"/>
  <c r="AR115" i="16"/>
  <c r="AV115" i="16"/>
  <c r="AZ115" i="16"/>
  <c r="AR116" i="16"/>
  <c r="AV116" i="16"/>
  <c r="AZ116" i="16"/>
  <c r="AP117" i="16"/>
  <c r="AT117" i="16"/>
  <c r="AX117" i="16"/>
  <c r="BB117" i="16"/>
  <c r="AR118" i="16"/>
  <c r="AV118" i="16"/>
  <c r="AZ118" i="16"/>
  <c r="AR119" i="16"/>
  <c r="AV119" i="16"/>
  <c r="AZ119" i="16"/>
  <c r="AR120" i="16"/>
  <c r="AV120" i="16"/>
  <c r="AZ120" i="16"/>
  <c r="AR121" i="16"/>
  <c r="AV121" i="16"/>
  <c r="AZ121" i="16"/>
  <c r="AR122" i="16"/>
  <c r="AV122" i="16"/>
  <c r="AZ122" i="16"/>
  <c r="AR123" i="16"/>
  <c r="AV123" i="16"/>
  <c r="AZ123" i="16"/>
  <c r="AR124" i="16"/>
  <c r="AV124" i="16"/>
  <c r="AZ124" i="16"/>
  <c r="AR125" i="16"/>
  <c r="AV125" i="16"/>
  <c r="AZ125" i="16"/>
  <c r="AR126" i="16"/>
  <c r="AV126" i="16"/>
  <c r="AZ126" i="16"/>
  <c r="BR105" i="20"/>
  <c r="BR79" i="20"/>
  <c r="BM65" i="20"/>
  <c r="AX65" i="20"/>
  <c r="E26" i="20"/>
  <c r="N28" i="20"/>
  <c r="G99" i="19" s="1"/>
  <c r="K34" i="20"/>
  <c r="H148" i="19" s="1"/>
  <c r="AQ49" i="16"/>
  <c r="BC49" i="16"/>
  <c r="N36" i="20"/>
  <c r="G101" i="19" s="1"/>
  <c r="BD51" i="16"/>
  <c r="K39" i="20"/>
  <c r="BB54" i="16"/>
  <c r="K41" i="20"/>
  <c r="BB58" i="16"/>
  <c r="K43" i="20"/>
  <c r="BB57" i="16"/>
  <c r="K45" i="20"/>
  <c r="BB60" i="16"/>
  <c r="K47" i="20"/>
  <c r="BB62" i="16"/>
  <c r="K49" i="20"/>
  <c r="BB64" i="16"/>
  <c r="AQ72" i="16"/>
  <c r="BC72" i="16"/>
  <c r="E66" i="20"/>
  <c r="AO81" i="16"/>
  <c r="BH81" i="16" s="1"/>
  <c r="J67" i="20"/>
  <c r="BA82" i="16"/>
  <c r="E68" i="20"/>
  <c r="AO83" i="16"/>
  <c r="BH83" i="16" s="1"/>
  <c r="J70" i="20"/>
  <c r="BA85" i="16"/>
  <c r="E73" i="20"/>
  <c r="AO94" i="16"/>
  <c r="BH94" i="16" s="1"/>
  <c r="K73" i="20"/>
  <c r="BB94" i="16"/>
  <c r="Y77" i="20"/>
  <c r="Y94" i="20"/>
  <c r="AD105" i="20"/>
  <c r="AE95" i="20"/>
  <c r="Y74" i="20"/>
  <c r="AD76" i="20"/>
  <c r="AE104" i="20"/>
  <c r="Y103" i="20"/>
  <c r="AE98" i="20"/>
  <c r="AD94" i="20"/>
  <c r="AD102" i="20"/>
  <c r="AD77" i="20"/>
  <c r="BR38" i="20"/>
  <c r="AE62" i="20"/>
  <c r="AX77" i="20"/>
  <c r="Y65" i="20"/>
  <c r="AO80" i="2"/>
  <c r="BH80" i="2" s="1"/>
  <c r="BK78" i="9"/>
  <c r="AS101" i="20"/>
  <c r="BM99" i="20"/>
  <c r="AS97" i="20"/>
  <c r="AY94" i="20"/>
  <c r="BM94" i="20"/>
  <c r="O16" i="20"/>
  <c r="E19" i="20"/>
  <c r="AO28" i="16"/>
  <c r="BH28" i="16" s="1"/>
  <c r="E20" i="20"/>
  <c r="AO29" i="16"/>
  <c r="BH29" i="16" s="1"/>
  <c r="E22" i="20"/>
  <c r="G67" i="19" s="1"/>
  <c r="E24" i="20"/>
  <c r="AO35" i="16"/>
  <c r="BH35" i="16" s="1"/>
  <c r="E27" i="20"/>
  <c r="E31" i="20"/>
  <c r="G114" i="19" s="1"/>
  <c r="AO42" i="16"/>
  <c r="BH42" i="16" s="1"/>
  <c r="E32" i="20"/>
  <c r="G115" i="19" s="1"/>
  <c r="AO44" i="16"/>
  <c r="BH44" i="16" s="1"/>
  <c r="E34" i="20"/>
  <c r="H147" i="19" s="1"/>
  <c r="BD49" i="16"/>
  <c r="E39" i="20"/>
  <c r="AO54" i="16"/>
  <c r="BH54" i="16" s="1"/>
  <c r="J40" i="20"/>
  <c r="BA55" i="16"/>
  <c r="E41" i="20"/>
  <c r="AO58" i="16"/>
  <c r="BH58" i="16" s="1"/>
  <c r="J42" i="20"/>
  <c r="BA56" i="16"/>
  <c r="E43" i="20"/>
  <c r="AO57" i="16"/>
  <c r="BH57" i="16" s="1"/>
  <c r="J44" i="20"/>
  <c r="BA59" i="16"/>
  <c r="E45" i="20"/>
  <c r="AO60" i="16"/>
  <c r="BH60" i="16" s="1"/>
  <c r="J46" i="20"/>
  <c r="BA61" i="16"/>
  <c r="E47" i="20"/>
  <c r="AO62" i="16"/>
  <c r="BH62" i="16" s="1"/>
  <c r="J48" i="20"/>
  <c r="BA63" i="16"/>
  <c r="E49" i="20"/>
  <c r="AO64" i="16"/>
  <c r="BH64" i="16" s="1"/>
  <c r="J57" i="20"/>
  <c r="H139" i="19" s="1"/>
  <c r="E58" i="20"/>
  <c r="G152" i="19" s="1"/>
  <c r="BD72" i="16"/>
  <c r="BC75" i="16"/>
  <c r="K62" i="20"/>
  <c r="BB77" i="16"/>
  <c r="K63" i="20"/>
  <c r="BB78" i="16"/>
  <c r="K65" i="20"/>
  <c r="BB80" i="16"/>
  <c r="K67" i="20"/>
  <c r="BB82" i="16"/>
  <c r="K70" i="20"/>
  <c r="BB85" i="16"/>
  <c r="Y79" i="20"/>
  <c r="AE74" i="20"/>
  <c r="AE105" i="20"/>
  <c r="AD101" i="20"/>
  <c r="AD95" i="20"/>
  <c r="AE93" i="20"/>
  <c r="Y102" i="20"/>
  <c r="Y62" i="20"/>
  <c r="AD38" i="20"/>
  <c r="AE63" i="20"/>
  <c r="AX62" i="20"/>
  <c r="AY75" i="20"/>
  <c r="AS77" i="20"/>
  <c r="BR65" i="20"/>
  <c r="BA80" i="9"/>
  <c r="AX63" i="20"/>
  <c r="BS38" i="20"/>
  <c r="E13" i="20"/>
  <c r="G48" i="19" s="1"/>
  <c r="E16" i="20"/>
  <c r="E23" i="20"/>
  <c r="E28" i="20"/>
  <c r="AO49" i="16"/>
  <c r="BH49" i="16" s="1"/>
  <c r="AS49" i="16"/>
  <c r="E36" i="20"/>
  <c r="K38" i="20"/>
  <c r="BB53" i="16"/>
  <c r="K40" i="20"/>
  <c r="BB55" i="16"/>
  <c r="K42" i="20"/>
  <c r="BB56" i="16"/>
  <c r="K44" i="20"/>
  <c r="BB59" i="16"/>
  <c r="K46" i="20"/>
  <c r="BB61" i="16"/>
  <c r="K48" i="20"/>
  <c r="BB63" i="16"/>
  <c r="K57" i="20"/>
  <c r="H153" i="19" s="1"/>
  <c r="AO72" i="16"/>
  <c r="BH72" i="16" s="1"/>
  <c r="AS72" i="16"/>
  <c r="E59" i="20"/>
  <c r="K60" i="20"/>
  <c r="BD75" i="16"/>
  <c r="J66" i="20"/>
  <c r="BA81" i="16"/>
  <c r="E67" i="20"/>
  <c r="AO82" i="16"/>
  <c r="BH82" i="16" s="1"/>
  <c r="J68" i="20"/>
  <c r="BA83" i="16"/>
  <c r="E70" i="20"/>
  <c r="AO85" i="16"/>
  <c r="BH85" i="16" s="1"/>
  <c r="J92" i="20"/>
  <c r="BA113" i="16"/>
  <c r="AD81" i="20"/>
  <c r="AD75" i="20"/>
  <c r="AD104" i="20"/>
  <c r="AE101" i="20"/>
  <c r="Y98" i="20"/>
  <c r="AD79" i="20"/>
  <c r="Y104" i="20"/>
  <c r="Y101" i="20"/>
  <c r="Y95" i="20"/>
  <c r="AD93" i="20"/>
  <c r="AE100" i="20"/>
  <c r="BR74" i="20"/>
  <c r="BS62" i="20"/>
  <c r="BS65" i="20"/>
  <c r="BB80" i="9"/>
  <c r="Y63" i="20"/>
  <c r="BR62" i="20"/>
  <c r="BK80" i="8"/>
  <c r="AD63" i="20"/>
  <c r="AY38" i="20"/>
  <c r="AS102" i="20"/>
  <c r="AS98" i="20"/>
  <c r="AY95" i="20"/>
  <c r="AS95" i="20"/>
  <c r="AY93" i="20"/>
  <c r="AS93" i="20"/>
  <c r="BR76" i="20"/>
  <c r="E15" i="20"/>
  <c r="K27" i="20"/>
  <c r="G78" i="19" s="1"/>
  <c r="M28" i="20"/>
  <c r="G98" i="19" s="1"/>
  <c r="J34" i="20"/>
  <c r="G139" i="19" s="1"/>
  <c r="E35" i="20"/>
  <c r="G147" i="19" s="1"/>
  <c r="L35" i="20"/>
  <c r="G138" i="19" s="1"/>
  <c r="K35" i="20"/>
  <c r="G148" i="19" s="1"/>
  <c r="M36" i="20"/>
  <c r="G100" i="19" s="1"/>
  <c r="E37" i="20"/>
  <c r="BC51" i="16"/>
  <c r="J39" i="20"/>
  <c r="BA54" i="16"/>
  <c r="E40" i="20"/>
  <c r="AO55" i="16"/>
  <c r="BH55" i="16" s="1"/>
  <c r="J41" i="20"/>
  <c r="BA58" i="16"/>
  <c r="E42" i="20"/>
  <c r="AO56" i="16"/>
  <c r="BH56" i="16" s="1"/>
  <c r="J43" i="20"/>
  <c r="BA57" i="16"/>
  <c r="E44" i="20"/>
  <c r="AO59" i="16"/>
  <c r="BH59" i="16" s="1"/>
  <c r="J45" i="20"/>
  <c r="BA60" i="16"/>
  <c r="E46" i="20"/>
  <c r="AO61" i="16"/>
  <c r="BH61" i="16" s="1"/>
  <c r="J47" i="20"/>
  <c r="BA62" i="16"/>
  <c r="E48" i="20"/>
  <c r="AO63" i="16"/>
  <c r="BH63" i="16" s="1"/>
  <c r="J49" i="20"/>
  <c r="BA64" i="16"/>
  <c r="E57" i="20"/>
  <c r="H152" i="19" s="1"/>
  <c r="E60" i="20"/>
  <c r="E61" i="20"/>
  <c r="AO75" i="16"/>
  <c r="BH75" i="16" s="1"/>
  <c r="E62" i="20"/>
  <c r="AO77" i="16"/>
  <c r="BH77" i="16" s="1"/>
  <c r="K66" i="20"/>
  <c r="BB81" i="16"/>
  <c r="K68" i="20"/>
  <c r="BB83" i="16"/>
  <c r="J73" i="20"/>
  <c r="BA94" i="16"/>
  <c r="E92" i="20"/>
  <c r="AO113" i="16"/>
  <c r="BH113" i="16" s="1"/>
  <c r="K92" i="20"/>
  <c r="BB113" i="16"/>
  <c r="AE81" i="20"/>
  <c r="AE77" i="20"/>
  <c r="AE99" i="20"/>
  <c r="AD99" i="20"/>
  <c r="Y81" i="20"/>
  <c r="Y105" i="20"/>
  <c r="AE103" i="20"/>
  <c r="Y99" i="20"/>
  <c r="AE94" i="20"/>
  <c r="Y93" i="20"/>
  <c r="AD98" i="20"/>
  <c r="AD74" i="20"/>
  <c r="AX38" i="20"/>
  <c r="AY62" i="20"/>
  <c r="AE65" i="20"/>
  <c r="BB80" i="2"/>
  <c r="AY63" i="20"/>
  <c r="AS63" i="20"/>
  <c r="AD62" i="20"/>
  <c r="AE38" i="20"/>
  <c r="BM63" i="20"/>
  <c r="AY65" i="20"/>
  <c r="AS65" i="20"/>
  <c r="U10" i="17"/>
  <c r="AB69" i="3"/>
  <c r="AB68" i="3" s="1"/>
  <c r="AB131" i="3" s="1"/>
  <c r="AB93" i="3"/>
  <c r="AA101" i="3"/>
  <c r="BE107" i="16"/>
  <c r="BE106" i="16"/>
  <c r="BE108" i="16"/>
  <c r="BE110" i="16"/>
  <c r="BE111" i="16"/>
  <c r="BE109" i="16"/>
  <c r="AB27" i="3"/>
  <c r="AB46" i="3"/>
  <c r="AE84" i="20"/>
  <c r="AE83" i="20"/>
  <c r="BR89" i="20"/>
  <c r="BR88" i="20"/>
  <c r="BR84" i="20"/>
  <c r="BM89" i="20"/>
  <c r="BM88" i="20"/>
  <c r="BM84" i="20"/>
  <c r="AS88" i="20"/>
  <c r="AS89" i="20"/>
  <c r="AS84" i="20"/>
  <c r="Y84" i="20"/>
  <c r="AE82" i="20"/>
  <c r="AE88" i="20"/>
  <c r="AD88" i="20"/>
  <c r="AD84" i="20"/>
  <c r="AD83" i="20"/>
  <c r="AD82" i="20"/>
  <c r="Y82" i="20"/>
  <c r="Y88" i="20"/>
  <c r="BS89" i="20"/>
  <c r="BS88" i="20"/>
  <c r="BS84" i="20"/>
  <c r="Y83" i="20"/>
  <c r="AS82" i="20"/>
  <c r="AE76" i="20"/>
  <c r="AE78" i="20"/>
  <c r="AD89" i="20"/>
  <c r="BR102" i="20"/>
  <c r="BR101" i="20"/>
  <c r="BR99" i="20"/>
  <c r="BR98" i="20"/>
  <c r="BR93" i="20"/>
  <c r="Y97" i="20"/>
  <c r="AS83" i="20"/>
  <c r="AS81" i="20"/>
  <c r="AE75" i="20"/>
  <c r="AE79" i="20"/>
  <c r="AE89" i="20"/>
  <c r="Y76" i="20"/>
  <c r="Y75" i="20"/>
  <c r="Y89" i="20"/>
  <c r="BB98" i="16"/>
  <c r="BA98" i="16"/>
  <c r="AO120" i="16"/>
  <c r="BH120" i="16" s="1"/>
  <c r="AO116" i="16"/>
  <c r="BH116" i="16" s="1"/>
  <c r="AO98" i="16"/>
  <c r="BH98" i="16" s="1"/>
  <c r="AO119" i="16"/>
  <c r="BH119" i="16" s="1"/>
  <c r="BA96" i="16"/>
  <c r="AB20" i="3"/>
  <c r="AB41" i="3"/>
  <c r="BA95" i="16"/>
  <c r="AO124" i="16"/>
  <c r="BH124" i="16" s="1"/>
  <c r="BA116" i="16"/>
  <c r="BA115" i="16"/>
  <c r="AO123" i="16"/>
  <c r="BH123" i="16" s="1"/>
  <c r="BE23" i="16"/>
  <c r="AO125" i="16"/>
  <c r="BH125" i="16" s="1"/>
  <c r="AO122" i="16"/>
  <c r="BH122" i="16" s="1"/>
  <c r="BB114" i="16"/>
  <c r="AO95" i="16"/>
  <c r="BH95" i="16" s="1"/>
  <c r="AO115" i="16"/>
  <c r="BH115" i="16" s="1"/>
  <c r="AO126" i="16"/>
  <c r="BH126" i="16" s="1"/>
  <c r="AO114" i="16"/>
  <c r="BH114" i="16" s="1"/>
  <c r="AB30" i="3"/>
  <c r="S124" i="2"/>
  <c r="T123" i="2"/>
  <c r="AA36" i="3"/>
  <c r="AA117" i="3"/>
  <c r="AA41" i="3"/>
  <c r="AA93" i="3"/>
  <c r="AA20" i="3"/>
  <c r="AD132" i="16"/>
  <c r="AH132" i="16"/>
  <c r="AL132" i="16"/>
  <c r="AD128" i="16"/>
  <c r="BE32" i="16"/>
  <c r="BE34" i="16"/>
  <c r="Z128" i="16"/>
  <c r="AH128" i="16"/>
  <c r="AB128" i="16"/>
  <c r="AF128" i="16"/>
  <c r="AJ128" i="16"/>
  <c r="BE17" i="16"/>
  <c r="Y131" i="16"/>
  <c r="AC131" i="16"/>
  <c r="AA129" i="16"/>
  <c r="AE129" i="16"/>
  <c r="AM129" i="16"/>
  <c r="BE29" i="16"/>
  <c r="BE30" i="16"/>
  <c r="AF130" i="16"/>
  <c r="AD131" i="16"/>
  <c r="AL131" i="16"/>
  <c r="BE19" i="16"/>
  <c r="BE20" i="16"/>
  <c r="BE25" i="16"/>
  <c r="BE27" i="16"/>
  <c r="Y130" i="16"/>
  <c r="AC130" i="16"/>
  <c r="AF131" i="16"/>
  <c r="U188" i="17"/>
  <c r="U352" i="17"/>
  <c r="G121" i="2"/>
  <c r="G121" i="16" s="1"/>
  <c r="T118" i="2"/>
  <c r="T118" i="16" s="1"/>
  <c r="S121" i="2"/>
  <c r="S118" i="2"/>
  <c r="U214" i="17"/>
  <c r="G99" i="2"/>
  <c r="G99" i="16" s="1"/>
  <c r="U215" i="17"/>
  <c r="S99" i="2"/>
  <c r="S99" i="16" s="1"/>
  <c r="S11" i="16"/>
  <c r="AC11" i="16"/>
  <c r="AO11" i="16"/>
  <c r="BA11" i="16"/>
  <c r="BE41" i="16"/>
  <c r="BE44" i="16"/>
  <c r="BE52" i="16"/>
  <c r="H11" i="16"/>
  <c r="U11" i="16"/>
  <c r="AG11" i="16"/>
  <c r="AP11" i="16"/>
  <c r="BC11" i="16"/>
  <c r="AA128" i="16"/>
  <c r="AE128" i="16"/>
  <c r="AI128" i="16"/>
  <c r="AM128" i="16"/>
  <c r="AB129" i="16"/>
  <c r="AF129" i="16"/>
  <c r="AJ129" i="16"/>
  <c r="BE26" i="16"/>
  <c r="BE35" i="16"/>
  <c r="BE45" i="16"/>
  <c r="BE46" i="16"/>
  <c r="BE49" i="16"/>
  <c r="BE53" i="16"/>
  <c r="BE55" i="16"/>
  <c r="L11" i="16"/>
  <c r="X11" i="16"/>
  <c r="AJ11" i="16"/>
  <c r="AT11" i="16"/>
  <c r="BE16" i="16"/>
  <c r="Y129" i="16"/>
  <c r="AC129" i="16"/>
  <c r="AG129" i="16"/>
  <c r="BE42" i="16"/>
  <c r="BE61" i="16"/>
  <c r="BE122" i="16"/>
  <c r="BE77" i="16"/>
  <c r="P11" i="16"/>
  <c r="Y11" i="16"/>
  <c r="AL11" i="16"/>
  <c r="AC128" i="16"/>
  <c r="AG128" i="16"/>
  <c r="AK128" i="16"/>
  <c r="Z129" i="16"/>
  <c r="AD129" i="16"/>
  <c r="AL129" i="16"/>
  <c r="BE28" i="16"/>
  <c r="BE36" i="16"/>
  <c r="BE43" i="16"/>
  <c r="BE58" i="16"/>
  <c r="BE56" i="16"/>
  <c r="AA130" i="16"/>
  <c r="AE130" i="16"/>
  <c r="AM130" i="16"/>
  <c r="BE57" i="16"/>
  <c r="BE60" i="16"/>
  <c r="BE63" i="16"/>
  <c r="BE64" i="16"/>
  <c r="BE65" i="16"/>
  <c r="BE66" i="16"/>
  <c r="BE67" i="16"/>
  <c r="BE69" i="16"/>
  <c r="BE82" i="16"/>
  <c r="BE40" i="16"/>
  <c r="BE54" i="16"/>
  <c r="BE59" i="16"/>
  <c r="BE62" i="16"/>
  <c r="BE72" i="16"/>
  <c r="BE75" i="16"/>
  <c r="BE76" i="16"/>
  <c r="BE80" i="16"/>
  <c r="BE89" i="16"/>
  <c r="AD130" i="16"/>
  <c r="AL130" i="16"/>
  <c r="BE81" i="16"/>
  <c r="BE68" i="16"/>
  <c r="BE87" i="16"/>
  <c r="BE96" i="16"/>
  <c r="BE101" i="16"/>
  <c r="BE78" i="16"/>
  <c r="BE91" i="16"/>
  <c r="Z132" i="16"/>
  <c r="BE95" i="16"/>
  <c r="BE98" i="16"/>
  <c r="BE83" i="16"/>
  <c r="BE85" i="16"/>
  <c r="BE86" i="16"/>
  <c r="BE88" i="16"/>
  <c r="AA131" i="16"/>
  <c r="AE131" i="16"/>
  <c r="AM131" i="16"/>
  <c r="BE90" i="16"/>
  <c r="BE93" i="16"/>
  <c r="BE94" i="16"/>
  <c r="BE100" i="16"/>
  <c r="BE97" i="16"/>
  <c r="BE104" i="16"/>
  <c r="X132" i="16"/>
  <c r="AB132" i="16"/>
  <c r="AF132" i="16"/>
  <c r="AJ132" i="16"/>
  <c r="BE92" i="16"/>
  <c r="BE99" i="16"/>
  <c r="Y132" i="16"/>
  <c r="AC132" i="16"/>
  <c r="AG132" i="16"/>
  <c r="AK132" i="16"/>
  <c r="BE102" i="16"/>
  <c r="BE105" i="16"/>
  <c r="BE112" i="16"/>
  <c r="BE113" i="16"/>
  <c r="BE114" i="16"/>
  <c r="BE115" i="16"/>
  <c r="AA132" i="16"/>
  <c r="AE132" i="16"/>
  <c r="AI132" i="16"/>
  <c r="AM132" i="16"/>
  <c r="BE103" i="16"/>
  <c r="BE118" i="16"/>
  <c r="BE120" i="16"/>
  <c r="BE117" i="16"/>
  <c r="BE119" i="16"/>
  <c r="BE123" i="16"/>
  <c r="BE116" i="16"/>
  <c r="BE121" i="16"/>
  <c r="BE124" i="16"/>
  <c r="BE125" i="16"/>
  <c r="BE126" i="16"/>
  <c r="AA27" i="3"/>
  <c r="AB36" i="3"/>
  <c r="AA30" i="3"/>
  <c r="AA112" i="3"/>
  <c r="X19" i="3"/>
  <c r="BK80" i="2" l="1"/>
  <c r="BL74" i="16"/>
  <c r="BK110" i="2"/>
  <c r="BK109" i="2"/>
  <c r="S118" i="16"/>
  <c r="BL57" i="16"/>
  <c r="BL63" i="16"/>
  <c r="BL55" i="16"/>
  <c r="BK103" i="2"/>
  <c r="BK104" i="2"/>
  <c r="BK105" i="2"/>
  <c r="S121" i="16"/>
  <c r="BA121" i="16" s="1"/>
  <c r="S124" i="16"/>
  <c r="BA124" i="16" s="1"/>
  <c r="T123" i="16"/>
  <c r="BB123" i="16" s="1"/>
  <c r="T100" i="16"/>
  <c r="BL31" i="16"/>
  <c r="U353" i="17"/>
  <c r="BJ39" i="16"/>
  <c r="BJ52" i="16"/>
  <c r="BK89" i="16"/>
  <c r="BL54" i="16"/>
  <c r="BJ62" i="16"/>
  <c r="BK35" i="16"/>
  <c r="BK19" i="16"/>
  <c r="BJ95" i="16"/>
  <c r="BJ125" i="16"/>
  <c r="BJ76" i="16"/>
  <c r="BI91" i="16"/>
  <c r="BI87" i="16"/>
  <c r="BL52" i="16"/>
  <c r="BL67" i="16"/>
  <c r="BL66" i="16"/>
  <c r="B87" i="16"/>
  <c r="B89" i="16" s="1"/>
  <c r="B91" i="16" s="1"/>
  <c r="B88" i="16"/>
  <c r="B90" i="16" s="1"/>
  <c r="U374" i="17"/>
  <c r="U332" i="17"/>
  <c r="AB92" i="3"/>
  <c r="AB132" i="3" s="1"/>
  <c r="BL65" i="16"/>
  <c r="U368" i="17"/>
  <c r="BJ96" i="16"/>
  <c r="BL98" i="16"/>
  <c r="BJ91" i="16"/>
  <c r="BJ89" i="16"/>
  <c r="BJ88" i="16"/>
  <c r="BI52" i="16"/>
  <c r="BJ49" i="16"/>
  <c r="BK37" i="16"/>
  <c r="BL38" i="16"/>
  <c r="BJ105" i="16"/>
  <c r="BJ97" i="16"/>
  <c r="BL123" i="16"/>
  <c r="BI89" i="16"/>
  <c r="BI88" i="16"/>
  <c r="BJ78" i="16"/>
  <c r="BJ94" i="16"/>
  <c r="BL47" i="16"/>
  <c r="BI67" i="16"/>
  <c r="BK29" i="16"/>
  <c r="BK28" i="16"/>
  <c r="BJ33" i="16"/>
  <c r="BL18" i="16"/>
  <c r="BK18" i="16"/>
  <c r="S120" i="8"/>
  <c r="S120" i="16" s="1"/>
  <c r="U346" i="17"/>
  <c r="S122" i="8"/>
  <c r="S122" i="16" s="1"/>
  <c r="U360" i="17"/>
  <c r="S105" i="8"/>
  <c r="S105" i="16" s="1"/>
  <c r="U254" i="17"/>
  <c r="S102" i="8"/>
  <c r="S102" i="16" s="1"/>
  <c r="U233" i="17"/>
  <c r="S103" i="8"/>
  <c r="S103" i="16" s="1"/>
  <c r="U240" i="17"/>
  <c r="T102" i="8"/>
  <c r="T102" i="16" s="1"/>
  <c r="U234" i="17"/>
  <c r="S126" i="8"/>
  <c r="S126" i="16" s="1"/>
  <c r="U388" i="17"/>
  <c r="U333" i="17"/>
  <c r="J148" i="19"/>
  <c r="J147" i="19"/>
  <c r="BL80" i="16"/>
  <c r="BJ73" i="16"/>
  <c r="BL77" i="16"/>
  <c r="BJ75" i="16"/>
  <c r="BL59" i="16"/>
  <c r="BJ55" i="16"/>
  <c r="BJ47" i="16"/>
  <c r="BL60" i="16"/>
  <c r="BL43" i="16"/>
  <c r="BL39" i="16"/>
  <c r="BL34" i="16"/>
  <c r="BJ29" i="16"/>
  <c r="BJ28" i="16"/>
  <c r="S119" i="8"/>
  <c r="S119" i="16" s="1"/>
  <c r="U339" i="17"/>
  <c r="S109" i="8"/>
  <c r="S109" i="16" s="1"/>
  <c r="U282" i="17"/>
  <c r="S110" i="8"/>
  <c r="S110" i="16" s="1"/>
  <c r="U289" i="17"/>
  <c r="T103" i="8"/>
  <c r="T103" i="16" s="1"/>
  <c r="U241" i="17"/>
  <c r="J152" i="19"/>
  <c r="BL44" i="16"/>
  <c r="BL23" i="16"/>
  <c r="BL22" i="16"/>
  <c r="S100" i="8"/>
  <c r="S100" i="16" s="1"/>
  <c r="U222" i="17"/>
  <c r="T125" i="8"/>
  <c r="T125" i="16" s="1"/>
  <c r="U382" i="17"/>
  <c r="T97" i="8"/>
  <c r="T97" i="16" s="1"/>
  <c r="U202" i="17"/>
  <c r="S97" i="8"/>
  <c r="S97" i="16" s="1"/>
  <c r="U201" i="17"/>
  <c r="T124" i="8"/>
  <c r="T124" i="16" s="1"/>
  <c r="U375" i="17"/>
  <c r="T120" i="8"/>
  <c r="T120" i="16" s="1"/>
  <c r="U347" i="17"/>
  <c r="T122" i="8"/>
  <c r="T122" i="16" s="1"/>
  <c r="U361" i="17"/>
  <c r="S123" i="8"/>
  <c r="S123" i="16" s="1"/>
  <c r="U367" i="17"/>
  <c r="T110" i="8"/>
  <c r="T110" i="16" s="1"/>
  <c r="U290" i="17"/>
  <c r="G144" i="19"/>
  <c r="G140" i="19"/>
  <c r="H144" i="19"/>
  <c r="J144" i="19" s="1"/>
  <c r="BL45" i="16"/>
  <c r="T104" i="8"/>
  <c r="T104" i="16" s="1"/>
  <c r="U248" i="17"/>
  <c r="T105" i="8"/>
  <c r="T105" i="16" s="1"/>
  <c r="U255" i="17"/>
  <c r="T109" i="8"/>
  <c r="T109" i="16" s="1"/>
  <c r="U283" i="17"/>
  <c r="S104" i="8"/>
  <c r="S104" i="16" s="1"/>
  <c r="U247" i="17"/>
  <c r="T121" i="8"/>
  <c r="T121" i="16" s="1"/>
  <c r="U354" i="17"/>
  <c r="T126" i="8"/>
  <c r="T126" i="16" s="1"/>
  <c r="U389" i="17"/>
  <c r="S125" i="8"/>
  <c r="S125" i="16" s="1"/>
  <c r="U381" i="17"/>
  <c r="T119" i="8"/>
  <c r="T119" i="16" s="1"/>
  <c r="U340" i="17"/>
  <c r="U315" i="17"/>
  <c r="U223" i="17"/>
  <c r="U195" i="17"/>
  <c r="H114" i="19"/>
  <c r="J114" i="19" s="1"/>
  <c r="H115" i="19"/>
  <c r="J115" i="19" s="1"/>
  <c r="BL42" i="16"/>
  <c r="BK44" i="16"/>
  <c r="BJ74" i="16"/>
  <c r="BJ113" i="16"/>
  <c r="BJ103" i="16"/>
  <c r="BJ100" i="16"/>
  <c r="BL104" i="16"/>
  <c r="BL96" i="16"/>
  <c r="BL95" i="16"/>
  <c r="BJ82" i="16"/>
  <c r="BJ77" i="16"/>
  <c r="BL94" i="16"/>
  <c r="BJ81" i="16"/>
  <c r="BJ80" i="16"/>
  <c r="BL73" i="16"/>
  <c r="BK91" i="16"/>
  <c r="BK87" i="16"/>
  <c r="BJ85" i="16"/>
  <c r="BJ83" i="16"/>
  <c r="BK75" i="16"/>
  <c r="BK66" i="16"/>
  <c r="BK65" i="16"/>
  <c r="BJ63" i="16"/>
  <c r="BL50" i="16"/>
  <c r="BK49" i="16"/>
  <c r="BL62" i="16"/>
  <c r="BL33" i="16"/>
  <c r="BL28" i="16"/>
  <c r="BJ18" i="16"/>
  <c r="BJ53" i="16"/>
  <c r="BK72" i="16"/>
  <c r="BL82" i="16"/>
  <c r="BI75" i="16"/>
  <c r="BJ90" i="16"/>
  <c r="BJ87" i="16"/>
  <c r="BJ86" i="16"/>
  <c r="BL76" i="16"/>
  <c r="BL70" i="16"/>
  <c r="BL56" i="16"/>
  <c r="BJ61" i="16"/>
  <c r="BI66" i="16"/>
  <c r="BI65" i="16"/>
  <c r="BK67" i="16"/>
  <c r="BJ48" i="16"/>
  <c r="BL35" i="16"/>
  <c r="BK34" i="16"/>
  <c r="BL32" i="16"/>
  <c r="BJ24" i="16"/>
  <c r="BJ22" i="16"/>
  <c r="BJ58" i="16"/>
  <c r="BL48" i="16"/>
  <c r="BK31" i="16"/>
  <c r="BJ104" i="16"/>
  <c r="BL105" i="16"/>
  <c r="BL122" i="16"/>
  <c r="BI90" i="16"/>
  <c r="BI86" i="16"/>
  <c r="BJ71" i="16"/>
  <c r="BL64" i="16"/>
  <c r="BK42" i="16"/>
  <c r="BF129" i="16"/>
  <c r="BL91" i="16"/>
  <c r="BK64" i="16"/>
  <c r="BK60" i="16"/>
  <c r="BI49" i="16"/>
  <c r="BJ98" i="16"/>
  <c r="BL102" i="16"/>
  <c r="BL99" i="16"/>
  <c r="BJ102" i="16"/>
  <c r="BJ99" i="16"/>
  <c r="BJ126" i="16"/>
  <c r="BJ122" i="16"/>
  <c r="BL87" i="16"/>
  <c r="BI76" i="16"/>
  <c r="BJ60" i="16"/>
  <c r="BJ56" i="16"/>
  <c r="BL58" i="16"/>
  <c r="BJ121" i="16"/>
  <c r="BJ116" i="16"/>
  <c r="BL78" i="16"/>
  <c r="BJ124" i="16"/>
  <c r="BJ120" i="16"/>
  <c r="BJ123" i="16"/>
  <c r="BL90" i="16"/>
  <c r="BL89" i="16"/>
  <c r="BL88" i="16"/>
  <c r="BL86" i="16"/>
  <c r="BL85" i="16"/>
  <c r="BK90" i="16"/>
  <c r="BK88" i="16"/>
  <c r="BK86" i="16"/>
  <c r="BK76" i="16"/>
  <c r="BJ70" i="16"/>
  <c r="BJ67" i="16"/>
  <c r="BJ66" i="16"/>
  <c r="BJ65" i="16"/>
  <c r="BJ64" i="16"/>
  <c r="BJ72" i="16"/>
  <c r="BL61" i="16"/>
  <c r="BJ59" i="16"/>
  <c r="BL53" i="16"/>
  <c r="BK52" i="16"/>
  <c r="BJ51" i="16"/>
  <c r="BJ50" i="16"/>
  <c r="BJ57" i="16"/>
  <c r="BJ54" i="16"/>
  <c r="BK51" i="16"/>
  <c r="BK45" i="16"/>
  <c r="BJ38" i="16"/>
  <c r="BJ37" i="16"/>
  <c r="BI35" i="16"/>
  <c r="BJ31" i="16"/>
  <c r="BK33" i="16"/>
  <c r="BK32" i="16"/>
  <c r="BJ42" i="16"/>
  <c r="BL37" i="16"/>
  <c r="BL29" i="16"/>
  <c r="BL25" i="16"/>
  <c r="BK24" i="16"/>
  <c r="BK25" i="16"/>
  <c r="BK23" i="16"/>
  <c r="BK22" i="16"/>
  <c r="BF16" i="16"/>
  <c r="BO16" i="16" s="1"/>
  <c r="BI72" i="16"/>
  <c r="BJ119" i="16"/>
  <c r="BK94" i="16"/>
  <c r="BK58" i="16"/>
  <c r="BL51" i="16"/>
  <c r="BL97" i="16"/>
  <c r="BK54" i="16"/>
  <c r="BK62" i="16"/>
  <c r="BK57" i="16"/>
  <c r="BL125" i="16"/>
  <c r="BL121" i="16"/>
  <c r="BL116" i="16"/>
  <c r="BJ115" i="16"/>
  <c r="BL71" i="16"/>
  <c r="BJ44" i="16"/>
  <c r="BL126" i="16"/>
  <c r="BL118" i="16"/>
  <c r="BL113" i="16"/>
  <c r="BL83" i="16"/>
  <c r="BK43" i="16"/>
  <c r="BF132" i="16"/>
  <c r="BO92" i="16"/>
  <c r="BL119" i="16"/>
  <c r="BJ118" i="16"/>
  <c r="BL114" i="16"/>
  <c r="BL81" i="16"/>
  <c r="BL19" i="16"/>
  <c r="BO40" i="16"/>
  <c r="BL103" i="16"/>
  <c r="BL100" i="16"/>
  <c r="BL124" i="16"/>
  <c r="BL120" i="16"/>
  <c r="BL115" i="16"/>
  <c r="BJ114" i="16"/>
  <c r="BO17" i="16"/>
  <c r="BO68" i="16"/>
  <c r="BK80" i="9"/>
  <c r="BK98" i="16"/>
  <c r="E79" i="20"/>
  <c r="AO100" i="16"/>
  <c r="BH100" i="16" s="1"/>
  <c r="E83" i="20"/>
  <c r="AO104" i="16"/>
  <c r="BH104" i="16" s="1"/>
  <c r="J93" i="20"/>
  <c r="BA114" i="16"/>
  <c r="BK114" i="16" s="1"/>
  <c r="AY102" i="20"/>
  <c r="BR78" i="20"/>
  <c r="BM38" i="20"/>
  <c r="AX103" i="20"/>
  <c r="BM100" i="20"/>
  <c r="AX97" i="20"/>
  <c r="E65" i="20"/>
  <c r="AO80" i="16"/>
  <c r="BH80" i="16" s="1"/>
  <c r="J38" i="20"/>
  <c r="BA53" i="16"/>
  <c r="BK53" i="16" s="1"/>
  <c r="BK59" i="16"/>
  <c r="BK85" i="16"/>
  <c r="BK82" i="16"/>
  <c r="K95" i="20"/>
  <c r="BB116" i="16"/>
  <c r="BK116" i="16" s="1"/>
  <c r="E76" i="20"/>
  <c r="AO97" i="16"/>
  <c r="BH97" i="16" s="1"/>
  <c r="BS102" i="20"/>
  <c r="AY97" i="20"/>
  <c r="AS38" i="20"/>
  <c r="BR103" i="20"/>
  <c r="BR100" i="20"/>
  <c r="J63" i="20"/>
  <c r="BA78" i="16"/>
  <c r="BK78" i="16" s="1"/>
  <c r="BH112" i="16"/>
  <c r="BK113" i="16"/>
  <c r="BK83" i="16"/>
  <c r="BL75" i="16"/>
  <c r="BK56" i="16"/>
  <c r="BH41" i="16"/>
  <c r="BL72" i="16"/>
  <c r="BL49" i="16"/>
  <c r="E81" i="20"/>
  <c r="AO102" i="16"/>
  <c r="BH102" i="16" s="1"/>
  <c r="E97" i="20"/>
  <c r="AO118" i="16"/>
  <c r="BH118" i="16" s="1"/>
  <c r="BS97" i="20"/>
  <c r="AS78" i="20"/>
  <c r="AX100" i="20"/>
  <c r="E63" i="20"/>
  <c r="AO78" i="16"/>
  <c r="BH78" i="16" s="1"/>
  <c r="BK81" i="16"/>
  <c r="BK63" i="16"/>
  <c r="BK55" i="16"/>
  <c r="BH27" i="16"/>
  <c r="E75" i="20"/>
  <c r="AO96" i="16"/>
  <c r="BH96" i="16" s="1"/>
  <c r="K78" i="20"/>
  <c r="BB99" i="16"/>
  <c r="E82" i="20"/>
  <c r="AO103" i="16"/>
  <c r="BH103" i="16" s="1"/>
  <c r="AX78" i="20"/>
  <c r="BM78" i="20"/>
  <c r="AS100" i="20"/>
  <c r="BR97" i="20"/>
  <c r="J65" i="20"/>
  <c r="BA80" i="16"/>
  <c r="BK80" i="16" s="1"/>
  <c r="J62" i="20"/>
  <c r="BA77" i="16"/>
  <c r="BK77" i="16" s="1"/>
  <c r="BK61" i="16"/>
  <c r="AU131" i="16"/>
  <c r="G146" i="16"/>
  <c r="Y38" i="20"/>
  <c r="AO53" i="16"/>
  <c r="BH53" i="16" s="1"/>
  <c r="AU130" i="16"/>
  <c r="AB40" i="3"/>
  <c r="AB130" i="3" s="1"/>
  <c r="BC130" i="16"/>
  <c r="AU129" i="16"/>
  <c r="E88" i="20"/>
  <c r="E89" i="20"/>
  <c r="BA118" i="16"/>
  <c r="AD97" i="20"/>
  <c r="E105" i="20"/>
  <c r="K93" i="20"/>
  <c r="J94" i="20"/>
  <c r="E77" i="20"/>
  <c r="K77" i="20"/>
  <c r="AD100" i="20"/>
  <c r="AE102" i="20"/>
  <c r="E74" i="20"/>
  <c r="E101" i="20"/>
  <c r="E103" i="20"/>
  <c r="E98" i="20"/>
  <c r="E95" i="20"/>
  <c r="AO99" i="16"/>
  <c r="BH99" i="16" s="1"/>
  <c r="Y78" i="20"/>
  <c r="BB118" i="16"/>
  <c r="AE97" i="20"/>
  <c r="AO121" i="16"/>
  <c r="BH121" i="16" s="1"/>
  <c r="Y100" i="20"/>
  <c r="E93" i="20"/>
  <c r="E94" i="20"/>
  <c r="J95" i="20"/>
  <c r="J74" i="20"/>
  <c r="BC131" i="16"/>
  <c r="BA99" i="16"/>
  <c r="AD78" i="20"/>
  <c r="BB95" i="16"/>
  <c r="BK95" i="16" s="1"/>
  <c r="AY74" i="20"/>
  <c r="AD103" i="20"/>
  <c r="E84" i="20"/>
  <c r="E104" i="20"/>
  <c r="E102" i="20"/>
  <c r="J75" i="20"/>
  <c r="E99" i="20"/>
  <c r="J77" i="20"/>
  <c r="AB16" i="3"/>
  <c r="AB128" i="3" s="1"/>
  <c r="AA92" i="3"/>
  <c r="AR131" i="16"/>
  <c r="BD132" i="16"/>
  <c r="AF133" i="16"/>
  <c r="BB128" i="16"/>
  <c r="BD128" i="16"/>
  <c r="AD133" i="16"/>
  <c r="AX129" i="16"/>
  <c r="AT131" i="16"/>
  <c r="AX128" i="16"/>
  <c r="AZ128" i="16"/>
  <c r="AV129" i="16"/>
  <c r="AY132" i="16"/>
  <c r="AT132" i="16"/>
  <c r="AR130" i="16"/>
  <c r="BC132" i="16"/>
  <c r="BD131" i="16"/>
  <c r="AV130" i="16"/>
  <c r="BA128" i="16"/>
  <c r="AV131" i="16"/>
  <c r="BD130" i="16"/>
  <c r="BD129" i="16"/>
  <c r="AZ132" i="16"/>
  <c r="AQ132" i="16"/>
  <c r="AV132" i="16"/>
  <c r="AR132" i="16"/>
  <c r="AU132" i="16"/>
  <c r="AX132" i="16"/>
  <c r="AS132" i="16"/>
  <c r="AW131" i="16"/>
  <c r="AW130" i="16"/>
  <c r="BA129" i="16"/>
  <c r="AW129" i="16"/>
  <c r="AY128" i="16"/>
  <c r="AW132" i="16"/>
  <c r="BC129" i="16"/>
  <c r="AE133" i="16"/>
  <c r="BE132" i="16"/>
  <c r="AA133" i="16"/>
  <c r="AM133" i="16"/>
  <c r="AC133" i="16"/>
  <c r="AB26" i="3"/>
  <c r="AB129" i="3" s="1"/>
  <c r="AA26" i="3"/>
  <c r="BL27" i="16" l="1"/>
  <c r="BK20" i="16"/>
  <c r="BM76" i="16"/>
  <c r="BM67" i="16"/>
  <c r="BL17" i="16"/>
  <c r="BK27" i="16"/>
  <c r="BL36" i="16"/>
  <c r="BM91" i="16"/>
  <c r="BJ27" i="16"/>
  <c r="BK17" i="16"/>
  <c r="BK16" i="16" s="1"/>
  <c r="BK128" i="16" s="1"/>
  <c r="BK135" i="16" s="1"/>
  <c r="BM52" i="16"/>
  <c r="BM89" i="16"/>
  <c r="BL41" i="16"/>
  <c r="BJ46" i="16"/>
  <c r="BJ69" i="16"/>
  <c r="BJ68" i="16" s="1"/>
  <c r="BJ131" i="16" s="1"/>
  <c r="BL30" i="16"/>
  <c r="BL93" i="16"/>
  <c r="BM87" i="16"/>
  <c r="BJ101" i="16"/>
  <c r="BK30" i="16"/>
  <c r="BM65" i="16"/>
  <c r="BM66" i="16"/>
  <c r="BJ93" i="16"/>
  <c r="AY105" i="20"/>
  <c r="BB110" i="8"/>
  <c r="AY89" i="20"/>
  <c r="AY101" i="20"/>
  <c r="BA110" i="8"/>
  <c r="AX89" i="20"/>
  <c r="AX81" i="20"/>
  <c r="BL101" i="16"/>
  <c r="BM88" i="16"/>
  <c r="AX104" i="20"/>
  <c r="AY100" i="20"/>
  <c r="AY98" i="20"/>
  <c r="BA104" i="8"/>
  <c r="AX83" i="20"/>
  <c r="BB105" i="8"/>
  <c r="AY84" i="20"/>
  <c r="AX76" i="20"/>
  <c r="AY104" i="20"/>
  <c r="AX98" i="20"/>
  <c r="AY81" i="20"/>
  <c r="AX101" i="20"/>
  <c r="BM72" i="16"/>
  <c r="BB109" i="8"/>
  <c r="AY88" i="20"/>
  <c r="BB104" i="8"/>
  <c r="AY83" i="20"/>
  <c r="AX102" i="20"/>
  <c r="AY99" i="20"/>
  <c r="AY103" i="20"/>
  <c r="AY76" i="20"/>
  <c r="AX79" i="20"/>
  <c r="AY82" i="20"/>
  <c r="BA109" i="8"/>
  <c r="AX88" i="20"/>
  <c r="AX105" i="20"/>
  <c r="AX82" i="20"/>
  <c r="BA105" i="8"/>
  <c r="AX84" i="20"/>
  <c r="AX99" i="20"/>
  <c r="BM75" i="16"/>
  <c r="BM86" i="16"/>
  <c r="BM90" i="16"/>
  <c r="BJ112" i="16"/>
  <c r="BJ117" i="16"/>
  <c r="BK41" i="16"/>
  <c r="BL46" i="16"/>
  <c r="BJ36" i="16"/>
  <c r="BL117" i="16"/>
  <c r="BK99" i="16"/>
  <c r="BL112" i="16"/>
  <c r="BM49" i="16"/>
  <c r="BH93" i="16"/>
  <c r="BK118" i="16"/>
  <c r="BL69" i="16"/>
  <c r="BL68" i="16" s="1"/>
  <c r="BL131" i="16" s="1"/>
  <c r="BH101" i="16"/>
  <c r="BH117" i="16"/>
  <c r="E38" i="20"/>
  <c r="AB133" i="3"/>
  <c r="E100" i="20"/>
  <c r="K74" i="20"/>
  <c r="J78" i="20"/>
  <c r="K102" i="20"/>
  <c r="J100" i="20"/>
  <c r="E78" i="20"/>
  <c r="J103" i="20"/>
  <c r="K97" i="20"/>
  <c r="J97" i="20"/>
  <c r="BD133" i="16"/>
  <c r="AA132" i="3"/>
  <c r="AA129" i="3"/>
  <c r="BL26" i="16" l="1"/>
  <c r="BL129" i="16" s="1"/>
  <c r="BL40" i="16"/>
  <c r="BL130" i="16" s="1"/>
  <c r="BJ92" i="16"/>
  <c r="BJ132" i="16" s="1"/>
  <c r="BK105" i="8"/>
  <c r="BK109" i="8"/>
  <c r="J99" i="20"/>
  <c r="BA120" i="16"/>
  <c r="BB120" i="16"/>
  <c r="K99" i="20"/>
  <c r="BA126" i="16"/>
  <c r="J105" i="20"/>
  <c r="BK104" i="8"/>
  <c r="BB121" i="16"/>
  <c r="BK121" i="16" s="1"/>
  <c r="K100" i="20"/>
  <c r="BA102" i="16"/>
  <c r="J81" i="20"/>
  <c r="BK110" i="8"/>
  <c r="BB110" i="16"/>
  <c r="K89" i="20"/>
  <c r="K76" i="20"/>
  <c r="BB97" i="16"/>
  <c r="J101" i="20"/>
  <c r="BA122" i="16"/>
  <c r="BA97" i="16"/>
  <c r="J76" i="20"/>
  <c r="BA103" i="16"/>
  <c r="J82" i="20"/>
  <c r="BA109" i="16"/>
  <c r="J88" i="20"/>
  <c r="K83" i="20"/>
  <c r="BB104" i="16"/>
  <c r="BB119" i="16"/>
  <c r="K98" i="20"/>
  <c r="BA125" i="16"/>
  <c r="J104" i="20"/>
  <c r="BA110" i="16"/>
  <c r="J89" i="20"/>
  <c r="BB122" i="16"/>
  <c r="K101" i="20"/>
  <c r="BB103" i="16"/>
  <c r="K82" i="20"/>
  <c r="BB109" i="16"/>
  <c r="K88" i="20"/>
  <c r="BA119" i="16"/>
  <c r="BK119" i="16" s="1"/>
  <c r="J98" i="20"/>
  <c r="BA105" i="16"/>
  <c r="J84" i="20"/>
  <c r="BA100" i="16"/>
  <c r="J79" i="20"/>
  <c r="BB124" i="16"/>
  <c r="BK124" i="16" s="1"/>
  <c r="K103" i="20"/>
  <c r="J102" i="20"/>
  <c r="BA123" i="16"/>
  <c r="BK123" i="16" s="1"/>
  <c r="BB102" i="16"/>
  <c r="K81" i="20"/>
  <c r="BB125" i="16"/>
  <c r="K104" i="20"/>
  <c r="BB105" i="16"/>
  <c r="K84" i="20"/>
  <c r="BA104" i="16"/>
  <c r="J83" i="20"/>
  <c r="BB126" i="16"/>
  <c r="K105" i="20"/>
  <c r="BB115" i="16"/>
  <c r="K94" i="20"/>
  <c r="K79" i="20"/>
  <c r="BB100" i="16"/>
  <c r="BB96" i="16"/>
  <c r="BK96" i="16" s="1"/>
  <c r="K75" i="20"/>
  <c r="BL92" i="16"/>
  <c r="BL132" i="16" s="1"/>
  <c r="BH92" i="16"/>
  <c r="BH132" i="16" s="1"/>
  <c r="AO132" i="16"/>
  <c r="E14" i="10"/>
  <c r="E12" i="10"/>
  <c r="C16" i="4"/>
  <c r="BK100" i="16" l="1"/>
  <c r="BK110" i="16"/>
  <c r="BA132" i="16"/>
  <c r="BK104" i="16"/>
  <c r="G160" i="16"/>
  <c r="BK109" i="16"/>
  <c r="BK97" i="16"/>
  <c r="BK105" i="16"/>
  <c r="BK125" i="16"/>
  <c r="BK103" i="16"/>
  <c r="BK122" i="16"/>
  <c r="BK102" i="16"/>
  <c r="G158" i="16"/>
  <c r="BK120" i="16"/>
  <c r="BK126" i="16"/>
  <c r="G157" i="16"/>
  <c r="BK115" i="16"/>
  <c r="BK112" i="16" s="1"/>
  <c r="G159" i="16"/>
  <c r="BB132" i="16"/>
  <c r="BK93" i="16" l="1"/>
  <c r="BK101" i="16"/>
  <c r="BK117" i="16"/>
  <c r="E40" i="14"/>
  <c r="E15" i="14" s="1"/>
  <c r="F38" i="14"/>
  <c r="F40" i="14" s="1"/>
  <c r="F15" i="14" s="1"/>
  <c r="D40" i="14"/>
  <c r="F36" i="14"/>
  <c r="E36" i="14"/>
  <c r="D36" i="14"/>
  <c r="E34" i="14"/>
  <c r="E14" i="14" s="1"/>
  <c r="D34" i="14"/>
  <c r="F32" i="14"/>
  <c r="F34" i="14" s="1"/>
  <c r="F14" i="14" s="1"/>
  <c r="F30" i="14"/>
  <c r="E30" i="14"/>
  <c r="D30" i="14"/>
  <c r="BK92" i="16" l="1"/>
  <c r="BK132" i="16" s="1"/>
  <c r="G66" i="18"/>
  <c r="G68" i="18" s="1"/>
  <c r="C28" i="14"/>
  <c r="F13" i="14"/>
  <c r="I66" i="18" s="1"/>
  <c r="I69" i="18" s="1"/>
  <c r="E13" i="14"/>
  <c r="H66" i="18" s="1"/>
  <c r="H69" i="18" s="1"/>
  <c r="F10" i="14"/>
  <c r="E10" i="14"/>
  <c r="D10" i="14"/>
  <c r="F8" i="14"/>
  <c r="C5" i="14"/>
  <c r="C5" i="13"/>
  <c r="F14" i="13"/>
  <c r="F13" i="13" s="1"/>
  <c r="I50" i="18" s="1"/>
  <c r="I53" i="18" s="1"/>
  <c r="D45" i="13"/>
  <c r="D14" i="13" s="1"/>
  <c r="D13" i="13" s="1"/>
  <c r="G50" i="18" s="1"/>
  <c r="G52" i="18" s="1"/>
  <c r="G59" i="18" l="1"/>
  <c r="G53" i="18"/>
  <c r="G72" i="18"/>
  <c r="G73" i="18" s="1"/>
  <c r="G69" i="18"/>
  <c r="E18" i="14"/>
  <c r="E25" i="14"/>
  <c r="D18" i="14"/>
  <c r="D25" i="14"/>
  <c r="D25" i="13"/>
  <c r="D18" i="13"/>
  <c r="F8" i="13" l="1"/>
  <c r="F32" i="13" s="1"/>
  <c r="F10" i="13"/>
  <c r="E10" i="13"/>
  <c r="G12" i="10"/>
  <c r="N21" i="4" s="1"/>
  <c r="F14" i="10"/>
  <c r="J17" i="4"/>
  <c r="J18" i="4"/>
  <c r="D10" i="13"/>
  <c r="C28" i="13"/>
  <c r="I135" i="11"/>
  <c r="I141" i="11"/>
  <c r="I139" i="11"/>
  <c r="I136" i="11"/>
  <c r="I134" i="11"/>
  <c r="I105" i="11"/>
  <c r="I104" i="11"/>
  <c r="I122" i="11"/>
  <c r="I81" i="11"/>
  <c r="I70" i="11"/>
  <c r="I78" i="11"/>
  <c r="I45" i="11"/>
  <c r="I39" i="11"/>
  <c r="I9" i="11"/>
  <c r="Y20" i="11"/>
  <c r="Y142" i="11"/>
  <c r="Y141" i="11"/>
  <c r="Y140" i="11"/>
  <c r="Y139" i="11"/>
  <c r="Y137" i="11"/>
  <c r="Y136" i="11"/>
  <c r="Y135" i="11"/>
  <c r="Y134" i="11"/>
  <c r="Y131" i="11"/>
  <c r="Y130" i="11"/>
  <c r="Y129" i="11"/>
  <c r="Y128" i="11"/>
  <c r="Y127" i="11"/>
  <c r="Y120" i="11"/>
  <c r="Y119" i="11"/>
  <c r="Y118" i="11"/>
  <c r="Y117" i="11"/>
  <c r="Y116" i="11"/>
  <c r="Y108" i="11"/>
  <c r="Y107" i="11"/>
  <c r="Y106" i="11"/>
  <c r="Y105" i="11"/>
  <c r="Y104" i="11"/>
  <c r="Y114" i="11"/>
  <c r="Y113" i="11"/>
  <c r="Y112" i="11"/>
  <c r="Y111" i="11"/>
  <c r="Y110" i="11"/>
  <c r="Y125" i="11"/>
  <c r="Y124" i="11"/>
  <c r="Y123" i="11"/>
  <c r="Y122" i="11"/>
  <c r="Y86" i="11"/>
  <c r="Y85" i="11"/>
  <c r="Y84" i="11"/>
  <c r="Y82" i="11"/>
  <c r="Y81" i="11"/>
  <c r="Y92" i="11"/>
  <c r="Y91" i="11"/>
  <c r="Y90" i="11"/>
  <c r="Y89" i="11"/>
  <c r="Y88" i="11"/>
  <c r="Y68" i="11"/>
  <c r="Y67" i="11"/>
  <c r="Y66" i="11"/>
  <c r="Y65" i="11"/>
  <c r="Y64" i="11"/>
  <c r="Y74" i="11"/>
  <c r="Y73" i="11"/>
  <c r="Y72" i="11"/>
  <c r="Y71" i="11"/>
  <c r="Y70" i="11"/>
  <c r="Y79" i="11"/>
  <c r="Y78" i="11"/>
  <c r="Y77" i="11"/>
  <c r="Y76" i="11"/>
  <c r="Y50" i="11"/>
  <c r="Y48" i="11"/>
  <c r="Y47" i="11"/>
  <c r="Y46" i="11"/>
  <c r="Y45" i="11"/>
  <c r="Y43" i="11"/>
  <c r="Y42" i="11"/>
  <c r="Y41" i="11"/>
  <c r="Y40" i="11"/>
  <c r="Y39" i="11"/>
  <c r="Y37" i="11"/>
  <c r="Y36" i="11"/>
  <c r="Y35" i="11"/>
  <c r="Y34" i="11"/>
  <c r="Y32" i="11"/>
  <c r="Y31" i="11"/>
  <c r="Y30" i="11"/>
  <c r="Y28" i="11"/>
  <c r="Y27" i="11"/>
  <c r="Y52" i="11"/>
  <c r="Y24" i="11"/>
  <c r="Y23" i="11"/>
  <c r="Y22" i="11"/>
  <c r="Y18" i="11"/>
  <c r="Y17" i="11"/>
  <c r="Y16" i="11"/>
  <c r="Y15" i="11"/>
  <c r="Y14" i="11"/>
  <c r="Y12" i="11"/>
  <c r="Y11" i="11"/>
  <c r="Y10" i="11"/>
  <c r="Y9" i="11"/>
  <c r="Y7" i="11"/>
  <c r="Y6" i="11"/>
  <c r="U142" i="11"/>
  <c r="U141" i="11"/>
  <c r="U140" i="11"/>
  <c r="U139" i="11"/>
  <c r="U137" i="11"/>
  <c r="U136" i="11"/>
  <c r="U135" i="11"/>
  <c r="U134" i="11"/>
  <c r="U131" i="11"/>
  <c r="U130" i="11"/>
  <c r="U129" i="11"/>
  <c r="U128" i="11"/>
  <c r="U127" i="11"/>
  <c r="U120" i="11"/>
  <c r="U119" i="11"/>
  <c r="U118" i="11"/>
  <c r="U117" i="11"/>
  <c r="U116" i="11"/>
  <c r="U108" i="11"/>
  <c r="U107" i="11"/>
  <c r="U106" i="11"/>
  <c r="U105" i="11"/>
  <c r="U104" i="11"/>
  <c r="U114" i="11"/>
  <c r="U113" i="11"/>
  <c r="U112" i="11"/>
  <c r="U111" i="11"/>
  <c r="U110" i="11"/>
  <c r="U125" i="11"/>
  <c r="U124" i="11"/>
  <c r="U123" i="11"/>
  <c r="U122" i="11"/>
  <c r="U86" i="11"/>
  <c r="U85" i="11"/>
  <c r="U84" i="11"/>
  <c r="U82" i="11"/>
  <c r="U81" i="11"/>
  <c r="U92" i="11"/>
  <c r="U91" i="11"/>
  <c r="U90" i="11"/>
  <c r="U89" i="11"/>
  <c r="U88" i="11"/>
  <c r="U68" i="11"/>
  <c r="U67" i="11"/>
  <c r="U66" i="11"/>
  <c r="U65" i="11"/>
  <c r="U64" i="11"/>
  <c r="U74" i="11"/>
  <c r="U73" i="11"/>
  <c r="U72" i="11"/>
  <c r="U71" i="11"/>
  <c r="U70" i="11"/>
  <c r="U79" i="11"/>
  <c r="U78" i="11"/>
  <c r="U77" i="11"/>
  <c r="U76" i="11"/>
  <c r="U50" i="11"/>
  <c r="U48" i="11"/>
  <c r="U47" i="11"/>
  <c r="U46" i="11"/>
  <c r="U45" i="11"/>
  <c r="U43" i="11"/>
  <c r="U42" i="11"/>
  <c r="U41" i="11"/>
  <c r="U40" i="11"/>
  <c r="U39" i="11"/>
  <c r="U37" i="11"/>
  <c r="U36" i="11"/>
  <c r="U35" i="11"/>
  <c r="U34" i="11"/>
  <c r="U32" i="11"/>
  <c r="U31" i="11"/>
  <c r="U30" i="11"/>
  <c r="U28" i="11"/>
  <c r="U27" i="11"/>
  <c r="U52" i="11"/>
  <c r="U24" i="11"/>
  <c r="U23" i="11"/>
  <c r="U22" i="11"/>
  <c r="U20" i="11"/>
  <c r="U18" i="11"/>
  <c r="U17" i="11"/>
  <c r="U16" i="11"/>
  <c r="U15" i="11"/>
  <c r="U14" i="11"/>
  <c r="U12" i="11"/>
  <c r="U11" i="11"/>
  <c r="U10" i="11"/>
  <c r="U9" i="11"/>
  <c r="U7" i="11"/>
  <c r="U6" i="11"/>
  <c r="Q142" i="11"/>
  <c r="Q141" i="11"/>
  <c r="Q140" i="11"/>
  <c r="Q139" i="11"/>
  <c r="Q137" i="11"/>
  <c r="Q136" i="11"/>
  <c r="Q135" i="11"/>
  <c r="Q134" i="11"/>
  <c r="Q131" i="11"/>
  <c r="Q130" i="11"/>
  <c r="Q129" i="11"/>
  <c r="Q128" i="11"/>
  <c r="Q127" i="11"/>
  <c r="Q120" i="11"/>
  <c r="Q119" i="11"/>
  <c r="Q118" i="11"/>
  <c r="Q117" i="11"/>
  <c r="Q116" i="11"/>
  <c r="Q108" i="11"/>
  <c r="Q107" i="11"/>
  <c r="Q106" i="11"/>
  <c r="Q105" i="11"/>
  <c r="Q104" i="11"/>
  <c r="Q114" i="11"/>
  <c r="Q113" i="11"/>
  <c r="Q112" i="11"/>
  <c r="Q111" i="11"/>
  <c r="Q110" i="11"/>
  <c r="Q125" i="11"/>
  <c r="Q124" i="11"/>
  <c r="Q123" i="11"/>
  <c r="Q122" i="11"/>
  <c r="Q86" i="11"/>
  <c r="Q85" i="11"/>
  <c r="Q84" i="11"/>
  <c r="Q82" i="11"/>
  <c r="Q81" i="11"/>
  <c r="Q92" i="11"/>
  <c r="Q91" i="11"/>
  <c r="Q90" i="11"/>
  <c r="Q89" i="11"/>
  <c r="Q88" i="11"/>
  <c r="Q68" i="11"/>
  <c r="Q67" i="11"/>
  <c r="Q66" i="11"/>
  <c r="Q65" i="11"/>
  <c r="Q64" i="11"/>
  <c r="Q74" i="11"/>
  <c r="Q73" i="11"/>
  <c r="Q72" i="11"/>
  <c r="Q71" i="11"/>
  <c r="Q70" i="11"/>
  <c r="Q79" i="11"/>
  <c r="Q78" i="11"/>
  <c r="Q77" i="11"/>
  <c r="Q76" i="11"/>
  <c r="Q50" i="11"/>
  <c r="Q48" i="11"/>
  <c r="Q47" i="11"/>
  <c r="Q46" i="11"/>
  <c r="Q45" i="11"/>
  <c r="Q43" i="11"/>
  <c r="Q42" i="11"/>
  <c r="Q41" i="11"/>
  <c r="Q40" i="11"/>
  <c r="Q39" i="11"/>
  <c r="Q37" i="11"/>
  <c r="Q36" i="11"/>
  <c r="Q35" i="11"/>
  <c r="Q34" i="11"/>
  <c r="Q32" i="11"/>
  <c r="Q31" i="11"/>
  <c r="Q30" i="11"/>
  <c r="Q28" i="11"/>
  <c r="Q27" i="11"/>
  <c r="Q52" i="11"/>
  <c r="Q24" i="11"/>
  <c r="Q23" i="11"/>
  <c r="Q22" i="11"/>
  <c r="Q20" i="11"/>
  <c r="Q18" i="11"/>
  <c r="Q17" i="11"/>
  <c r="Q16" i="11"/>
  <c r="Q15" i="11"/>
  <c r="Q14" i="11"/>
  <c r="Q12" i="11"/>
  <c r="Q11" i="11"/>
  <c r="Q10" i="11"/>
  <c r="Q9" i="11"/>
  <c r="Q7" i="11"/>
  <c r="Q6" i="11"/>
  <c r="M142" i="11"/>
  <c r="M141" i="11"/>
  <c r="M140" i="11"/>
  <c r="M139" i="11"/>
  <c r="M137" i="11"/>
  <c r="M136" i="11"/>
  <c r="M135" i="11"/>
  <c r="M134" i="11"/>
  <c r="M131" i="11"/>
  <c r="M130" i="11"/>
  <c r="M129" i="11"/>
  <c r="M128" i="11"/>
  <c r="M127" i="11"/>
  <c r="M120" i="11"/>
  <c r="M119" i="11"/>
  <c r="M118" i="11"/>
  <c r="M117" i="11"/>
  <c r="M116" i="11"/>
  <c r="M108" i="11"/>
  <c r="M107" i="11"/>
  <c r="M106" i="11"/>
  <c r="M105" i="11"/>
  <c r="M104" i="11"/>
  <c r="M114" i="11"/>
  <c r="M113" i="11"/>
  <c r="M112" i="11"/>
  <c r="M111" i="11"/>
  <c r="M110" i="11"/>
  <c r="M125" i="11"/>
  <c r="M124" i="11"/>
  <c r="M123" i="11"/>
  <c r="M122" i="11"/>
  <c r="M86" i="11"/>
  <c r="M85" i="11"/>
  <c r="M84" i="11"/>
  <c r="M82" i="11"/>
  <c r="M81" i="11"/>
  <c r="M92" i="11"/>
  <c r="M91" i="11"/>
  <c r="M90" i="11"/>
  <c r="M89" i="11"/>
  <c r="M88" i="11"/>
  <c r="M68" i="11"/>
  <c r="M67" i="11"/>
  <c r="M66" i="11"/>
  <c r="M65" i="11"/>
  <c r="M64" i="11"/>
  <c r="M74" i="11"/>
  <c r="M73" i="11"/>
  <c r="M72" i="11"/>
  <c r="M71" i="11"/>
  <c r="M70" i="11"/>
  <c r="M79" i="11"/>
  <c r="M78" i="11"/>
  <c r="M77" i="11"/>
  <c r="M76" i="11"/>
  <c r="M50" i="11"/>
  <c r="M48" i="11"/>
  <c r="M47" i="11"/>
  <c r="M46" i="11"/>
  <c r="M45" i="11"/>
  <c r="M43" i="11"/>
  <c r="M42" i="11"/>
  <c r="M41" i="11"/>
  <c r="M40" i="11"/>
  <c r="M39" i="11"/>
  <c r="M37" i="11"/>
  <c r="M36" i="11"/>
  <c r="M35" i="11"/>
  <c r="M34" i="11"/>
  <c r="M32" i="11"/>
  <c r="M31" i="11"/>
  <c r="M30" i="11"/>
  <c r="M28" i="11"/>
  <c r="M27" i="11"/>
  <c r="M52" i="11"/>
  <c r="M24" i="11"/>
  <c r="M23" i="11"/>
  <c r="M22" i="11"/>
  <c r="M20" i="11"/>
  <c r="M18" i="11"/>
  <c r="M17" i="11"/>
  <c r="M16" i="11"/>
  <c r="M15" i="11"/>
  <c r="M14" i="11"/>
  <c r="M12" i="11"/>
  <c r="M11" i="11"/>
  <c r="M10" i="11"/>
  <c r="M9" i="11"/>
  <c r="M7" i="11"/>
  <c r="M6" i="11"/>
  <c r="I131" i="11"/>
  <c r="I130" i="11"/>
  <c r="I129" i="11"/>
  <c r="I127" i="11"/>
  <c r="I117" i="11"/>
  <c r="I92" i="11"/>
  <c r="I91" i="11"/>
  <c r="I90" i="11"/>
  <c r="I88" i="11"/>
  <c r="I65" i="11"/>
  <c r="I72" i="11"/>
  <c r="I76" i="11"/>
  <c r="C148" i="11"/>
  <c r="B148" i="11"/>
  <c r="C147" i="11"/>
  <c r="B147" i="11"/>
  <c r="C146" i="11"/>
  <c r="B146" i="11"/>
  <c r="C145" i="11"/>
  <c r="B145" i="11"/>
  <c r="C144" i="11"/>
  <c r="B144" i="11"/>
  <c r="A143" i="11"/>
  <c r="C142" i="11"/>
  <c r="C141" i="11"/>
  <c r="C140" i="11"/>
  <c r="C139" i="11"/>
  <c r="B138" i="11"/>
  <c r="C137" i="11"/>
  <c r="C136" i="11"/>
  <c r="C135" i="11"/>
  <c r="C134" i="11"/>
  <c r="B133" i="11"/>
  <c r="A132" i="11"/>
  <c r="C131" i="11"/>
  <c r="C130" i="11"/>
  <c r="C129" i="11"/>
  <c r="C128" i="11"/>
  <c r="C127" i="11"/>
  <c r="B126" i="11"/>
  <c r="C120" i="11"/>
  <c r="C119" i="11"/>
  <c r="C118" i="11"/>
  <c r="C117" i="11"/>
  <c r="C116" i="11"/>
  <c r="C108" i="11"/>
  <c r="C107" i="11"/>
  <c r="C106" i="11"/>
  <c r="C105" i="11"/>
  <c r="C104" i="11"/>
  <c r="C114" i="11"/>
  <c r="C113" i="11"/>
  <c r="C112" i="11"/>
  <c r="C111" i="11"/>
  <c r="C110" i="11"/>
  <c r="C125" i="11"/>
  <c r="C124" i="11"/>
  <c r="C123" i="11"/>
  <c r="C122" i="11"/>
  <c r="B121" i="11"/>
  <c r="A102" i="11"/>
  <c r="C98" i="11"/>
  <c r="B98" i="11"/>
  <c r="C97" i="11"/>
  <c r="B97" i="11"/>
  <c r="C96" i="11"/>
  <c r="B96" i="11"/>
  <c r="C95" i="11"/>
  <c r="B95" i="11"/>
  <c r="C94" i="11"/>
  <c r="B94" i="11"/>
  <c r="A93" i="11"/>
  <c r="E86" i="11"/>
  <c r="E85" i="11"/>
  <c r="E84" i="11"/>
  <c r="E82" i="11"/>
  <c r="E81" i="11"/>
  <c r="C92" i="11"/>
  <c r="C91" i="11"/>
  <c r="C90" i="11"/>
  <c r="C89" i="11"/>
  <c r="C88" i="11"/>
  <c r="B87" i="11"/>
  <c r="C68" i="11"/>
  <c r="C67" i="11"/>
  <c r="C66" i="11"/>
  <c r="C65" i="11"/>
  <c r="C64" i="11"/>
  <c r="C74" i="11"/>
  <c r="C73" i="11"/>
  <c r="C72" i="11"/>
  <c r="C71" i="11"/>
  <c r="C70" i="11"/>
  <c r="C79" i="11"/>
  <c r="C78" i="11"/>
  <c r="C77" i="11"/>
  <c r="C76" i="11"/>
  <c r="B75" i="11"/>
  <c r="A62" i="11"/>
  <c r="C48" i="11"/>
  <c r="C47" i="11"/>
  <c r="C46" i="11"/>
  <c r="C45" i="11"/>
  <c r="B44" i="11"/>
  <c r="C43" i="11"/>
  <c r="C42" i="11"/>
  <c r="C41" i="11"/>
  <c r="C40" i="11"/>
  <c r="C39" i="11"/>
  <c r="B38" i="11"/>
  <c r="C37" i="11"/>
  <c r="C36" i="11"/>
  <c r="C35" i="11"/>
  <c r="C34" i="11"/>
  <c r="B33" i="11"/>
  <c r="C32" i="11"/>
  <c r="C86" i="11" s="1"/>
  <c r="C31" i="11"/>
  <c r="C85" i="11" s="1"/>
  <c r="C30" i="11"/>
  <c r="C84" i="11" s="1"/>
  <c r="B29" i="11"/>
  <c r="C28" i="11"/>
  <c r="C82" i="11" s="1"/>
  <c r="C27" i="11"/>
  <c r="C81" i="11" s="1"/>
  <c r="B26" i="11"/>
  <c r="A25" i="11"/>
  <c r="C24" i="11"/>
  <c r="C23" i="11"/>
  <c r="C22" i="11"/>
  <c r="B21" i="11"/>
  <c r="C20" i="11"/>
  <c r="B19" i="11"/>
  <c r="C18" i="11"/>
  <c r="C17" i="11"/>
  <c r="C16" i="11"/>
  <c r="C15" i="11"/>
  <c r="C14" i="11"/>
  <c r="B13" i="11"/>
  <c r="C12" i="11"/>
  <c r="C11" i="11"/>
  <c r="C10" i="11"/>
  <c r="C9" i="11"/>
  <c r="B8" i="11"/>
  <c r="C7" i="11"/>
  <c r="C6" i="11"/>
  <c r="B5" i="11"/>
  <c r="A4" i="11"/>
  <c r="K27" i="10"/>
  <c r="F21" i="10"/>
  <c r="F23" i="10"/>
  <c r="F22" i="10"/>
  <c r="F20" i="10"/>
  <c r="F19" i="10"/>
  <c r="H31" i="10"/>
  <c r="F13" i="10" s="1"/>
  <c r="E13" i="10"/>
  <c r="G14" i="10"/>
  <c r="H29" i="10"/>
  <c r="H28" i="10"/>
  <c r="J28" i="10"/>
  <c r="H27" i="10"/>
  <c r="F31" i="10"/>
  <c r="D13" i="10" s="1"/>
  <c r="F30" i="10"/>
  <c r="D14" i="10" s="1"/>
  <c r="F29" i="10"/>
  <c r="F28" i="10"/>
  <c r="BE84" i="9"/>
  <c r="BE84" i="2"/>
  <c r="J10" i="4"/>
  <c r="J8" i="4"/>
  <c r="I8" i="4"/>
  <c r="H8" i="4"/>
  <c r="C17" i="4"/>
  <c r="G31" i="4"/>
  <c r="H18" i="4"/>
  <c r="H14" i="4" s="1"/>
  <c r="G34" i="18" s="1"/>
  <c r="G36" i="18" s="1"/>
  <c r="I14" i="4"/>
  <c r="D12" i="10" l="1"/>
  <c r="N19" i="4" s="1"/>
  <c r="L19" i="10"/>
  <c r="H101" i="19"/>
  <c r="J101" i="19" s="1"/>
  <c r="W84" i="3"/>
  <c r="W85" i="3"/>
  <c r="W86" i="3"/>
  <c r="W79" i="3"/>
  <c r="W80" i="3"/>
  <c r="BE79" i="9"/>
  <c r="BE80" i="9"/>
  <c r="BE78" i="9"/>
  <c r="BE81" i="9"/>
  <c r="BE79" i="8"/>
  <c r="BE80" i="8"/>
  <c r="BE81" i="8"/>
  <c r="BE82" i="8"/>
  <c r="BE81" i="2"/>
  <c r="BE79" i="2"/>
  <c r="BE80" i="2"/>
  <c r="BE108" i="8"/>
  <c r="BE106" i="8"/>
  <c r="BE107" i="8"/>
  <c r="BE110" i="8"/>
  <c r="BE109" i="8"/>
  <c r="BE111" i="8"/>
  <c r="BE104" i="8"/>
  <c r="BE105" i="8"/>
  <c r="BE108" i="9"/>
  <c r="BE106" i="9"/>
  <c r="BE107" i="9"/>
  <c r="BE111" i="9"/>
  <c r="BE110" i="9"/>
  <c r="BE109" i="9"/>
  <c r="BE105" i="9"/>
  <c r="W108" i="3"/>
  <c r="W107" i="3"/>
  <c r="W106" i="3"/>
  <c r="W109" i="3"/>
  <c r="W110" i="3"/>
  <c r="W111" i="3"/>
  <c r="W104" i="3"/>
  <c r="W105" i="3"/>
  <c r="BE107" i="2"/>
  <c r="BE106" i="2"/>
  <c r="BE108" i="2"/>
  <c r="BE109" i="2"/>
  <c r="BE110" i="2"/>
  <c r="BE111" i="2"/>
  <c r="BE104" i="2"/>
  <c r="BE105" i="2"/>
  <c r="BE103" i="2"/>
  <c r="C26" i="4"/>
  <c r="H34" i="18"/>
  <c r="H37" i="18" s="1"/>
  <c r="G43" i="18"/>
  <c r="G37" i="18"/>
  <c r="H35" i="4"/>
  <c r="H21" i="4"/>
  <c r="C27" i="4"/>
  <c r="J29" i="10"/>
  <c r="K28" i="10"/>
  <c r="E22" i="14"/>
  <c r="E26" i="14" s="1"/>
  <c r="I25" i="4"/>
  <c r="G13" i="10"/>
  <c r="H25" i="4"/>
  <c r="H27" i="4" s="1"/>
  <c r="H44" i="4" s="1"/>
  <c r="D22" i="14"/>
  <c r="D22" i="13"/>
  <c r="D24" i="13" s="1"/>
  <c r="E22" i="13"/>
  <c r="I106" i="11"/>
  <c r="I40" i="11"/>
  <c r="I110" i="11"/>
  <c r="I128" i="11"/>
  <c r="C50" i="11"/>
  <c r="I27" i="11"/>
  <c r="I89" i="11"/>
  <c r="I46" i="11"/>
  <c r="I118" i="11"/>
  <c r="I30" i="11"/>
  <c r="I140" i="11"/>
  <c r="I116" i="11"/>
  <c r="I84" i="11"/>
  <c r="I64" i="11"/>
  <c r="I71" i="11"/>
  <c r="I66" i="11"/>
  <c r="I14" i="11"/>
  <c r="I47" i="11"/>
  <c r="I34" i="11"/>
  <c r="I6" i="11"/>
  <c r="I21" i="4"/>
  <c r="I28" i="4"/>
  <c r="I37" i="4" s="1"/>
  <c r="I35" i="4"/>
  <c r="F22" i="14" l="1"/>
  <c r="F22" i="13"/>
  <c r="J25" i="4"/>
  <c r="H99" i="19"/>
  <c r="J99" i="19" s="1"/>
  <c r="H67" i="19"/>
  <c r="J67" i="19" s="1"/>
  <c r="H98" i="19"/>
  <c r="J98" i="19" s="1"/>
  <c r="H100" i="19"/>
  <c r="J100" i="19" s="1"/>
  <c r="C28" i="4"/>
  <c r="C32" i="4" s="1"/>
  <c r="H48" i="19"/>
  <c r="J48" i="19" s="1"/>
  <c r="J30" i="10"/>
  <c r="K29" i="10"/>
  <c r="D24" i="14"/>
  <c r="D26" i="14"/>
  <c r="D26" i="13"/>
  <c r="D28" i="13" s="1"/>
  <c r="E23" i="13" s="1"/>
  <c r="I29" i="4"/>
  <c r="I39" i="4" s="1"/>
  <c r="H28" i="4"/>
  <c r="H29" i="4" s="1"/>
  <c r="H45" i="4" s="1"/>
  <c r="H46" i="4" s="1"/>
  <c r="H38" i="4"/>
  <c r="J15" i="4" l="1"/>
  <c r="C14" i="4"/>
  <c r="K30" i="10"/>
  <c r="J31" i="10"/>
  <c r="K31" i="10" s="1"/>
  <c r="D28" i="14"/>
  <c r="E23" i="14" s="1"/>
  <c r="E24" i="14" s="1"/>
  <c r="E28" i="14" s="1"/>
  <c r="F23" i="14" s="1"/>
  <c r="F24" i="14" s="1"/>
  <c r="E24" i="13"/>
  <c r="I45" i="4"/>
  <c r="H37" i="4"/>
  <c r="H39" i="4"/>
  <c r="H31" i="4"/>
  <c r="I26" i="4" s="1"/>
  <c r="I27" i="4" s="1"/>
  <c r="H40" i="4" l="1"/>
  <c r="H42" i="4" s="1"/>
  <c r="H48" i="4" s="1"/>
  <c r="H50" i="4" s="1"/>
  <c r="I44" i="4"/>
  <c r="I46" i="4" s="1"/>
  <c r="I38" i="4"/>
  <c r="I40" i="4" s="1"/>
  <c r="I42" i="4" s="1"/>
  <c r="I31" i="4"/>
  <c r="J26" i="4" s="1"/>
  <c r="I48" i="4" l="1"/>
  <c r="I50" i="4" s="1"/>
  <c r="J27" i="4"/>
  <c r="J44" i="4" l="1"/>
  <c r="J38" i="4"/>
  <c r="C5" i="4" l="1"/>
  <c r="G11" i="3"/>
  <c r="G11" i="9"/>
  <c r="G11" i="8"/>
  <c r="G11" i="2"/>
  <c r="B7" i="3"/>
  <c r="B7" i="9"/>
  <c r="B7" i="8"/>
  <c r="B7" i="2"/>
  <c r="C13" i="10" l="1"/>
  <c r="E8" i="14" l="1"/>
  <c r="E8" i="13"/>
  <c r="E32" i="13" s="1"/>
  <c r="C14" i="10"/>
  <c r="I10" i="4"/>
  <c r="D8" i="14" l="1"/>
  <c r="D8" i="13"/>
  <c r="D32" i="13" s="1"/>
  <c r="H10" i="4"/>
  <c r="AM126" i="9" l="1"/>
  <c r="BD126" i="9" s="1"/>
  <c r="AL126" i="9"/>
  <c r="BC126" i="9" s="1"/>
  <c r="BL126" i="9" s="1"/>
  <c r="AK126" i="9"/>
  <c r="BB126" i="9" s="1"/>
  <c r="AJ126" i="9"/>
  <c r="BA126" i="9" s="1"/>
  <c r="AI126" i="9"/>
  <c r="AZ126" i="9" s="1"/>
  <c r="AH126" i="9"/>
  <c r="AY126" i="9" s="1"/>
  <c r="AG126" i="9"/>
  <c r="AX126" i="9" s="1"/>
  <c r="AF126" i="9"/>
  <c r="AW126" i="9" s="1"/>
  <c r="AE126" i="9"/>
  <c r="AV126" i="9" s="1"/>
  <c r="AD126" i="9"/>
  <c r="AU126" i="9" s="1"/>
  <c r="AC126" i="9"/>
  <c r="AT126" i="9" s="1"/>
  <c r="AB126" i="9"/>
  <c r="AS126" i="9" s="1"/>
  <c r="AA126" i="9"/>
  <c r="AR126" i="9" s="1"/>
  <c r="Z126" i="9"/>
  <c r="AQ126" i="9" s="1"/>
  <c r="Y126" i="9"/>
  <c r="X126" i="9"/>
  <c r="AO126" i="9" s="1"/>
  <c r="BH126" i="9" s="1"/>
  <c r="AM125" i="9"/>
  <c r="BD125" i="9" s="1"/>
  <c r="AL125" i="9"/>
  <c r="BC125" i="9" s="1"/>
  <c r="BL125" i="9" s="1"/>
  <c r="AK125" i="9"/>
  <c r="BB125" i="9" s="1"/>
  <c r="AJ125" i="9"/>
  <c r="BA125" i="9" s="1"/>
  <c r="AI125" i="9"/>
  <c r="AZ125" i="9" s="1"/>
  <c r="AH125" i="9"/>
  <c r="AY125" i="9" s="1"/>
  <c r="AG125" i="9"/>
  <c r="AX125" i="9" s="1"/>
  <c r="AF125" i="9"/>
  <c r="AW125" i="9" s="1"/>
  <c r="AE125" i="9"/>
  <c r="AV125" i="9" s="1"/>
  <c r="AD125" i="9"/>
  <c r="AU125" i="9" s="1"/>
  <c r="AC125" i="9"/>
  <c r="AT125" i="9" s="1"/>
  <c r="AB125" i="9"/>
  <c r="AS125" i="9" s="1"/>
  <c r="AA125" i="9"/>
  <c r="AR125" i="9" s="1"/>
  <c r="Z125" i="9"/>
  <c r="AQ125" i="9" s="1"/>
  <c r="Y125" i="9"/>
  <c r="X125" i="9"/>
  <c r="AO125" i="9" s="1"/>
  <c r="BH125" i="9" s="1"/>
  <c r="AM124" i="9"/>
  <c r="BD124" i="9" s="1"/>
  <c r="AL124" i="9"/>
  <c r="BC124" i="9" s="1"/>
  <c r="BL124" i="9" s="1"/>
  <c r="AK124" i="9"/>
  <c r="BB124" i="9" s="1"/>
  <c r="AJ124" i="9"/>
  <c r="BA124" i="9" s="1"/>
  <c r="AI124" i="9"/>
  <c r="AZ124" i="9" s="1"/>
  <c r="AH124" i="9"/>
  <c r="AY124" i="9" s="1"/>
  <c r="AG124" i="9"/>
  <c r="AX124" i="9" s="1"/>
  <c r="AF124" i="9"/>
  <c r="AW124" i="9" s="1"/>
  <c r="AE124" i="9"/>
  <c r="AV124" i="9" s="1"/>
  <c r="AD124" i="9"/>
  <c r="AU124" i="9" s="1"/>
  <c r="AC124" i="9"/>
  <c r="AT124" i="9" s="1"/>
  <c r="AB124" i="9"/>
  <c r="AS124" i="9" s="1"/>
  <c r="AA124" i="9"/>
  <c r="AR124" i="9" s="1"/>
  <c r="Z124" i="9"/>
  <c r="AQ124" i="9" s="1"/>
  <c r="Y124" i="9"/>
  <c r="X124" i="9"/>
  <c r="AO124" i="9" s="1"/>
  <c r="BH124" i="9" s="1"/>
  <c r="AM123" i="9"/>
  <c r="BD123" i="9" s="1"/>
  <c r="AL123" i="9"/>
  <c r="BC123" i="9" s="1"/>
  <c r="BL123" i="9" s="1"/>
  <c r="AK123" i="9"/>
  <c r="BB123" i="9" s="1"/>
  <c r="AJ123" i="9"/>
  <c r="BA123" i="9" s="1"/>
  <c r="AI123" i="9"/>
  <c r="AZ123" i="9" s="1"/>
  <c r="AH123" i="9"/>
  <c r="AY123" i="9" s="1"/>
  <c r="AG123" i="9"/>
  <c r="AX123" i="9" s="1"/>
  <c r="AF123" i="9"/>
  <c r="AW123" i="9" s="1"/>
  <c r="AE123" i="9"/>
  <c r="AV123" i="9" s="1"/>
  <c r="AD123" i="9"/>
  <c r="AU123" i="9" s="1"/>
  <c r="AC123" i="9"/>
  <c r="AT123" i="9" s="1"/>
  <c r="AB123" i="9"/>
  <c r="AS123" i="9" s="1"/>
  <c r="AA123" i="9"/>
  <c r="AR123" i="9" s="1"/>
  <c r="Z123" i="9"/>
  <c r="AQ123" i="9" s="1"/>
  <c r="Y123" i="9"/>
  <c r="X123" i="9"/>
  <c r="AO123" i="9" s="1"/>
  <c r="BH123" i="9" s="1"/>
  <c r="AM122" i="9"/>
  <c r="BD122" i="9" s="1"/>
  <c r="AL122" i="9"/>
  <c r="BC122" i="9" s="1"/>
  <c r="BL122" i="9" s="1"/>
  <c r="AK122" i="9"/>
  <c r="BB122" i="9" s="1"/>
  <c r="AJ122" i="9"/>
  <c r="BA122" i="9" s="1"/>
  <c r="AI122" i="9"/>
  <c r="AZ122" i="9" s="1"/>
  <c r="AH122" i="9"/>
  <c r="AY122" i="9" s="1"/>
  <c r="AG122" i="9"/>
  <c r="AX122" i="9" s="1"/>
  <c r="AF122" i="9"/>
  <c r="AW122" i="9" s="1"/>
  <c r="AE122" i="9"/>
  <c r="AV122" i="9" s="1"/>
  <c r="AD122" i="9"/>
  <c r="AU122" i="9" s="1"/>
  <c r="AC122" i="9"/>
  <c r="AT122" i="9" s="1"/>
  <c r="AB122" i="9"/>
  <c r="AS122" i="9" s="1"/>
  <c r="AA122" i="9"/>
  <c r="AR122" i="9" s="1"/>
  <c r="Z122" i="9"/>
  <c r="AQ122" i="9" s="1"/>
  <c r="Y122" i="9"/>
  <c r="X122" i="9"/>
  <c r="AO122" i="9" s="1"/>
  <c r="BH122" i="9" s="1"/>
  <c r="AM121" i="9"/>
  <c r="BD121" i="9" s="1"/>
  <c r="AL121" i="9"/>
  <c r="BC121" i="9" s="1"/>
  <c r="BL121" i="9" s="1"/>
  <c r="AK121" i="9"/>
  <c r="BB121" i="9" s="1"/>
  <c r="AJ121" i="9"/>
  <c r="BA121" i="9" s="1"/>
  <c r="AI121" i="9"/>
  <c r="AZ121" i="9" s="1"/>
  <c r="AH121" i="9"/>
  <c r="AY121" i="9" s="1"/>
  <c r="AG121" i="9"/>
  <c r="AX121" i="9" s="1"/>
  <c r="AF121" i="9"/>
  <c r="AW121" i="9" s="1"/>
  <c r="AE121" i="9"/>
  <c r="AV121" i="9" s="1"/>
  <c r="AD121" i="9"/>
  <c r="AU121" i="9" s="1"/>
  <c r="AC121" i="9"/>
  <c r="AT121" i="9" s="1"/>
  <c r="AB121" i="9"/>
  <c r="AS121" i="9" s="1"/>
  <c r="AA121" i="9"/>
  <c r="AR121" i="9" s="1"/>
  <c r="Z121" i="9"/>
  <c r="AQ121" i="9" s="1"/>
  <c r="Y121" i="9"/>
  <c r="X121" i="9"/>
  <c r="AO121" i="9" s="1"/>
  <c r="BH121" i="9" s="1"/>
  <c r="AM120" i="9"/>
  <c r="BD120" i="9" s="1"/>
  <c r="AL120" i="9"/>
  <c r="BC120" i="9" s="1"/>
  <c r="BL120" i="9" s="1"/>
  <c r="AK120" i="9"/>
  <c r="BB120" i="9" s="1"/>
  <c r="AJ120" i="9"/>
  <c r="BA120" i="9" s="1"/>
  <c r="AI120" i="9"/>
  <c r="AZ120" i="9" s="1"/>
  <c r="AH120" i="9"/>
  <c r="AY120" i="9" s="1"/>
  <c r="AG120" i="9"/>
  <c r="AX120" i="9" s="1"/>
  <c r="AF120" i="9"/>
  <c r="AW120" i="9" s="1"/>
  <c r="AE120" i="9"/>
  <c r="AV120" i="9" s="1"/>
  <c r="AD120" i="9"/>
  <c r="AU120" i="9" s="1"/>
  <c r="AC120" i="9"/>
  <c r="AT120" i="9" s="1"/>
  <c r="AB120" i="9"/>
  <c r="AS120" i="9" s="1"/>
  <c r="AA120" i="9"/>
  <c r="AR120" i="9" s="1"/>
  <c r="Z120" i="9"/>
  <c r="AQ120" i="9" s="1"/>
  <c r="Y120" i="9"/>
  <c r="X120" i="9"/>
  <c r="AO120" i="9" s="1"/>
  <c r="BH120" i="9" s="1"/>
  <c r="AM119" i="9"/>
  <c r="BD119" i="9" s="1"/>
  <c r="AL119" i="9"/>
  <c r="BC119" i="9" s="1"/>
  <c r="BL119" i="9" s="1"/>
  <c r="AK119" i="9"/>
  <c r="BB119" i="9" s="1"/>
  <c r="AJ119" i="9"/>
  <c r="BA119" i="9" s="1"/>
  <c r="AI119" i="9"/>
  <c r="AZ119" i="9" s="1"/>
  <c r="AH119" i="9"/>
  <c r="AY119" i="9" s="1"/>
  <c r="AG119" i="9"/>
  <c r="AX119" i="9" s="1"/>
  <c r="AF119" i="9"/>
  <c r="AW119" i="9" s="1"/>
  <c r="AE119" i="9"/>
  <c r="AV119" i="9" s="1"/>
  <c r="AD119" i="9"/>
  <c r="AU119" i="9" s="1"/>
  <c r="AC119" i="9"/>
  <c r="AT119" i="9" s="1"/>
  <c r="AB119" i="9"/>
  <c r="AS119" i="9" s="1"/>
  <c r="AA119" i="9"/>
  <c r="AR119" i="9" s="1"/>
  <c r="Z119" i="9"/>
  <c r="AQ119" i="9" s="1"/>
  <c r="Y119" i="9"/>
  <c r="X119" i="9"/>
  <c r="AO119" i="9" s="1"/>
  <c r="BH119" i="9" s="1"/>
  <c r="AM118" i="9"/>
  <c r="BD118" i="9" s="1"/>
  <c r="AL118" i="9"/>
  <c r="BC118" i="9" s="1"/>
  <c r="BL118" i="9" s="1"/>
  <c r="AK118" i="9"/>
  <c r="BB118" i="9" s="1"/>
  <c r="AJ118" i="9"/>
  <c r="BA118" i="9" s="1"/>
  <c r="AI118" i="9"/>
  <c r="AZ118" i="9" s="1"/>
  <c r="AH118" i="9"/>
  <c r="AY118" i="9" s="1"/>
  <c r="AG118" i="9"/>
  <c r="AX118" i="9" s="1"/>
  <c r="AF118" i="9"/>
  <c r="AW118" i="9" s="1"/>
  <c r="AE118" i="9"/>
  <c r="AV118" i="9" s="1"/>
  <c r="AD118" i="9"/>
  <c r="AU118" i="9" s="1"/>
  <c r="AC118" i="9"/>
  <c r="AT118" i="9" s="1"/>
  <c r="AB118" i="9"/>
  <c r="AS118" i="9" s="1"/>
  <c r="AA118" i="9"/>
  <c r="AR118" i="9" s="1"/>
  <c r="Z118" i="9"/>
  <c r="AQ118" i="9" s="1"/>
  <c r="Y118" i="9"/>
  <c r="X118" i="9"/>
  <c r="AO118" i="9" s="1"/>
  <c r="BH118" i="9" s="1"/>
  <c r="AM117" i="9"/>
  <c r="BD117" i="9" s="1"/>
  <c r="AL117" i="9"/>
  <c r="BC117" i="9" s="1"/>
  <c r="AK117" i="9"/>
  <c r="BB117" i="9" s="1"/>
  <c r="AJ117" i="9"/>
  <c r="BA117" i="9" s="1"/>
  <c r="AI117" i="9"/>
  <c r="AZ117" i="9" s="1"/>
  <c r="AH117" i="9"/>
  <c r="AY117" i="9" s="1"/>
  <c r="AG117" i="9"/>
  <c r="AX117" i="9" s="1"/>
  <c r="AF117" i="9"/>
  <c r="AW117" i="9" s="1"/>
  <c r="AE117" i="9"/>
  <c r="AV117" i="9" s="1"/>
  <c r="AD117" i="9"/>
  <c r="AU117" i="9" s="1"/>
  <c r="AC117" i="9"/>
  <c r="AT117" i="9" s="1"/>
  <c r="AB117" i="9"/>
  <c r="AS117" i="9" s="1"/>
  <c r="AA117" i="9"/>
  <c r="AR117" i="9" s="1"/>
  <c r="Z117" i="9"/>
  <c r="AQ117" i="9" s="1"/>
  <c r="Y117" i="9"/>
  <c r="X117" i="9"/>
  <c r="AO117" i="9" s="1"/>
  <c r="AM116" i="9"/>
  <c r="BD116" i="9" s="1"/>
  <c r="AL116" i="9"/>
  <c r="BC116" i="9" s="1"/>
  <c r="BL116" i="9" s="1"/>
  <c r="AK116" i="9"/>
  <c r="BB116" i="9" s="1"/>
  <c r="AJ116" i="9"/>
  <c r="BA116" i="9" s="1"/>
  <c r="AI116" i="9"/>
  <c r="AZ116" i="9" s="1"/>
  <c r="AH116" i="9"/>
  <c r="AY116" i="9" s="1"/>
  <c r="AG116" i="9"/>
  <c r="AX116" i="9" s="1"/>
  <c r="AF116" i="9"/>
  <c r="AW116" i="9" s="1"/>
  <c r="AE116" i="9"/>
  <c r="AV116" i="9" s="1"/>
  <c r="AD116" i="9"/>
  <c r="AU116" i="9" s="1"/>
  <c r="AC116" i="9"/>
  <c r="AT116" i="9" s="1"/>
  <c r="AB116" i="9"/>
  <c r="AS116" i="9" s="1"/>
  <c r="AA116" i="9"/>
  <c r="AR116" i="9" s="1"/>
  <c r="Z116" i="9"/>
  <c r="AQ116" i="9" s="1"/>
  <c r="Y116" i="9"/>
  <c r="X116" i="9"/>
  <c r="AO116" i="9" s="1"/>
  <c r="BH116" i="9" s="1"/>
  <c r="AM115" i="9"/>
  <c r="BD115" i="9" s="1"/>
  <c r="AL115" i="9"/>
  <c r="BC115" i="9" s="1"/>
  <c r="BL115" i="9" s="1"/>
  <c r="AK115" i="9"/>
  <c r="BB115" i="9" s="1"/>
  <c r="AJ115" i="9"/>
  <c r="BA115" i="9" s="1"/>
  <c r="AI115" i="9"/>
  <c r="AZ115" i="9" s="1"/>
  <c r="AH115" i="9"/>
  <c r="AY115" i="9" s="1"/>
  <c r="AG115" i="9"/>
  <c r="AX115" i="9" s="1"/>
  <c r="AF115" i="9"/>
  <c r="AW115" i="9" s="1"/>
  <c r="AE115" i="9"/>
  <c r="AV115" i="9" s="1"/>
  <c r="AD115" i="9"/>
  <c r="AU115" i="9" s="1"/>
  <c r="AC115" i="9"/>
  <c r="AT115" i="9" s="1"/>
  <c r="AB115" i="9"/>
  <c r="AS115" i="9" s="1"/>
  <c r="AA115" i="9"/>
  <c r="AR115" i="9" s="1"/>
  <c r="Z115" i="9"/>
  <c r="AQ115" i="9" s="1"/>
  <c r="Y115" i="9"/>
  <c r="X115" i="9"/>
  <c r="AO115" i="9" s="1"/>
  <c r="BH115" i="9" s="1"/>
  <c r="AM114" i="9"/>
  <c r="BD114" i="9" s="1"/>
  <c r="AL114" i="9"/>
  <c r="BC114" i="9" s="1"/>
  <c r="BL114" i="9" s="1"/>
  <c r="AK114" i="9"/>
  <c r="BB114" i="9" s="1"/>
  <c r="AJ114" i="9"/>
  <c r="BA114" i="9" s="1"/>
  <c r="AI114" i="9"/>
  <c r="AZ114" i="9" s="1"/>
  <c r="AH114" i="9"/>
  <c r="AY114" i="9" s="1"/>
  <c r="AG114" i="9"/>
  <c r="AX114" i="9" s="1"/>
  <c r="AF114" i="9"/>
  <c r="AW114" i="9" s="1"/>
  <c r="AE114" i="9"/>
  <c r="AV114" i="9" s="1"/>
  <c r="AD114" i="9"/>
  <c r="AU114" i="9" s="1"/>
  <c r="AC114" i="9"/>
  <c r="AT114" i="9" s="1"/>
  <c r="AB114" i="9"/>
  <c r="AS114" i="9" s="1"/>
  <c r="AA114" i="9"/>
  <c r="AR114" i="9" s="1"/>
  <c r="Z114" i="9"/>
  <c r="AQ114" i="9" s="1"/>
  <c r="Y114" i="9"/>
  <c r="X114" i="9"/>
  <c r="AO114" i="9" s="1"/>
  <c r="BH114" i="9" s="1"/>
  <c r="AM113" i="9"/>
  <c r="BD113" i="9" s="1"/>
  <c r="AL113" i="9"/>
  <c r="BC113" i="9" s="1"/>
  <c r="AK113" i="9"/>
  <c r="BB113" i="9" s="1"/>
  <c r="AJ113" i="9"/>
  <c r="BA113" i="9" s="1"/>
  <c r="AI113" i="9"/>
  <c r="AZ113" i="9" s="1"/>
  <c r="AH113" i="9"/>
  <c r="AY113" i="9" s="1"/>
  <c r="AG113" i="9"/>
  <c r="AX113" i="9" s="1"/>
  <c r="AF113" i="9"/>
  <c r="AW113" i="9" s="1"/>
  <c r="AE113" i="9"/>
  <c r="AV113" i="9" s="1"/>
  <c r="AD113" i="9"/>
  <c r="AU113" i="9" s="1"/>
  <c r="AC113" i="9"/>
  <c r="AT113" i="9" s="1"/>
  <c r="AB113" i="9"/>
  <c r="AS113" i="9" s="1"/>
  <c r="AA113" i="9"/>
  <c r="AR113" i="9" s="1"/>
  <c r="Z113" i="9"/>
  <c r="AQ113" i="9" s="1"/>
  <c r="Y113" i="9"/>
  <c r="X113" i="9"/>
  <c r="AO113" i="9" s="1"/>
  <c r="BH113" i="9" s="1"/>
  <c r="BH112" i="9" s="1"/>
  <c r="AM112" i="9"/>
  <c r="BD112" i="9" s="1"/>
  <c r="AL112" i="9"/>
  <c r="BC112" i="9" s="1"/>
  <c r="AK112" i="9"/>
  <c r="BB112" i="9" s="1"/>
  <c r="AJ112" i="9"/>
  <c r="BA112" i="9" s="1"/>
  <c r="AI112" i="9"/>
  <c r="AZ112" i="9" s="1"/>
  <c r="AH112" i="9"/>
  <c r="AY112" i="9" s="1"/>
  <c r="AG112" i="9"/>
  <c r="AX112" i="9" s="1"/>
  <c r="AF112" i="9"/>
  <c r="AW112" i="9" s="1"/>
  <c r="AE112" i="9"/>
  <c r="AV112" i="9" s="1"/>
  <c r="AD112" i="9"/>
  <c r="AU112" i="9" s="1"/>
  <c r="AC112" i="9"/>
  <c r="AT112" i="9" s="1"/>
  <c r="AB112" i="9"/>
  <c r="AS112" i="9" s="1"/>
  <c r="AA112" i="9"/>
  <c r="AR112" i="9" s="1"/>
  <c r="Z112" i="9"/>
  <c r="AQ112" i="9" s="1"/>
  <c r="Y112" i="9"/>
  <c r="X112" i="9"/>
  <c r="AO112" i="9" s="1"/>
  <c r="AM104" i="9"/>
  <c r="BD104" i="9" s="1"/>
  <c r="AL104" i="9"/>
  <c r="BC104" i="9" s="1"/>
  <c r="AK104" i="9"/>
  <c r="BB104" i="9" s="1"/>
  <c r="AJ104" i="9"/>
  <c r="BA104" i="9" s="1"/>
  <c r="AI104" i="9"/>
  <c r="AZ104" i="9" s="1"/>
  <c r="AH104" i="9"/>
  <c r="AY104" i="9" s="1"/>
  <c r="AG104" i="9"/>
  <c r="AX104" i="9" s="1"/>
  <c r="AF104" i="9"/>
  <c r="AW104" i="9" s="1"/>
  <c r="AE104" i="9"/>
  <c r="AV104" i="9" s="1"/>
  <c r="AD104" i="9"/>
  <c r="AU104" i="9" s="1"/>
  <c r="AC104" i="9"/>
  <c r="AT104" i="9" s="1"/>
  <c r="AB104" i="9"/>
  <c r="AS104" i="9" s="1"/>
  <c r="AA104" i="9"/>
  <c r="AR104" i="9" s="1"/>
  <c r="Z104" i="9"/>
  <c r="AQ104" i="9" s="1"/>
  <c r="Y104" i="9"/>
  <c r="X104" i="9"/>
  <c r="AO104" i="9" s="1"/>
  <c r="BH104" i="9" s="1"/>
  <c r="AM103" i="9"/>
  <c r="BD103" i="9" s="1"/>
  <c r="AL103" i="9"/>
  <c r="BC103" i="9" s="1"/>
  <c r="AK103" i="9"/>
  <c r="BB103" i="9" s="1"/>
  <c r="AJ103" i="9"/>
  <c r="BA103" i="9" s="1"/>
  <c r="AI103" i="9"/>
  <c r="AZ103" i="9" s="1"/>
  <c r="AH103" i="9"/>
  <c r="AY103" i="9" s="1"/>
  <c r="AG103" i="9"/>
  <c r="AX103" i="9" s="1"/>
  <c r="AF103" i="9"/>
  <c r="AW103" i="9" s="1"/>
  <c r="AE103" i="9"/>
  <c r="AV103" i="9" s="1"/>
  <c r="AD103" i="9"/>
  <c r="AU103" i="9" s="1"/>
  <c r="AC103" i="9"/>
  <c r="AT103" i="9" s="1"/>
  <c r="AB103" i="9"/>
  <c r="AS103" i="9" s="1"/>
  <c r="AA103" i="9"/>
  <c r="AR103" i="9" s="1"/>
  <c r="Z103" i="9"/>
  <c r="AQ103" i="9" s="1"/>
  <c r="Y103" i="9"/>
  <c r="X103" i="9"/>
  <c r="AO103" i="9" s="1"/>
  <c r="BH103" i="9" s="1"/>
  <c r="AM102" i="9"/>
  <c r="BD102" i="9" s="1"/>
  <c r="AL102" i="9"/>
  <c r="BC102" i="9" s="1"/>
  <c r="AK102" i="9"/>
  <c r="BB102" i="9" s="1"/>
  <c r="AJ102" i="9"/>
  <c r="BA102" i="9" s="1"/>
  <c r="AI102" i="9"/>
  <c r="AZ102" i="9" s="1"/>
  <c r="AH102" i="9"/>
  <c r="AY102" i="9" s="1"/>
  <c r="AG102" i="9"/>
  <c r="AX102" i="9" s="1"/>
  <c r="AF102" i="9"/>
  <c r="AW102" i="9" s="1"/>
  <c r="AE102" i="9"/>
  <c r="AV102" i="9" s="1"/>
  <c r="AD102" i="9"/>
  <c r="AU102" i="9" s="1"/>
  <c r="AC102" i="9"/>
  <c r="AT102" i="9" s="1"/>
  <c r="AB102" i="9"/>
  <c r="AS102" i="9" s="1"/>
  <c r="AA102" i="9"/>
  <c r="AR102" i="9" s="1"/>
  <c r="Z102" i="9"/>
  <c r="AQ102" i="9" s="1"/>
  <c r="Y102" i="9"/>
  <c r="X102" i="9"/>
  <c r="AO102" i="9" s="1"/>
  <c r="BH102" i="9" s="1"/>
  <c r="BH101" i="9" s="1"/>
  <c r="AM101" i="9"/>
  <c r="BD101" i="9" s="1"/>
  <c r="AL101" i="9"/>
  <c r="BC101" i="9" s="1"/>
  <c r="AK101" i="9"/>
  <c r="BB101" i="9" s="1"/>
  <c r="AJ101" i="9"/>
  <c r="BA101" i="9" s="1"/>
  <c r="AI101" i="9"/>
  <c r="AZ101" i="9" s="1"/>
  <c r="AH101" i="9"/>
  <c r="AY101" i="9" s="1"/>
  <c r="AG101" i="9"/>
  <c r="AX101" i="9" s="1"/>
  <c r="AF101" i="9"/>
  <c r="AW101" i="9" s="1"/>
  <c r="AE101" i="9"/>
  <c r="AV101" i="9" s="1"/>
  <c r="AD101" i="9"/>
  <c r="AU101" i="9" s="1"/>
  <c r="AC101" i="9"/>
  <c r="AT101" i="9" s="1"/>
  <c r="AB101" i="9"/>
  <c r="AS101" i="9" s="1"/>
  <c r="AA101" i="9"/>
  <c r="AR101" i="9" s="1"/>
  <c r="Z101" i="9"/>
  <c r="AQ101" i="9" s="1"/>
  <c r="Y101" i="9"/>
  <c r="X101" i="9"/>
  <c r="AO101" i="9" s="1"/>
  <c r="AM97" i="9"/>
  <c r="BD97" i="9" s="1"/>
  <c r="AL97" i="9"/>
  <c r="BC97" i="9" s="1"/>
  <c r="AK97" i="9"/>
  <c r="BB97" i="9" s="1"/>
  <c r="AJ97" i="9"/>
  <c r="BA97" i="9" s="1"/>
  <c r="AI97" i="9"/>
  <c r="AZ97" i="9" s="1"/>
  <c r="AH97" i="9"/>
  <c r="AY97" i="9" s="1"/>
  <c r="AG97" i="9"/>
  <c r="AX97" i="9" s="1"/>
  <c r="AF97" i="9"/>
  <c r="AW97" i="9" s="1"/>
  <c r="AE97" i="9"/>
  <c r="AV97" i="9" s="1"/>
  <c r="AD97" i="9"/>
  <c r="AU97" i="9" s="1"/>
  <c r="AC97" i="9"/>
  <c r="AT97" i="9" s="1"/>
  <c r="AB97" i="9"/>
  <c r="AS97" i="9" s="1"/>
  <c r="AA97" i="9"/>
  <c r="AR97" i="9" s="1"/>
  <c r="Z97" i="9"/>
  <c r="AQ97" i="9" s="1"/>
  <c r="Y97" i="9"/>
  <c r="X97" i="9"/>
  <c r="AO97" i="9" s="1"/>
  <c r="BH97" i="9" s="1"/>
  <c r="AM96" i="9"/>
  <c r="BD96" i="9" s="1"/>
  <c r="AL96" i="9"/>
  <c r="BC96" i="9" s="1"/>
  <c r="AK96" i="9"/>
  <c r="BB96" i="9" s="1"/>
  <c r="AJ96" i="9"/>
  <c r="BA96" i="9" s="1"/>
  <c r="AI96" i="9"/>
  <c r="AZ96" i="9" s="1"/>
  <c r="AH96" i="9"/>
  <c r="AY96" i="9" s="1"/>
  <c r="AG96" i="9"/>
  <c r="AX96" i="9" s="1"/>
  <c r="AF96" i="9"/>
  <c r="AW96" i="9" s="1"/>
  <c r="AE96" i="9"/>
  <c r="AV96" i="9" s="1"/>
  <c r="AD96" i="9"/>
  <c r="AU96" i="9" s="1"/>
  <c r="AC96" i="9"/>
  <c r="AT96" i="9" s="1"/>
  <c r="AB96" i="9"/>
  <c r="AS96" i="9" s="1"/>
  <c r="AA96" i="9"/>
  <c r="AR96" i="9" s="1"/>
  <c r="Z96" i="9"/>
  <c r="AQ96" i="9" s="1"/>
  <c r="Y96" i="9"/>
  <c r="X96" i="9"/>
  <c r="AO96" i="9" s="1"/>
  <c r="BH96" i="9" s="1"/>
  <c r="AM100" i="9"/>
  <c r="BD100" i="9" s="1"/>
  <c r="AL100" i="9"/>
  <c r="BC100" i="9" s="1"/>
  <c r="AK100" i="9"/>
  <c r="BB100" i="9" s="1"/>
  <c r="AJ100" i="9"/>
  <c r="BA100" i="9" s="1"/>
  <c r="AI100" i="9"/>
  <c r="AZ100" i="9" s="1"/>
  <c r="AH100" i="9"/>
  <c r="AY100" i="9" s="1"/>
  <c r="AG100" i="9"/>
  <c r="AX100" i="9" s="1"/>
  <c r="AF100" i="9"/>
  <c r="AW100" i="9" s="1"/>
  <c r="AE100" i="9"/>
  <c r="AV100" i="9" s="1"/>
  <c r="AD100" i="9"/>
  <c r="AU100" i="9" s="1"/>
  <c r="AC100" i="9"/>
  <c r="AT100" i="9" s="1"/>
  <c r="AB100" i="9"/>
  <c r="AS100" i="9" s="1"/>
  <c r="AA100" i="9"/>
  <c r="AR100" i="9" s="1"/>
  <c r="Z100" i="9"/>
  <c r="AQ100" i="9" s="1"/>
  <c r="Y100" i="9"/>
  <c r="X100" i="9"/>
  <c r="AO100" i="9" s="1"/>
  <c r="BH100" i="9" s="1"/>
  <c r="AM99" i="9"/>
  <c r="BD99" i="9" s="1"/>
  <c r="AL99" i="9"/>
  <c r="BC99" i="9" s="1"/>
  <c r="AK99" i="9"/>
  <c r="BB99" i="9" s="1"/>
  <c r="AJ99" i="9"/>
  <c r="BA99" i="9" s="1"/>
  <c r="AI99" i="9"/>
  <c r="AZ99" i="9" s="1"/>
  <c r="AH99" i="9"/>
  <c r="AY99" i="9" s="1"/>
  <c r="AG99" i="9"/>
  <c r="AX99" i="9" s="1"/>
  <c r="AF99" i="9"/>
  <c r="AW99" i="9" s="1"/>
  <c r="AE99" i="9"/>
  <c r="AV99" i="9" s="1"/>
  <c r="AD99" i="9"/>
  <c r="AU99" i="9" s="1"/>
  <c r="AC99" i="9"/>
  <c r="AT99" i="9" s="1"/>
  <c r="AB99" i="9"/>
  <c r="AS99" i="9" s="1"/>
  <c r="AA99" i="9"/>
  <c r="AR99" i="9" s="1"/>
  <c r="Z99" i="9"/>
  <c r="AQ99" i="9" s="1"/>
  <c r="Y99" i="9"/>
  <c r="X99" i="9"/>
  <c r="AO99" i="9" s="1"/>
  <c r="BH99" i="9" s="1"/>
  <c r="AM98" i="9"/>
  <c r="BD98" i="9" s="1"/>
  <c r="AL98" i="9"/>
  <c r="BC98" i="9" s="1"/>
  <c r="AK98" i="9"/>
  <c r="BB98" i="9" s="1"/>
  <c r="AJ98" i="9"/>
  <c r="BA98" i="9" s="1"/>
  <c r="AI98" i="9"/>
  <c r="AZ98" i="9" s="1"/>
  <c r="AH98" i="9"/>
  <c r="AY98" i="9" s="1"/>
  <c r="AG98" i="9"/>
  <c r="AX98" i="9" s="1"/>
  <c r="AF98" i="9"/>
  <c r="AW98" i="9" s="1"/>
  <c r="AE98" i="9"/>
  <c r="AV98" i="9" s="1"/>
  <c r="AD98" i="9"/>
  <c r="AU98" i="9" s="1"/>
  <c r="AC98" i="9"/>
  <c r="AT98" i="9" s="1"/>
  <c r="AB98" i="9"/>
  <c r="AS98" i="9" s="1"/>
  <c r="AA98" i="9"/>
  <c r="AR98" i="9" s="1"/>
  <c r="Z98" i="9"/>
  <c r="AQ98" i="9" s="1"/>
  <c r="Y98" i="9"/>
  <c r="X98" i="9"/>
  <c r="AO98" i="9" s="1"/>
  <c r="BH98" i="9" s="1"/>
  <c r="AM95" i="9"/>
  <c r="BD95" i="9" s="1"/>
  <c r="AL95" i="9"/>
  <c r="BC95" i="9" s="1"/>
  <c r="AK95" i="9"/>
  <c r="BB95" i="9" s="1"/>
  <c r="AJ95" i="9"/>
  <c r="BA95" i="9" s="1"/>
  <c r="AI95" i="9"/>
  <c r="AZ95" i="9" s="1"/>
  <c r="AH95" i="9"/>
  <c r="AY95" i="9" s="1"/>
  <c r="AG95" i="9"/>
  <c r="AX95" i="9" s="1"/>
  <c r="AF95" i="9"/>
  <c r="AW95" i="9" s="1"/>
  <c r="AE95" i="9"/>
  <c r="AV95" i="9" s="1"/>
  <c r="AD95" i="9"/>
  <c r="AU95" i="9" s="1"/>
  <c r="AC95" i="9"/>
  <c r="AT95" i="9" s="1"/>
  <c r="AB95" i="9"/>
  <c r="AS95" i="9" s="1"/>
  <c r="AA95" i="9"/>
  <c r="AR95" i="9" s="1"/>
  <c r="Z95" i="9"/>
  <c r="AQ95" i="9" s="1"/>
  <c r="Y95" i="9"/>
  <c r="X95" i="9"/>
  <c r="AO95" i="9" s="1"/>
  <c r="BH95" i="9" s="1"/>
  <c r="AM94" i="9"/>
  <c r="BD94" i="9" s="1"/>
  <c r="AL94" i="9"/>
  <c r="BC94" i="9" s="1"/>
  <c r="AK94" i="9"/>
  <c r="BB94" i="9" s="1"/>
  <c r="AJ94" i="9"/>
  <c r="BA94" i="9" s="1"/>
  <c r="AI94" i="9"/>
  <c r="AZ94" i="9" s="1"/>
  <c r="AH94" i="9"/>
  <c r="AY94" i="9" s="1"/>
  <c r="AG94" i="9"/>
  <c r="AX94" i="9" s="1"/>
  <c r="AF94" i="9"/>
  <c r="AW94" i="9" s="1"/>
  <c r="AE94" i="9"/>
  <c r="AV94" i="9" s="1"/>
  <c r="AD94" i="9"/>
  <c r="AU94" i="9" s="1"/>
  <c r="AC94" i="9"/>
  <c r="AT94" i="9" s="1"/>
  <c r="AB94" i="9"/>
  <c r="AS94" i="9" s="1"/>
  <c r="AA94" i="9"/>
  <c r="AR94" i="9" s="1"/>
  <c r="Z94" i="9"/>
  <c r="AQ94" i="9" s="1"/>
  <c r="Y94" i="9"/>
  <c r="X94" i="9"/>
  <c r="AO94" i="9" s="1"/>
  <c r="BH94" i="9" s="1"/>
  <c r="AM93" i="9"/>
  <c r="BD93" i="9" s="1"/>
  <c r="AL93" i="9"/>
  <c r="BC93" i="9" s="1"/>
  <c r="AK93" i="9"/>
  <c r="BB93" i="9" s="1"/>
  <c r="AJ93" i="9"/>
  <c r="BA93" i="9" s="1"/>
  <c r="AI93" i="9"/>
  <c r="AZ93" i="9" s="1"/>
  <c r="AH93" i="9"/>
  <c r="AY93" i="9" s="1"/>
  <c r="AG93" i="9"/>
  <c r="AX93" i="9" s="1"/>
  <c r="AF93" i="9"/>
  <c r="AW93" i="9" s="1"/>
  <c r="AE93" i="9"/>
  <c r="AV93" i="9" s="1"/>
  <c r="AD93" i="9"/>
  <c r="AU93" i="9" s="1"/>
  <c r="AC93" i="9"/>
  <c r="AT93" i="9" s="1"/>
  <c r="AB93" i="9"/>
  <c r="AS93" i="9" s="1"/>
  <c r="AA93" i="9"/>
  <c r="AR93" i="9" s="1"/>
  <c r="Z93" i="9"/>
  <c r="AQ93" i="9" s="1"/>
  <c r="Y93" i="9"/>
  <c r="X93" i="9"/>
  <c r="AO93" i="9" s="1"/>
  <c r="AM92" i="9"/>
  <c r="BD92" i="9" s="1"/>
  <c r="AL92" i="9"/>
  <c r="BC92" i="9" s="1"/>
  <c r="AK92" i="9"/>
  <c r="BB92" i="9" s="1"/>
  <c r="AJ92" i="9"/>
  <c r="BA92" i="9" s="1"/>
  <c r="AI92" i="9"/>
  <c r="AZ92" i="9" s="1"/>
  <c r="AH92" i="9"/>
  <c r="AY92" i="9" s="1"/>
  <c r="AG92" i="9"/>
  <c r="AX92" i="9" s="1"/>
  <c r="AF92" i="9"/>
  <c r="AW92" i="9" s="1"/>
  <c r="AE92" i="9"/>
  <c r="AV92" i="9" s="1"/>
  <c r="AD92" i="9"/>
  <c r="AU92" i="9" s="1"/>
  <c r="AC92" i="9"/>
  <c r="AT92" i="9" s="1"/>
  <c r="AB92" i="9"/>
  <c r="AS92" i="9" s="1"/>
  <c r="AA92" i="9"/>
  <c r="AR92" i="9" s="1"/>
  <c r="Z92" i="9"/>
  <c r="AQ92" i="9" s="1"/>
  <c r="Y92" i="9"/>
  <c r="X92" i="9"/>
  <c r="AO92" i="9" s="1"/>
  <c r="AM91" i="9"/>
  <c r="BD91" i="9" s="1"/>
  <c r="AL91" i="9"/>
  <c r="BC91" i="9" s="1"/>
  <c r="AK91" i="9"/>
  <c r="BB91" i="9" s="1"/>
  <c r="AJ91" i="9"/>
  <c r="BA91" i="9" s="1"/>
  <c r="AI91" i="9"/>
  <c r="AZ91" i="9" s="1"/>
  <c r="AH91" i="9"/>
  <c r="AY91" i="9" s="1"/>
  <c r="AG91" i="9"/>
  <c r="AX91" i="9" s="1"/>
  <c r="AF91" i="9"/>
  <c r="AW91" i="9" s="1"/>
  <c r="AE91" i="9"/>
  <c r="AV91" i="9" s="1"/>
  <c r="AD91" i="9"/>
  <c r="AU91" i="9" s="1"/>
  <c r="AC91" i="9"/>
  <c r="AT91" i="9" s="1"/>
  <c r="AB91" i="9"/>
  <c r="AS91" i="9" s="1"/>
  <c r="AA91" i="9"/>
  <c r="AR91" i="9" s="1"/>
  <c r="Z91" i="9"/>
  <c r="AQ91" i="9" s="1"/>
  <c r="Y91" i="9"/>
  <c r="X91" i="9"/>
  <c r="AO91" i="9" s="1"/>
  <c r="BH91" i="9" s="1"/>
  <c r="AM90" i="9"/>
  <c r="BD90" i="9" s="1"/>
  <c r="AL90" i="9"/>
  <c r="BC90" i="9" s="1"/>
  <c r="AK90" i="9"/>
  <c r="BB90" i="9" s="1"/>
  <c r="AJ90" i="9"/>
  <c r="BA90" i="9" s="1"/>
  <c r="AI90" i="9"/>
  <c r="AZ90" i="9" s="1"/>
  <c r="AH90" i="9"/>
  <c r="AY90" i="9" s="1"/>
  <c r="AG90" i="9"/>
  <c r="AX90" i="9" s="1"/>
  <c r="AF90" i="9"/>
  <c r="AW90" i="9" s="1"/>
  <c r="AE90" i="9"/>
  <c r="AV90" i="9" s="1"/>
  <c r="AD90" i="9"/>
  <c r="AU90" i="9" s="1"/>
  <c r="AC90" i="9"/>
  <c r="AT90" i="9" s="1"/>
  <c r="AB90" i="9"/>
  <c r="AS90" i="9" s="1"/>
  <c r="AA90" i="9"/>
  <c r="AR90" i="9" s="1"/>
  <c r="Z90" i="9"/>
  <c r="AQ90" i="9" s="1"/>
  <c r="Y90" i="9"/>
  <c r="X90" i="9"/>
  <c r="AO90" i="9" s="1"/>
  <c r="BH90" i="9" s="1"/>
  <c r="AM89" i="9"/>
  <c r="BD89" i="9" s="1"/>
  <c r="AL89" i="9"/>
  <c r="BC89" i="9" s="1"/>
  <c r="AK89" i="9"/>
  <c r="BB89" i="9" s="1"/>
  <c r="AJ89" i="9"/>
  <c r="BA89" i="9" s="1"/>
  <c r="AI89" i="9"/>
  <c r="AZ89" i="9" s="1"/>
  <c r="AH89" i="9"/>
  <c r="AY89" i="9" s="1"/>
  <c r="AG89" i="9"/>
  <c r="AX89" i="9" s="1"/>
  <c r="AF89" i="9"/>
  <c r="AW89" i="9" s="1"/>
  <c r="AE89" i="9"/>
  <c r="AV89" i="9" s="1"/>
  <c r="AD89" i="9"/>
  <c r="AU89" i="9" s="1"/>
  <c r="AC89" i="9"/>
  <c r="AT89" i="9" s="1"/>
  <c r="AB89" i="9"/>
  <c r="AS89" i="9" s="1"/>
  <c r="AA89" i="9"/>
  <c r="AR89" i="9" s="1"/>
  <c r="Z89" i="9"/>
  <c r="AQ89" i="9" s="1"/>
  <c r="Y89" i="9"/>
  <c r="X89" i="9"/>
  <c r="AO89" i="9" s="1"/>
  <c r="BH89" i="9" s="1"/>
  <c r="AM88" i="9"/>
  <c r="BD88" i="9" s="1"/>
  <c r="AL88" i="9"/>
  <c r="BC88" i="9" s="1"/>
  <c r="AK88" i="9"/>
  <c r="BB88" i="9" s="1"/>
  <c r="AJ88" i="9"/>
  <c r="BA88" i="9" s="1"/>
  <c r="AI88" i="9"/>
  <c r="AZ88" i="9" s="1"/>
  <c r="AH88" i="9"/>
  <c r="AY88" i="9" s="1"/>
  <c r="AG88" i="9"/>
  <c r="AX88" i="9" s="1"/>
  <c r="AF88" i="9"/>
  <c r="AW88" i="9" s="1"/>
  <c r="AE88" i="9"/>
  <c r="AV88" i="9" s="1"/>
  <c r="AD88" i="9"/>
  <c r="AU88" i="9" s="1"/>
  <c r="AC88" i="9"/>
  <c r="AT88" i="9" s="1"/>
  <c r="AB88" i="9"/>
  <c r="AS88" i="9" s="1"/>
  <c r="AA88" i="9"/>
  <c r="AR88" i="9" s="1"/>
  <c r="Z88" i="9"/>
  <c r="AQ88" i="9" s="1"/>
  <c r="Y88" i="9"/>
  <c r="X88" i="9"/>
  <c r="AO88" i="9" s="1"/>
  <c r="BH88" i="9" s="1"/>
  <c r="AM87" i="9"/>
  <c r="BD87" i="9" s="1"/>
  <c r="AL87" i="9"/>
  <c r="BC87" i="9" s="1"/>
  <c r="AK87" i="9"/>
  <c r="BB87" i="9" s="1"/>
  <c r="AJ87" i="9"/>
  <c r="BA87" i="9" s="1"/>
  <c r="AI87" i="9"/>
  <c r="AZ87" i="9" s="1"/>
  <c r="AH87" i="9"/>
  <c r="AY87" i="9" s="1"/>
  <c r="AG87" i="9"/>
  <c r="AX87" i="9" s="1"/>
  <c r="AF87" i="9"/>
  <c r="AW87" i="9" s="1"/>
  <c r="AE87" i="9"/>
  <c r="AV87" i="9" s="1"/>
  <c r="AD87" i="9"/>
  <c r="AU87" i="9" s="1"/>
  <c r="AC87" i="9"/>
  <c r="AT87" i="9" s="1"/>
  <c r="AB87" i="9"/>
  <c r="AS87" i="9" s="1"/>
  <c r="AA87" i="9"/>
  <c r="AR87" i="9" s="1"/>
  <c r="Z87" i="9"/>
  <c r="AQ87" i="9" s="1"/>
  <c r="Y87" i="9"/>
  <c r="X87" i="9"/>
  <c r="AO87" i="9" s="1"/>
  <c r="BH87" i="9" s="1"/>
  <c r="AM86" i="9"/>
  <c r="BD86" i="9" s="1"/>
  <c r="AL86" i="9"/>
  <c r="BC86" i="9" s="1"/>
  <c r="AK86" i="9"/>
  <c r="BB86" i="9" s="1"/>
  <c r="AJ86" i="9"/>
  <c r="BA86" i="9" s="1"/>
  <c r="AI86" i="9"/>
  <c r="AZ86" i="9" s="1"/>
  <c r="AH86" i="9"/>
  <c r="AY86" i="9" s="1"/>
  <c r="AG86" i="9"/>
  <c r="AX86" i="9" s="1"/>
  <c r="AF86" i="9"/>
  <c r="AW86" i="9" s="1"/>
  <c r="AE86" i="9"/>
  <c r="AV86" i="9" s="1"/>
  <c r="AD86" i="9"/>
  <c r="AU86" i="9" s="1"/>
  <c r="AC86" i="9"/>
  <c r="AT86" i="9" s="1"/>
  <c r="AB86" i="9"/>
  <c r="AS86" i="9" s="1"/>
  <c r="AA86" i="9"/>
  <c r="AR86" i="9" s="1"/>
  <c r="Z86" i="9"/>
  <c r="AQ86" i="9" s="1"/>
  <c r="Y86" i="9"/>
  <c r="X86" i="9"/>
  <c r="AO86" i="9" s="1"/>
  <c r="BH86" i="9" s="1"/>
  <c r="AM85" i="9"/>
  <c r="BD85" i="9" s="1"/>
  <c r="AL85" i="9"/>
  <c r="BC85" i="9" s="1"/>
  <c r="AK85" i="9"/>
  <c r="BB85" i="9" s="1"/>
  <c r="AJ85" i="9"/>
  <c r="BA85" i="9" s="1"/>
  <c r="AI85" i="9"/>
  <c r="AZ85" i="9" s="1"/>
  <c r="AH85" i="9"/>
  <c r="AY85" i="9" s="1"/>
  <c r="AG85" i="9"/>
  <c r="AX85" i="9" s="1"/>
  <c r="AF85" i="9"/>
  <c r="AW85" i="9" s="1"/>
  <c r="AE85" i="9"/>
  <c r="AV85" i="9" s="1"/>
  <c r="AD85" i="9"/>
  <c r="AU85" i="9" s="1"/>
  <c r="AC85" i="9"/>
  <c r="AT85" i="9" s="1"/>
  <c r="AB85" i="9"/>
  <c r="AA85" i="9"/>
  <c r="AR85" i="9" s="1"/>
  <c r="Z85" i="9"/>
  <c r="Y85" i="9"/>
  <c r="X85" i="9"/>
  <c r="AO85" i="9" s="1"/>
  <c r="BH85" i="9" s="1"/>
  <c r="AM83" i="9"/>
  <c r="BD83" i="9" s="1"/>
  <c r="AL83" i="9"/>
  <c r="BC83" i="9" s="1"/>
  <c r="AK83" i="9"/>
  <c r="BB83" i="9" s="1"/>
  <c r="AJ83" i="9"/>
  <c r="BA83" i="9" s="1"/>
  <c r="AI83" i="9"/>
  <c r="AZ83" i="9" s="1"/>
  <c r="AH83" i="9"/>
  <c r="AY83" i="9" s="1"/>
  <c r="AG83" i="9"/>
  <c r="AX83" i="9" s="1"/>
  <c r="AF83" i="9"/>
  <c r="AW83" i="9" s="1"/>
  <c r="AE83" i="9"/>
  <c r="AV83" i="9" s="1"/>
  <c r="AD83" i="9"/>
  <c r="AU83" i="9" s="1"/>
  <c r="AC83" i="9"/>
  <c r="AT83" i="9" s="1"/>
  <c r="AB83" i="9"/>
  <c r="AA83" i="9"/>
  <c r="AR83" i="9" s="1"/>
  <c r="Z83" i="9"/>
  <c r="Y83" i="9"/>
  <c r="X83" i="9"/>
  <c r="AO83" i="9" s="1"/>
  <c r="BH83" i="9" s="1"/>
  <c r="AM82" i="9"/>
  <c r="BD82" i="9" s="1"/>
  <c r="AL82" i="9"/>
  <c r="BC82" i="9" s="1"/>
  <c r="AK82" i="9"/>
  <c r="BB82" i="9" s="1"/>
  <c r="AJ82" i="9"/>
  <c r="BA82" i="9" s="1"/>
  <c r="AI82" i="9"/>
  <c r="AZ82" i="9" s="1"/>
  <c r="AH82" i="9"/>
  <c r="AY82" i="9" s="1"/>
  <c r="AG82" i="9"/>
  <c r="AX82" i="9" s="1"/>
  <c r="AF82" i="9"/>
  <c r="AW82" i="9" s="1"/>
  <c r="AE82" i="9"/>
  <c r="AV82" i="9" s="1"/>
  <c r="AD82" i="9"/>
  <c r="AU82" i="9" s="1"/>
  <c r="AC82" i="9"/>
  <c r="AT82" i="9" s="1"/>
  <c r="AB82" i="9"/>
  <c r="AA82" i="9"/>
  <c r="AR82" i="9" s="1"/>
  <c r="Z82" i="9"/>
  <c r="Y82" i="9"/>
  <c r="X82" i="9"/>
  <c r="AO82" i="9" s="1"/>
  <c r="BH82" i="9" s="1"/>
  <c r="AM77" i="9"/>
  <c r="BD77" i="9" s="1"/>
  <c r="AL77" i="9"/>
  <c r="BC77" i="9" s="1"/>
  <c r="AK77" i="9"/>
  <c r="BB77" i="9" s="1"/>
  <c r="AJ77" i="9"/>
  <c r="BA77" i="9" s="1"/>
  <c r="AI77" i="9"/>
  <c r="AZ77" i="9" s="1"/>
  <c r="AH77" i="9"/>
  <c r="AY77" i="9" s="1"/>
  <c r="AG77" i="9"/>
  <c r="AX77" i="9" s="1"/>
  <c r="AF77" i="9"/>
  <c r="AW77" i="9" s="1"/>
  <c r="AE77" i="9"/>
  <c r="AV77" i="9" s="1"/>
  <c r="AD77" i="9"/>
  <c r="AU77" i="9" s="1"/>
  <c r="AC77" i="9"/>
  <c r="AT77" i="9" s="1"/>
  <c r="AB77" i="9"/>
  <c r="AA77" i="9"/>
  <c r="AR77" i="9" s="1"/>
  <c r="Z77" i="9"/>
  <c r="Y77" i="9"/>
  <c r="X77" i="9"/>
  <c r="AO77" i="9" s="1"/>
  <c r="BH77" i="9" s="1"/>
  <c r="AM76" i="9"/>
  <c r="BD76" i="9" s="1"/>
  <c r="AL76" i="9"/>
  <c r="BC76" i="9" s="1"/>
  <c r="AK76" i="9"/>
  <c r="BB76" i="9" s="1"/>
  <c r="AJ76" i="9"/>
  <c r="BA76" i="9" s="1"/>
  <c r="AI76" i="9"/>
  <c r="AZ76" i="9" s="1"/>
  <c r="AH76" i="9"/>
  <c r="AY76" i="9" s="1"/>
  <c r="AG76" i="9"/>
  <c r="AX76" i="9" s="1"/>
  <c r="AF76" i="9"/>
  <c r="AW76" i="9" s="1"/>
  <c r="AE76" i="9"/>
  <c r="AV76" i="9" s="1"/>
  <c r="AD76" i="9"/>
  <c r="AU76" i="9" s="1"/>
  <c r="AC76" i="9"/>
  <c r="AT76" i="9" s="1"/>
  <c r="AB76" i="9"/>
  <c r="AS76" i="9" s="1"/>
  <c r="AA76" i="9"/>
  <c r="AR76" i="9" s="1"/>
  <c r="Z76" i="9"/>
  <c r="AQ76" i="9" s="1"/>
  <c r="Y76" i="9"/>
  <c r="X76" i="9"/>
  <c r="AO76" i="9" s="1"/>
  <c r="BH76" i="9" s="1"/>
  <c r="AM75" i="9"/>
  <c r="BD75" i="9" s="1"/>
  <c r="AL75" i="9"/>
  <c r="BC75" i="9" s="1"/>
  <c r="AK75" i="9"/>
  <c r="BB75" i="9" s="1"/>
  <c r="AJ75" i="9"/>
  <c r="BA75" i="9" s="1"/>
  <c r="AI75" i="9"/>
  <c r="AZ75" i="9" s="1"/>
  <c r="AH75" i="9"/>
  <c r="AY75" i="9" s="1"/>
  <c r="AG75" i="9"/>
  <c r="AX75" i="9" s="1"/>
  <c r="AF75" i="9"/>
  <c r="AW75" i="9" s="1"/>
  <c r="AE75" i="9"/>
  <c r="AV75" i="9" s="1"/>
  <c r="AD75" i="9"/>
  <c r="AU75" i="9" s="1"/>
  <c r="AC75" i="9"/>
  <c r="AT75" i="9" s="1"/>
  <c r="AB75" i="9"/>
  <c r="AS75" i="9" s="1"/>
  <c r="AA75" i="9"/>
  <c r="AR75" i="9" s="1"/>
  <c r="Z75" i="9"/>
  <c r="AQ75" i="9" s="1"/>
  <c r="Y75" i="9"/>
  <c r="X75" i="9"/>
  <c r="AO75" i="9" s="1"/>
  <c r="BH75" i="9" s="1"/>
  <c r="AM74" i="9"/>
  <c r="BD74" i="9" s="1"/>
  <c r="AL74" i="9"/>
  <c r="BC74" i="9" s="1"/>
  <c r="AJ74" i="9"/>
  <c r="BA74" i="9" s="1"/>
  <c r="AI74" i="9"/>
  <c r="AZ74" i="9" s="1"/>
  <c r="AH74" i="9"/>
  <c r="AY74" i="9" s="1"/>
  <c r="AF74" i="9"/>
  <c r="AW74" i="9" s="1"/>
  <c r="AE74" i="9"/>
  <c r="AV74" i="9" s="1"/>
  <c r="AD74" i="9"/>
  <c r="AU74" i="9" s="1"/>
  <c r="AC74" i="9"/>
  <c r="AT74" i="9" s="1"/>
  <c r="AA74" i="9"/>
  <c r="AR74" i="9" s="1"/>
  <c r="Y74" i="9"/>
  <c r="AM73" i="9"/>
  <c r="BD73" i="9" s="1"/>
  <c r="AL73" i="9"/>
  <c r="BC73" i="9" s="1"/>
  <c r="AK73" i="9"/>
  <c r="BB73" i="9" s="1"/>
  <c r="AJ73" i="9"/>
  <c r="BA73" i="9" s="1"/>
  <c r="AG73" i="9"/>
  <c r="AX73" i="9" s="1"/>
  <c r="AF73" i="9"/>
  <c r="AW73" i="9" s="1"/>
  <c r="AE73" i="9"/>
  <c r="AV73" i="9" s="1"/>
  <c r="AD73" i="9"/>
  <c r="AU73" i="9" s="1"/>
  <c r="AC73" i="9"/>
  <c r="AT73" i="9" s="1"/>
  <c r="AB73" i="9"/>
  <c r="AS73" i="9" s="1"/>
  <c r="AA73" i="9"/>
  <c r="AR73" i="9" s="1"/>
  <c r="Z73" i="9"/>
  <c r="AQ73" i="9" s="1"/>
  <c r="Y73" i="9"/>
  <c r="AM72" i="9"/>
  <c r="BD72" i="9" s="1"/>
  <c r="AL72" i="9"/>
  <c r="BC72" i="9" s="1"/>
  <c r="AK72" i="9"/>
  <c r="BB72" i="9" s="1"/>
  <c r="AJ72" i="9"/>
  <c r="BA72" i="9" s="1"/>
  <c r="AI72" i="9"/>
  <c r="AZ72" i="9" s="1"/>
  <c r="AH72" i="9"/>
  <c r="AY72" i="9" s="1"/>
  <c r="AG72" i="9"/>
  <c r="AX72" i="9" s="1"/>
  <c r="AF72" i="9"/>
  <c r="AW72" i="9" s="1"/>
  <c r="AE72" i="9"/>
  <c r="AV72" i="9" s="1"/>
  <c r="AD72" i="9"/>
  <c r="AU72" i="9" s="1"/>
  <c r="AC72" i="9"/>
  <c r="AT72" i="9" s="1"/>
  <c r="AB72" i="9"/>
  <c r="AS72" i="9" s="1"/>
  <c r="AA72" i="9"/>
  <c r="AR72" i="9" s="1"/>
  <c r="Z72" i="9"/>
  <c r="AQ72" i="9" s="1"/>
  <c r="Y72" i="9"/>
  <c r="X72" i="9"/>
  <c r="AO72" i="9" s="1"/>
  <c r="BH72" i="9" s="1"/>
  <c r="AM71" i="9"/>
  <c r="BD71" i="9" s="1"/>
  <c r="AL71" i="9"/>
  <c r="BC71" i="9" s="1"/>
  <c r="AJ71" i="9"/>
  <c r="BA71" i="9" s="1"/>
  <c r="AI71" i="9"/>
  <c r="AZ71" i="9" s="1"/>
  <c r="AH71" i="9"/>
  <c r="AY71" i="9" s="1"/>
  <c r="AF71" i="9"/>
  <c r="AW71" i="9" s="1"/>
  <c r="AE71" i="9"/>
  <c r="AV71" i="9" s="1"/>
  <c r="AD71" i="9"/>
  <c r="AU71" i="9" s="1"/>
  <c r="AC71" i="9"/>
  <c r="AT71" i="9" s="1"/>
  <c r="AA71" i="9"/>
  <c r="AR71" i="9" s="1"/>
  <c r="Y71" i="9"/>
  <c r="B71" i="9"/>
  <c r="B72" i="9" s="1"/>
  <c r="B73" i="9" s="1"/>
  <c r="B74" i="9" s="1"/>
  <c r="AM70" i="9"/>
  <c r="BD70" i="9" s="1"/>
  <c r="AL70" i="9"/>
  <c r="BC70" i="9" s="1"/>
  <c r="AI70" i="9"/>
  <c r="AZ70" i="9" s="1"/>
  <c r="AH70" i="9"/>
  <c r="AY70" i="9" s="1"/>
  <c r="AG70" i="9"/>
  <c r="AX70" i="9" s="1"/>
  <c r="AF70" i="9"/>
  <c r="AW70" i="9" s="1"/>
  <c r="AE70" i="9"/>
  <c r="AV70" i="9" s="1"/>
  <c r="AD70" i="9"/>
  <c r="AU70" i="9" s="1"/>
  <c r="AC70" i="9"/>
  <c r="AT70" i="9" s="1"/>
  <c r="AA70" i="9"/>
  <c r="AR70" i="9" s="1"/>
  <c r="Y70" i="9"/>
  <c r="AM69" i="9"/>
  <c r="BD69" i="9" s="1"/>
  <c r="AL69" i="9"/>
  <c r="BC69" i="9" s="1"/>
  <c r="AK69" i="9"/>
  <c r="BB69" i="9" s="1"/>
  <c r="AJ69" i="9"/>
  <c r="BA69" i="9" s="1"/>
  <c r="AI69" i="9"/>
  <c r="AZ69" i="9" s="1"/>
  <c r="AH69" i="9"/>
  <c r="AY69" i="9" s="1"/>
  <c r="AG69" i="9"/>
  <c r="AX69" i="9" s="1"/>
  <c r="AF69" i="9"/>
  <c r="AW69" i="9" s="1"/>
  <c r="AE69" i="9"/>
  <c r="AV69" i="9" s="1"/>
  <c r="AD69" i="9"/>
  <c r="AU69" i="9" s="1"/>
  <c r="AC69" i="9"/>
  <c r="AT69" i="9" s="1"/>
  <c r="AB69" i="9"/>
  <c r="AS69" i="9" s="1"/>
  <c r="AA69" i="9"/>
  <c r="AR69" i="9" s="1"/>
  <c r="Z69" i="9"/>
  <c r="AQ69" i="9" s="1"/>
  <c r="Y69" i="9"/>
  <c r="X69" i="9"/>
  <c r="AO69" i="9" s="1"/>
  <c r="AM68" i="9"/>
  <c r="BD68" i="9" s="1"/>
  <c r="AL68" i="9"/>
  <c r="BC68" i="9" s="1"/>
  <c r="AK68" i="9"/>
  <c r="BB68" i="9" s="1"/>
  <c r="AJ68" i="9"/>
  <c r="BA68" i="9" s="1"/>
  <c r="AI68" i="9"/>
  <c r="AZ68" i="9" s="1"/>
  <c r="AH68" i="9"/>
  <c r="AY68" i="9" s="1"/>
  <c r="AG68" i="9"/>
  <c r="AX68" i="9" s="1"/>
  <c r="AF68" i="9"/>
  <c r="AW68" i="9" s="1"/>
  <c r="AE68" i="9"/>
  <c r="AV68" i="9" s="1"/>
  <c r="AD68" i="9"/>
  <c r="AU68" i="9" s="1"/>
  <c r="AC68" i="9"/>
  <c r="AT68" i="9" s="1"/>
  <c r="AB68" i="9"/>
  <c r="AS68" i="9" s="1"/>
  <c r="AA68" i="9"/>
  <c r="AR68" i="9" s="1"/>
  <c r="Z68" i="9"/>
  <c r="AQ68" i="9" s="1"/>
  <c r="Y68" i="9"/>
  <c r="X68" i="9"/>
  <c r="AO68" i="9" s="1"/>
  <c r="AM67" i="9"/>
  <c r="BD67" i="9" s="1"/>
  <c r="AL67" i="9"/>
  <c r="BC67" i="9" s="1"/>
  <c r="AK67" i="9"/>
  <c r="BB67" i="9" s="1"/>
  <c r="AJ67" i="9"/>
  <c r="BA67" i="9" s="1"/>
  <c r="AI67" i="9"/>
  <c r="AZ67" i="9" s="1"/>
  <c r="AH67" i="9"/>
  <c r="AY67" i="9" s="1"/>
  <c r="AG67" i="9"/>
  <c r="AX67" i="9" s="1"/>
  <c r="AF67" i="9"/>
  <c r="AW67" i="9" s="1"/>
  <c r="AE67" i="9"/>
  <c r="AV67" i="9" s="1"/>
  <c r="AD67" i="9"/>
  <c r="AU67" i="9" s="1"/>
  <c r="AC67" i="9"/>
  <c r="AT67" i="9" s="1"/>
  <c r="AB67" i="9"/>
  <c r="AS67" i="9" s="1"/>
  <c r="AA67" i="9"/>
  <c r="AR67" i="9" s="1"/>
  <c r="Z67" i="9"/>
  <c r="AQ67" i="9" s="1"/>
  <c r="Y67" i="9"/>
  <c r="X67" i="9"/>
  <c r="AO67" i="9" s="1"/>
  <c r="BH67" i="9" s="1"/>
  <c r="AM66" i="9"/>
  <c r="BD66" i="9" s="1"/>
  <c r="AL66" i="9"/>
  <c r="BC66" i="9" s="1"/>
  <c r="AK66" i="9"/>
  <c r="BB66" i="9" s="1"/>
  <c r="AJ66" i="9"/>
  <c r="BA66" i="9" s="1"/>
  <c r="AI66" i="9"/>
  <c r="AZ66" i="9" s="1"/>
  <c r="AH66" i="9"/>
  <c r="AY66" i="9" s="1"/>
  <c r="AG66" i="9"/>
  <c r="AX66" i="9" s="1"/>
  <c r="AF66" i="9"/>
  <c r="AW66" i="9" s="1"/>
  <c r="AE66" i="9"/>
  <c r="AV66" i="9" s="1"/>
  <c r="AD66" i="9"/>
  <c r="AU66" i="9" s="1"/>
  <c r="AC66" i="9"/>
  <c r="AT66" i="9" s="1"/>
  <c r="AB66" i="9"/>
  <c r="AS66" i="9" s="1"/>
  <c r="AA66" i="9"/>
  <c r="AR66" i="9" s="1"/>
  <c r="Z66" i="9"/>
  <c r="AQ66" i="9" s="1"/>
  <c r="Y66" i="9"/>
  <c r="X66" i="9"/>
  <c r="AO66" i="9" s="1"/>
  <c r="BH66" i="9" s="1"/>
  <c r="AM65" i="9"/>
  <c r="BD65" i="9" s="1"/>
  <c r="AL65" i="9"/>
  <c r="BC65" i="9" s="1"/>
  <c r="AK65" i="9"/>
  <c r="BB65" i="9" s="1"/>
  <c r="AJ65" i="9"/>
  <c r="BA65" i="9" s="1"/>
  <c r="AI65" i="9"/>
  <c r="AZ65" i="9" s="1"/>
  <c r="AH65" i="9"/>
  <c r="AY65" i="9" s="1"/>
  <c r="AG65" i="9"/>
  <c r="AX65" i="9" s="1"/>
  <c r="AF65" i="9"/>
  <c r="AW65" i="9" s="1"/>
  <c r="AE65" i="9"/>
  <c r="AV65" i="9" s="1"/>
  <c r="AD65" i="9"/>
  <c r="AU65" i="9" s="1"/>
  <c r="AC65" i="9"/>
  <c r="AT65" i="9" s="1"/>
  <c r="AB65" i="9"/>
  <c r="AS65" i="9" s="1"/>
  <c r="AA65" i="9"/>
  <c r="AR65" i="9" s="1"/>
  <c r="Z65" i="9"/>
  <c r="AQ65" i="9" s="1"/>
  <c r="Y65" i="9"/>
  <c r="X65" i="9"/>
  <c r="AO65" i="9" s="1"/>
  <c r="BH65" i="9" s="1"/>
  <c r="AM64" i="9"/>
  <c r="BD64" i="9" s="1"/>
  <c r="AL64" i="9"/>
  <c r="BC64" i="9" s="1"/>
  <c r="AK64" i="9"/>
  <c r="BB64" i="9" s="1"/>
  <c r="AJ64" i="9"/>
  <c r="BA64" i="9" s="1"/>
  <c r="AI64" i="9"/>
  <c r="AZ64" i="9" s="1"/>
  <c r="AH64" i="9"/>
  <c r="AY64" i="9" s="1"/>
  <c r="AG64" i="9"/>
  <c r="AX64" i="9" s="1"/>
  <c r="AF64" i="9"/>
  <c r="AW64" i="9" s="1"/>
  <c r="AE64" i="9"/>
  <c r="AV64" i="9" s="1"/>
  <c r="AD64" i="9"/>
  <c r="AU64" i="9" s="1"/>
  <c r="AC64" i="9"/>
  <c r="AT64" i="9" s="1"/>
  <c r="AB64" i="9"/>
  <c r="AA64" i="9"/>
  <c r="AR64" i="9" s="1"/>
  <c r="Z64" i="9"/>
  <c r="Y64" i="9"/>
  <c r="X64" i="9"/>
  <c r="AO64" i="9" s="1"/>
  <c r="BH64" i="9" s="1"/>
  <c r="AM63" i="9"/>
  <c r="BD63" i="9" s="1"/>
  <c r="AL63" i="9"/>
  <c r="BC63" i="9" s="1"/>
  <c r="AK63" i="9"/>
  <c r="BB63" i="9" s="1"/>
  <c r="AJ63" i="9"/>
  <c r="BA63" i="9" s="1"/>
  <c r="AI63" i="9"/>
  <c r="AZ63" i="9" s="1"/>
  <c r="AH63" i="9"/>
  <c r="AY63" i="9" s="1"/>
  <c r="AG63" i="9"/>
  <c r="AX63" i="9" s="1"/>
  <c r="AF63" i="9"/>
  <c r="AW63" i="9" s="1"/>
  <c r="AE63" i="9"/>
  <c r="AV63" i="9" s="1"/>
  <c r="AD63" i="9"/>
  <c r="AU63" i="9" s="1"/>
  <c r="AC63" i="9"/>
  <c r="AT63" i="9" s="1"/>
  <c r="AB63" i="9"/>
  <c r="AA63" i="9"/>
  <c r="AR63" i="9" s="1"/>
  <c r="Z63" i="9"/>
  <c r="Y63" i="9"/>
  <c r="X63" i="9"/>
  <c r="AO63" i="9" s="1"/>
  <c r="BH63" i="9" s="1"/>
  <c r="AM62" i="9"/>
  <c r="BD62" i="9" s="1"/>
  <c r="AL62" i="9"/>
  <c r="BC62" i="9" s="1"/>
  <c r="AK62" i="9"/>
  <c r="BB62" i="9" s="1"/>
  <c r="AJ62" i="9"/>
  <c r="BA62" i="9" s="1"/>
  <c r="AI62" i="9"/>
  <c r="AZ62" i="9" s="1"/>
  <c r="AH62" i="9"/>
  <c r="AY62" i="9" s="1"/>
  <c r="AG62" i="9"/>
  <c r="AX62" i="9" s="1"/>
  <c r="AF62" i="9"/>
  <c r="AW62" i="9" s="1"/>
  <c r="AE62" i="9"/>
  <c r="AV62" i="9" s="1"/>
  <c r="AD62" i="9"/>
  <c r="AU62" i="9" s="1"/>
  <c r="AC62" i="9"/>
  <c r="AT62" i="9" s="1"/>
  <c r="AB62" i="9"/>
  <c r="AA62" i="9"/>
  <c r="AR62" i="9" s="1"/>
  <c r="Z62" i="9"/>
  <c r="Y62" i="9"/>
  <c r="X62" i="9"/>
  <c r="AO62" i="9" s="1"/>
  <c r="BH62" i="9" s="1"/>
  <c r="AM61" i="9"/>
  <c r="BD61" i="9" s="1"/>
  <c r="AL61" i="9"/>
  <c r="BC61" i="9" s="1"/>
  <c r="AK61" i="9"/>
  <c r="BB61" i="9" s="1"/>
  <c r="AJ61" i="9"/>
  <c r="BA61" i="9" s="1"/>
  <c r="AI61" i="9"/>
  <c r="AZ61" i="9" s="1"/>
  <c r="AH61" i="9"/>
  <c r="AY61" i="9" s="1"/>
  <c r="AG61" i="9"/>
  <c r="AX61" i="9" s="1"/>
  <c r="AF61" i="9"/>
  <c r="AW61" i="9" s="1"/>
  <c r="AE61" i="9"/>
  <c r="AV61" i="9" s="1"/>
  <c r="AD61" i="9"/>
  <c r="AU61" i="9" s="1"/>
  <c r="AC61" i="9"/>
  <c r="AT61" i="9" s="1"/>
  <c r="AB61" i="9"/>
  <c r="AA61" i="9"/>
  <c r="AR61" i="9" s="1"/>
  <c r="Z61" i="9"/>
  <c r="Y61" i="9"/>
  <c r="X61" i="9"/>
  <c r="AO61" i="9" s="1"/>
  <c r="BH61" i="9" s="1"/>
  <c r="AM60" i="9"/>
  <c r="BD60" i="9" s="1"/>
  <c r="AL60" i="9"/>
  <c r="BC60" i="9" s="1"/>
  <c r="AK60" i="9"/>
  <c r="BB60" i="9" s="1"/>
  <c r="AJ60" i="9"/>
  <c r="BA60" i="9" s="1"/>
  <c r="AI60" i="9"/>
  <c r="AZ60" i="9" s="1"/>
  <c r="AH60" i="9"/>
  <c r="AY60" i="9" s="1"/>
  <c r="AG60" i="9"/>
  <c r="AX60" i="9" s="1"/>
  <c r="AF60" i="9"/>
  <c r="AW60" i="9" s="1"/>
  <c r="AE60" i="9"/>
  <c r="AV60" i="9" s="1"/>
  <c r="AD60" i="9"/>
  <c r="AU60" i="9" s="1"/>
  <c r="AC60" i="9"/>
  <c r="AT60" i="9" s="1"/>
  <c r="AB60" i="9"/>
  <c r="AA60" i="9"/>
  <c r="AR60" i="9" s="1"/>
  <c r="Z60" i="9"/>
  <c r="Y60" i="9"/>
  <c r="X60" i="9"/>
  <c r="AO60" i="9" s="1"/>
  <c r="BH60" i="9" s="1"/>
  <c r="AM59" i="9"/>
  <c r="BD59" i="9" s="1"/>
  <c r="AL59" i="9"/>
  <c r="BC59" i="9" s="1"/>
  <c r="AK59" i="9"/>
  <c r="BB59" i="9" s="1"/>
  <c r="AJ59" i="9"/>
  <c r="BA59" i="9" s="1"/>
  <c r="AI59" i="9"/>
  <c r="AZ59" i="9" s="1"/>
  <c r="AH59" i="9"/>
  <c r="AY59" i="9" s="1"/>
  <c r="AG59" i="9"/>
  <c r="AX59" i="9" s="1"/>
  <c r="AF59" i="9"/>
  <c r="AW59" i="9" s="1"/>
  <c r="AE59" i="9"/>
  <c r="AV59" i="9" s="1"/>
  <c r="AD59" i="9"/>
  <c r="AU59" i="9" s="1"/>
  <c r="AC59" i="9"/>
  <c r="AT59" i="9" s="1"/>
  <c r="AB59" i="9"/>
  <c r="AA59" i="9"/>
  <c r="AR59" i="9" s="1"/>
  <c r="Z59" i="9"/>
  <c r="Y59" i="9"/>
  <c r="X59" i="9"/>
  <c r="AO59" i="9" s="1"/>
  <c r="BH59" i="9" s="1"/>
  <c r="AM57" i="9"/>
  <c r="BD57" i="9" s="1"/>
  <c r="AL57" i="9"/>
  <c r="BC57" i="9" s="1"/>
  <c r="AK57" i="9"/>
  <c r="BB57" i="9" s="1"/>
  <c r="AJ57" i="9"/>
  <c r="BA57" i="9" s="1"/>
  <c r="AI57" i="9"/>
  <c r="AZ57" i="9" s="1"/>
  <c r="AH57" i="9"/>
  <c r="AY57" i="9" s="1"/>
  <c r="AG57" i="9"/>
  <c r="AX57" i="9" s="1"/>
  <c r="AF57" i="9"/>
  <c r="AW57" i="9" s="1"/>
  <c r="AE57" i="9"/>
  <c r="AV57" i="9" s="1"/>
  <c r="AD57" i="9"/>
  <c r="AU57" i="9" s="1"/>
  <c r="AC57" i="9"/>
  <c r="AT57" i="9" s="1"/>
  <c r="AB57" i="9"/>
  <c r="AA57" i="9"/>
  <c r="AR57" i="9" s="1"/>
  <c r="Z57" i="9"/>
  <c r="Y57" i="9"/>
  <c r="X57" i="9"/>
  <c r="AO57" i="9" s="1"/>
  <c r="BH57" i="9" s="1"/>
  <c r="AM56" i="9"/>
  <c r="BD56" i="9" s="1"/>
  <c r="AL56" i="9"/>
  <c r="BC56" i="9" s="1"/>
  <c r="AK56" i="9"/>
  <c r="BB56" i="9" s="1"/>
  <c r="AJ56" i="9"/>
  <c r="BA56" i="9" s="1"/>
  <c r="AI56" i="9"/>
  <c r="AZ56" i="9" s="1"/>
  <c r="AH56" i="9"/>
  <c r="AY56" i="9" s="1"/>
  <c r="AG56" i="9"/>
  <c r="AX56" i="9" s="1"/>
  <c r="AF56" i="9"/>
  <c r="AW56" i="9" s="1"/>
  <c r="AE56" i="9"/>
  <c r="AV56" i="9" s="1"/>
  <c r="AD56" i="9"/>
  <c r="AU56" i="9" s="1"/>
  <c r="AC56" i="9"/>
  <c r="AT56" i="9" s="1"/>
  <c r="AB56" i="9"/>
  <c r="AA56" i="9"/>
  <c r="AR56" i="9" s="1"/>
  <c r="Z56" i="9"/>
  <c r="Y56" i="9"/>
  <c r="X56" i="9"/>
  <c r="AO56" i="9" s="1"/>
  <c r="BH56" i="9" s="1"/>
  <c r="AM58" i="9"/>
  <c r="BD58" i="9" s="1"/>
  <c r="AL58" i="9"/>
  <c r="BC58" i="9" s="1"/>
  <c r="AK58" i="9"/>
  <c r="BB58" i="9" s="1"/>
  <c r="AJ58" i="9"/>
  <c r="BA58" i="9" s="1"/>
  <c r="AI58" i="9"/>
  <c r="AZ58" i="9" s="1"/>
  <c r="AH58" i="9"/>
  <c r="AY58" i="9" s="1"/>
  <c r="AG58" i="9"/>
  <c r="AX58" i="9" s="1"/>
  <c r="AF58" i="9"/>
  <c r="AW58" i="9" s="1"/>
  <c r="AE58" i="9"/>
  <c r="AV58" i="9" s="1"/>
  <c r="AD58" i="9"/>
  <c r="AU58" i="9" s="1"/>
  <c r="AC58" i="9"/>
  <c r="AT58" i="9" s="1"/>
  <c r="AB58" i="9"/>
  <c r="AA58" i="9"/>
  <c r="AR58" i="9" s="1"/>
  <c r="Z58" i="9"/>
  <c r="Y58" i="9"/>
  <c r="X58" i="9"/>
  <c r="AO58" i="9" s="1"/>
  <c r="BH58" i="9" s="1"/>
  <c r="AM55" i="9"/>
  <c r="BD55" i="9" s="1"/>
  <c r="AL55" i="9"/>
  <c r="BC55" i="9" s="1"/>
  <c r="AK55" i="9"/>
  <c r="BB55" i="9" s="1"/>
  <c r="AJ55" i="9"/>
  <c r="BA55" i="9" s="1"/>
  <c r="AI55" i="9"/>
  <c r="AZ55" i="9" s="1"/>
  <c r="AH55" i="9"/>
  <c r="AY55" i="9" s="1"/>
  <c r="AG55" i="9"/>
  <c r="AX55" i="9" s="1"/>
  <c r="AF55" i="9"/>
  <c r="AW55" i="9" s="1"/>
  <c r="AE55" i="9"/>
  <c r="AV55" i="9" s="1"/>
  <c r="AD55" i="9"/>
  <c r="AU55" i="9" s="1"/>
  <c r="AC55" i="9"/>
  <c r="AT55" i="9" s="1"/>
  <c r="AB55" i="9"/>
  <c r="AA55" i="9"/>
  <c r="AR55" i="9" s="1"/>
  <c r="Z55" i="9"/>
  <c r="Y55" i="9"/>
  <c r="X55" i="9"/>
  <c r="AO55" i="9" s="1"/>
  <c r="BH55" i="9" s="1"/>
  <c r="AM54" i="9"/>
  <c r="BD54" i="9" s="1"/>
  <c r="AL54" i="9"/>
  <c r="BC54" i="9" s="1"/>
  <c r="AK54" i="9"/>
  <c r="BB54" i="9" s="1"/>
  <c r="AJ54" i="9"/>
  <c r="BA54" i="9" s="1"/>
  <c r="AI54" i="9"/>
  <c r="AZ54" i="9" s="1"/>
  <c r="AH54" i="9"/>
  <c r="AY54" i="9" s="1"/>
  <c r="AG54" i="9"/>
  <c r="AX54" i="9" s="1"/>
  <c r="AF54" i="9"/>
  <c r="AW54" i="9" s="1"/>
  <c r="AE54" i="9"/>
  <c r="AV54" i="9" s="1"/>
  <c r="AD54" i="9"/>
  <c r="AU54" i="9" s="1"/>
  <c r="AC54" i="9"/>
  <c r="AT54" i="9" s="1"/>
  <c r="AB54" i="9"/>
  <c r="AA54" i="9"/>
  <c r="AR54" i="9" s="1"/>
  <c r="Z54" i="9"/>
  <c r="Y54" i="9"/>
  <c r="X54" i="9"/>
  <c r="AO54" i="9" s="1"/>
  <c r="BH54" i="9" s="1"/>
  <c r="AM53" i="9"/>
  <c r="BD53" i="9" s="1"/>
  <c r="AL53" i="9"/>
  <c r="BC53" i="9" s="1"/>
  <c r="AK53" i="9"/>
  <c r="BB53" i="9" s="1"/>
  <c r="AJ53" i="9"/>
  <c r="BA53" i="9" s="1"/>
  <c r="AI53" i="9"/>
  <c r="AZ53" i="9" s="1"/>
  <c r="AH53" i="9"/>
  <c r="AY53" i="9" s="1"/>
  <c r="AG53" i="9"/>
  <c r="AX53" i="9" s="1"/>
  <c r="AF53" i="9"/>
  <c r="AW53" i="9" s="1"/>
  <c r="AE53" i="9"/>
  <c r="AV53" i="9" s="1"/>
  <c r="AD53" i="9"/>
  <c r="AU53" i="9" s="1"/>
  <c r="AC53" i="9"/>
  <c r="AT53" i="9" s="1"/>
  <c r="AB53" i="9"/>
  <c r="AA53" i="9"/>
  <c r="AR53" i="9" s="1"/>
  <c r="Z53" i="9"/>
  <c r="Y53" i="9"/>
  <c r="X53" i="9"/>
  <c r="AO53" i="9" s="1"/>
  <c r="BH53" i="9" s="1"/>
  <c r="AM52" i="9"/>
  <c r="BD52" i="9" s="1"/>
  <c r="AL52" i="9"/>
  <c r="BC52" i="9" s="1"/>
  <c r="AK52" i="9"/>
  <c r="BB52" i="9" s="1"/>
  <c r="AJ52" i="9"/>
  <c r="BA52" i="9" s="1"/>
  <c r="AI52" i="9"/>
  <c r="AZ52" i="9" s="1"/>
  <c r="AH52" i="9"/>
  <c r="AY52" i="9" s="1"/>
  <c r="AG52" i="9"/>
  <c r="AX52" i="9" s="1"/>
  <c r="AF52" i="9"/>
  <c r="AW52" i="9" s="1"/>
  <c r="AE52" i="9"/>
  <c r="AV52" i="9" s="1"/>
  <c r="AD52" i="9"/>
  <c r="AU52" i="9" s="1"/>
  <c r="AC52" i="9"/>
  <c r="AT52" i="9" s="1"/>
  <c r="AB52" i="9"/>
  <c r="AS52" i="9" s="1"/>
  <c r="AA52" i="9"/>
  <c r="AR52" i="9" s="1"/>
  <c r="Z52" i="9"/>
  <c r="AQ52" i="9" s="1"/>
  <c r="Y52" i="9"/>
  <c r="X52" i="9"/>
  <c r="AO52" i="9" s="1"/>
  <c r="BH52" i="9" s="1"/>
  <c r="AM51" i="9"/>
  <c r="BD51" i="9" s="1"/>
  <c r="AL51" i="9"/>
  <c r="BC51" i="9" s="1"/>
  <c r="AK51" i="9"/>
  <c r="BB51" i="9" s="1"/>
  <c r="AJ51" i="9"/>
  <c r="BA51" i="9" s="1"/>
  <c r="AI51" i="9"/>
  <c r="AZ51" i="9" s="1"/>
  <c r="AH51" i="9"/>
  <c r="AY51" i="9" s="1"/>
  <c r="AG51" i="9"/>
  <c r="AX51" i="9" s="1"/>
  <c r="AF51" i="9"/>
  <c r="AW51" i="9" s="1"/>
  <c r="AE51" i="9"/>
  <c r="AV51" i="9" s="1"/>
  <c r="AD51" i="9"/>
  <c r="AU51" i="9" s="1"/>
  <c r="AC51" i="9"/>
  <c r="AT51" i="9" s="1"/>
  <c r="AB51" i="9"/>
  <c r="AA51" i="9"/>
  <c r="AR51" i="9" s="1"/>
  <c r="Z51" i="9"/>
  <c r="Y51" i="9"/>
  <c r="AM50" i="9"/>
  <c r="BD50" i="9" s="1"/>
  <c r="AL50" i="9"/>
  <c r="BC50" i="9" s="1"/>
  <c r="AK50" i="9"/>
  <c r="BB50" i="9" s="1"/>
  <c r="AJ50" i="9"/>
  <c r="BA50" i="9" s="1"/>
  <c r="AG50" i="9"/>
  <c r="AX50" i="9" s="1"/>
  <c r="AF50" i="9"/>
  <c r="AW50" i="9" s="1"/>
  <c r="AE50" i="9"/>
  <c r="AV50" i="9" s="1"/>
  <c r="AD50" i="9"/>
  <c r="AU50" i="9" s="1"/>
  <c r="AC50" i="9"/>
  <c r="AT50" i="9" s="1"/>
  <c r="AB50" i="9"/>
  <c r="AS50" i="9" s="1"/>
  <c r="AA50" i="9"/>
  <c r="AR50" i="9" s="1"/>
  <c r="Z50" i="9"/>
  <c r="AQ50" i="9" s="1"/>
  <c r="Y50" i="9"/>
  <c r="AM49" i="9"/>
  <c r="BD49" i="9" s="1"/>
  <c r="AL49" i="9"/>
  <c r="BC49" i="9" s="1"/>
  <c r="AK49" i="9"/>
  <c r="BB49" i="9" s="1"/>
  <c r="AJ49" i="9"/>
  <c r="BA49" i="9" s="1"/>
  <c r="AI49" i="9"/>
  <c r="AZ49" i="9" s="1"/>
  <c r="AH49" i="9"/>
  <c r="AY49" i="9" s="1"/>
  <c r="AG49" i="9"/>
  <c r="AX49" i="9" s="1"/>
  <c r="AF49" i="9"/>
  <c r="AW49" i="9" s="1"/>
  <c r="AE49" i="9"/>
  <c r="AV49" i="9" s="1"/>
  <c r="AD49" i="9"/>
  <c r="AU49" i="9" s="1"/>
  <c r="AC49" i="9"/>
  <c r="AT49" i="9" s="1"/>
  <c r="AB49" i="9"/>
  <c r="AS49" i="9" s="1"/>
  <c r="AA49" i="9"/>
  <c r="AR49" i="9" s="1"/>
  <c r="Z49" i="9"/>
  <c r="AQ49" i="9" s="1"/>
  <c r="Y49" i="9"/>
  <c r="X49" i="9"/>
  <c r="AO49" i="9" s="1"/>
  <c r="BH49" i="9" s="1"/>
  <c r="AM48" i="9"/>
  <c r="BD48" i="9" s="1"/>
  <c r="AL48" i="9"/>
  <c r="BC48" i="9" s="1"/>
  <c r="AJ48" i="9"/>
  <c r="BA48" i="9" s="1"/>
  <c r="AI48" i="9"/>
  <c r="AZ48" i="9" s="1"/>
  <c r="AH48" i="9"/>
  <c r="AY48" i="9" s="1"/>
  <c r="AF48" i="9"/>
  <c r="AW48" i="9" s="1"/>
  <c r="AE48" i="9"/>
  <c r="AV48" i="9" s="1"/>
  <c r="AD48" i="9"/>
  <c r="AU48" i="9" s="1"/>
  <c r="AC48" i="9"/>
  <c r="AT48" i="9" s="1"/>
  <c r="AA48" i="9"/>
  <c r="AR48" i="9" s="1"/>
  <c r="Y48" i="9"/>
  <c r="AM47" i="9"/>
  <c r="BD47" i="9" s="1"/>
  <c r="AL47" i="9"/>
  <c r="BC47" i="9" s="1"/>
  <c r="AI47" i="9"/>
  <c r="AZ47" i="9" s="1"/>
  <c r="AH47" i="9"/>
  <c r="AY47" i="9" s="1"/>
  <c r="AG47" i="9"/>
  <c r="AX47" i="9" s="1"/>
  <c r="AF47" i="9"/>
  <c r="AW47" i="9" s="1"/>
  <c r="AE47" i="9"/>
  <c r="AV47" i="9" s="1"/>
  <c r="AD47" i="9"/>
  <c r="AU47" i="9" s="1"/>
  <c r="AC47" i="9"/>
  <c r="AT47" i="9" s="1"/>
  <c r="AB47" i="9"/>
  <c r="AA47" i="9"/>
  <c r="AR47" i="9" s="1"/>
  <c r="Z47" i="9"/>
  <c r="Y47" i="9"/>
  <c r="AM46" i="9"/>
  <c r="BD46" i="9" s="1"/>
  <c r="AL46" i="9"/>
  <c r="BC46" i="9" s="1"/>
  <c r="AK46" i="9"/>
  <c r="BB46" i="9" s="1"/>
  <c r="AJ46" i="9"/>
  <c r="BA46" i="9" s="1"/>
  <c r="AI46" i="9"/>
  <c r="AZ46" i="9" s="1"/>
  <c r="AH46" i="9"/>
  <c r="AY46" i="9" s="1"/>
  <c r="AG46" i="9"/>
  <c r="AX46" i="9" s="1"/>
  <c r="AF46" i="9"/>
  <c r="AW46" i="9" s="1"/>
  <c r="AE46" i="9"/>
  <c r="AV46" i="9" s="1"/>
  <c r="AD46" i="9"/>
  <c r="AU46" i="9" s="1"/>
  <c r="AC46" i="9"/>
  <c r="AT46" i="9" s="1"/>
  <c r="AB46" i="9"/>
  <c r="AS46" i="9" s="1"/>
  <c r="AA46" i="9"/>
  <c r="AR46" i="9" s="1"/>
  <c r="Z46" i="9"/>
  <c r="AQ46" i="9" s="1"/>
  <c r="Y46" i="9"/>
  <c r="X46" i="9"/>
  <c r="AO46" i="9" s="1"/>
  <c r="AM45" i="9"/>
  <c r="BD45" i="9" s="1"/>
  <c r="AL45" i="9"/>
  <c r="BC45" i="9" s="1"/>
  <c r="AK45" i="9"/>
  <c r="BB45" i="9" s="1"/>
  <c r="AJ45" i="9"/>
  <c r="BA45" i="9" s="1"/>
  <c r="AI45" i="9"/>
  <c r="AZ45" i="9" s="1"/>
  <c r="AH45" i="9"/>
  <c r="AY45" i="9" s="1"/>
  <c r="AG45" i="9"/>
  <c r="AX45" i="9" s="1"/>
  <c r="AF45" i="9"/>
  <c r="AW45" i="9" s="1"/>
  <c r="AE45" i="9"/>
  <c r="AV45" i="9" s="1"/>
  <c r="AD45" i="9"/>
  <c r="AU45" i="9" s="1"/>
  <c r="AC45" i="9"/>
  <c r="AB45" i="9"/>
  <c r="AA45" i="9"/>
  <c r="AR45" i="9" s="1"/>
  <c r="Z45" i="9"/>
  <c r="Y45" i="9"/>
  <c r="X45" i="9"/>
  <c r="AO45" i="9" s="1"/>
  <c r="BH45" i="9" s="1"/>
  <c r="D45" i="9"/>
  <c r="AM44" i="9"/>
  <c r="BD44" i="9" s="1"/>
  <c r="AL44" i="9"/>
  <c r="BC44" i="9" s="1"/>
  <c r="AK44" i="9"/>
  <c r="BB44" i="9" s="1"/>
  <c r="AJ44" i="9"/>
  <c r="BA44" i="9" s="1"/>
  <c r="AI44" i="9"/>
  <c r="AZ44" i="9" s="1"/>
  <c r="AH44" i="9"/>
  <c r="AY44" i="9" s="1"/>
  <c r="AG44" i="9"/>
  <c r="AX44" i="9" s="1"/>
  <c r="AF44" i="9"/>
  <c r="AW44" i="9" s="1"/>
  <c r="AE44" i="9"/>
  <c r="AV44" i="9" s="1"/>
  <c r="AD44" i="9"/>
  <c r="AU44" i="9" s="1"/>
  <c r="AC44" i="9"/>
  <c r="AT44" i="9" s="1"/>
  <c r="AB44" i="9"/>
  <c r="AA44" i="9"/>
  <c r="AR44" i="9" s="1"/>
  <c r="Z44" i="9"/>
  <c r="Y44" i="9"/>
  <c r="X44" i="9"/>
  <c r="AO44" i="9" s="1"/>
  <c r="BH44" i="9" s="1"/>
  <c r="D44" i="9"/>
  <c r="AM43" i="9"/>
  <c r="BD43" i="9" s="1"/>
  <c r="AL43" i="9"/>
  <c r="BC43" i="9" s="1"/>
  <c r="AK43" i="9"/>
  <c r="BB43" i="9" s="1"/>
  <c r="AJ43" i="9"/>
  <c r="BA43" i="9" s="1"/>
  <c r="AI43" i="9"/>
  <c r="AZ43" i="9" s="1"/>
  <c r="AH43" i="9"/>
  <c r="AY43" i="9" s="1"/>
  <c r="AG43" i="9"/>
  <c r="AX43" i="9" s="1"/>
  <c r="AF43" i="9"/>
  <c r="AW43" i="9" s="1"/>
  <c r="AE43" i="9"/>
  <c r="AV43" i="9" s="1"/>
  <c r="AD43" i="9"/>
  <c r="AU43" i="9" s="1"/>
  <c r="AC43" i="9"/>
  <c r="AB43" i="9"/>
  <c r="AS43" i="9" s="1"/>
  <c r="AA43" i="9"/>
  <c r="AR43" i="9" s="1"/>
  <c r="Z43" i="9"/>
  <c r="AQ43" i="9" s="1"/>
  <c r="Y43" i="9"/>
  <c r="X43" i="9"/>
  <c r="AO43" i="9" s="1"/>
  <c r="BH43" i="9" s="1"/>
  <c r="D43" i="9"/>
  <c r="AM42" i="9"/>
  <c r="BD42" i="9" s="1"/>
  <c r="AL42" i="9"/>
  <c r="BC42" i="9" s="1"/>
  <c r="AK42" i="9"/>
  <c r="BB42" i="9" s="1"/>
  <c r="AJ42" i="9"/>
  <c r="BA42" i="9" s="1"/>
  <c r="AI42" i="9"/>
  <c r="AZ42" i="9" s="1"/>
  <c r="AH42" i="9"/>
  <c r="AY42" i="9" s="1"/>
  <c r="AG42" i="9"/>
  <c r="AX42" i="9" s="1"/>
  <c r="AF42" i="9"/>
  <c r="AW42" i="9" s="1"/>
  <c r="AE42" i="9"/>
  <c r="AV42" i="9" s="1"/>
  <c r="AD42" i="9"/>
  <c r="AU42" i="9" s="1"/>
  <c r="AC42" i="9"/>
  <c r="AT42" i="9" s="1"/>
  <c r="AB42" i="9"/>
  <c r="AS42" i="9" s="1"/>
  <c r="AA42" i="9"/>
  <c r="AR42" i="9" s="1"/>
  <c r="Z42" i="9"/>
  <c r="AQ42" i="9" s="1"/>
  <c r="Y42" i="9"/>
  <c r="X42" i="9"/>
  <c r="AO42" i="9" s="1"/>
  <c r="BH42" i="9" s="1"/>
  <c r="D42" i="9"/>
  <c r="B42" i="9"/>
  <c r="B43" i="9" s="1"/>
  <c r="B44" i="9" s="1"/>
  <c r="B45" i="9" s="1"/>
  <c r="B47" i="9" s="1"/>
  <c r="B48" i="9" s="1"/>
  <c r="B49" i="9" s="1"/>
  <c r="B50" i="9" s="1"/>
  <c r="AM41" i="9"/>
  <c r="BD41" i="9" s="1"/>
  <c r="AL41" i="9"/>
  <c r="BC41" i="9" s="1"/>
  <c r="AK41" i="9"/>
  <c r="BB41" i="9" s="1"/>
  <c r="AJ41" i="9"/>
  <c r="BA41" i="9" s="1"/>
  <c r="AI41" i="9"/>
  <c r="AZ41" i="9" s="1"/>
  <c r="AH41" i="9"/>
  <c r="AY41" i="9" s="1"/>
  <c r="AG41" i="9"/>
  <c r="AX41" i="9" s="1"/>
  <c r="AF41" i="9"/>
  <c r="AW41" i="9" s="1"/>
  <c r="AE41" i="9"/>
  <c r="AV41" i="9" s="1"/>
  <c r="AD41" i="9"/>
  <c r="AU41" i="9" s="1"/>
  <c r="AC41" i="9"/>
  <c r="AT41" i="9" s="1"/>
  <c r="AB41" i="9"/>
  <c r="AS41" i="9" s="1"/>
  <c r="AA41" i="9"/>
  <c r="AR41" i="9" s="1"/>
  <c r="Z41" i="9"/>
  <c r="AQ41" i="9" s="1"/>
  <c r="Y41" i="9"/>
  <c r="X41" i="9"/>
  <c r="AO41" i="9" s="1"/>
  <c r="AM40" i="9"/>
  <c r="BD40" i="9" s="1"/>
  <c r="AL40" i="9"/>
  <c r="BC40" i="9" s="1"/>
  <c r="AK40" i="9"/>
  <c r="BB40" i="9" s="1"/>
  <c r="AJ40" i="9"/>
  <c r="BA40" i="9" s="1"/>
  <c r="AI40" i="9"/>
  <c r="AZ40" i="9" s="1"/>
  <c r="AH40" i="9"/>
  <c r="AY40" i="9" s="1"/>
  <c r="AG40" i="9"/>
  <c r="AX40" i="9" s="1"/>
  <c r="AF40" i="9"/>
  <c r="AW40" i="9" s="1"/>
  <c r="AE40" i="9"/>
  <c r="AV40" i="9" s="1"/>
  <c r="AD40" i="9"/>
  <c r="AU40" i="9" s="1"/>
  <c r="AC40" i="9"/>
  <c r="AT40" i="9" s="1"/>
  <c r="AB40" i="9"/>
  <c r="AS40" i="9" s="1"/>
  <c r="AA40" i="9"/>
  <c r="AR40" i="9" s="1"/>
  <c r="Z40" i="9"/>
  <c r="AQ40" i="9" s="1"/>
  <c r="Y40" i="9"/>
  <c r="X40" i="9"/>
  <c r="AO40" i="9" s="1"/>
  <c r="AM39" i="9"/>
  <c r="BD39" i="9" s="1"/>
  <c r="AL39" i="9"/>
  <c r="BC39" i="9" s="1"/>
  <c r="AK39" i="9"/>
  <c r="BB39" i="9" s="1"/>
  <c r="AJ39" i="9"/>
  <c r="BA39" i="9" s="1"/>
  <c r="AG39" i="9"/>
  <c r="AX39" i="9" s="1"/>
  <c r="AF39" i="9"/>
  <c r="AW39" i="9" s="1"/>
  <c r="AE39" i="9"/>
  <c r="AV39" i="9" s="1"/>
  <c r="AD39" i="9"/>
  <c r="AU39" i="9" s="1"/>
  <c r="AC39" i="9"/>
  <c r="AT39" i="9" s="1"/>
  <c r="AB39" i="9"/>
  <c r="AS39" i="9" s="1"/>
  <c r="AA39" i="9"/>
  <c r="AR39" i="9" s="1"/>
  <c r="Z39" i="9"/>
  <c r="AQ39" i="9" s="1"/>
  <c r="Y39" i="9"/>
  <c r="D39" i="9"/>
  <c r="AM38" i="9"/>
  <c r="BD38" i="9" s="1"/>
  <c r="AL38" i="9"/>
  <c r="BC38" i="9" s="1"/>
  <c r="AJ38" i="9"/>
  <c r="BA38" i="9" s="1"/>
  <c r="AI38" i="9"/>
  <c r="AZ38" i="9" s="1"/>
  <c r="AH38" i="9"/>
  <c r="AY38" i="9" s="1"/>
  <c r="AG38" i="9"/>
  <c r="AX38" i="9" s="1"/>
  <c r="AF38" i="9"/>
  <c r="AW38" i="9" s="1"/>
  <c r="AE38" i="9"/>
  <c r="AV38" i="9" s="1"/>
  <c r="AD38" i="9"/>
  <c r="AU38" i="9" s="1"/>
  <c r="AC38" i="9"/>
  <c r="AT38" i="9" s="1"/>
  <c r="AB38" i="9"/>
  <c r="AA38" i="9"/>
  <c r="Z38" i="9"/>
  <c r="Y38" i="9"/>
  <c r="D38" i="9"/>
  <c r="AM37" i="9"/>
  <c r="BD37" i="9" s="1"/>
  <c r="AL37" i="9"/>
  <c r="BC37" i="9" s="1"/>
  <c r="AK37" i="9"/>
  <c r="BB37" i="9" s="1"/>
  <c r="AJ37" i="9"/>
  <c r="BA37" i="9" s="1"/>
  <c r="AI37" i="9"/>
  <c r="AZ37" i="9" s="1"/>
  <c r="AH37" i="9"/>
  <c r="AY37" i="9" s="1"/>
  <c r="AG37" i="9"/>
  <c r="AX37" i="9" s="1"/>
  <c r="AF37" i="9"/>
  <c r="AW37" i="9" s="1"/>
  <c r="AE37" i="9"/>
  <c r="AV37" i="9" s="1"/>
  <c r="AD37" i="9"/>
  <c r="AU37" i="9" s="1"/>
  <c r="AC37" i="9"/>
  <c r="AT37" i="9" s="1"/>
  <c r="AB37" i="9"/>
  <c r="AA37" i="9"/>
  <c r="Z37" i="9"/>
  <c r="Y37" i="9"/>
  <c r="D37" i="9"/>
  <c r="AM36" i="9"/>
  <c r="BD36" i="9" s="1"/>
  <c r="AL36" i="9"/>
  <c r="BC36" i="9" s="1"/>
  <c r="AK36" i="9"/>
  <c r="BB36" i="9" s="1"/>
  <c r="AJ36" i="9"/>
  <c r="BA36" i="9" s="1"/>
  <c r="AI36" i="9"/>
  <c r="AZ36" i="9" s="1"/>
  <c r="AH36" i="9"/>
  <c r="AY36" i="9" s="1"/>
  <c r="AG36" i="9"/>
  <c r="AX36" i="9" s="1"/>
  <c r="AF36" i="9"/>
  <c r="AW36" i="9" s="1"/>
  <c r="AE36" i="9"/>
  <c r="AV36" i="9" s="1"/>
  <c r="AD36" i="9"/>
  <c r="AU36" i="9" s="1"/>
  <c r="AC36" i="9"/>
  <c r="AT36" i="9" s="1"/>
  <c r="AB36" i="9"/>
  <c r="AS36" i="9" s="1"/>
  <c r="AA36" i="9"/>
  <c r="AR36" i="9" s="1"/>
  <c r="Z36" i="9"/>
  <c r="AQ36" i="9" s="1"/>
  <c r="Y36" i="9"/>
  <c r="X36" i="9"/>
  <c r="AO36" i="9" s="1"/>
  <c r="AM35" i="9"/>
  <c r="BD35" i="9" s="1"/>
  <c r="AL35" i="9"/>
  <c r="BC35" i="9" s="1"/>
  <c r="AK35" i="9"/>
  <c r="BB35" i="9" s="1"/>
  <c r="AJ35" i="9"/>
  <c r="BA35" i="9" s="1"/>
  <c r="AI35" i="9"/>
  <c r="AZ35" i="9" s="1"/>
  <c r="AH35" i="9"/>
  <c r="AY35" i="9" s="1"/>
  <c r="AG35" i="9"/>
  <c r="AX35" i="9" s="1"/>
  <c r="AF35" i="9"/>
  <c r="AW35" i="9" s="1"/>
  <c r="AE35" i="9"/>
  <c r="AV35" i="9" s="1"/>
  <c r="AD35" i="9"/>
  <c r="AU35" i="9" s="1"/>
  <c r="AC35" i="9"/>
  <c r="AB35" i="9"/>
  <c r="AS35" i="9" s="1"/>
  <c r="AA35" i="9"/>
  <c r="AR35" i="9" s="1"/>
  <c r="Z35" i="9"/>
  <c r="AQ35" i="9" s="1"/>
  <c r="Y35" i="9"/>
  <c r="X35" i="9"/>
  <c r="AO35" i="9" s="1"/>
  <c r="BH35" i="9" s="1"/>
  <c r="D35" i="9"/>
  <c r="AM34" i="9"/>
  <c r="BD34" i="9" s="1"/>
  <c r="AL34" i="9"/>
  <c r="BC34" i="9" s="1"/>
  <c r="AK34" i="9"/>
  <c r="BB34" i="9" s="1"/>
  <c r="AJ34" i="9"/>
  <c r="BA34" i="9" s="1"/>
  <c r="AI34" i="9"/>
  <c r="AZ34" i="9" s="1"/>
  <c r="AH34" i="9"/>
  <c r="AY34" i="9" s="1"/>
  <c r="AG34" i="9"/>
  <c r="AX34" i="9" s="1"/>
  <c r="AF34" i="9"/>
  <c r="AW34" i="9" s="1"/>
  <c r="AE34" i="9"/>
  <c r="AV34" i="9" s="1"/>
  <c r="AD34" i="9"/>
  <c r="AU34" i="9" s="1"/>
  <c r="AC34" i="9"/>
  <c r="AB34" i="9"/>
  <c r="AA34" i="9"/>
  <c r="AR34" i="9" s="1"/>
  <c r="Z34" i="9"/>
  <c r="Y34" i="9"/>
  <c r="X34" i="9"/>
  <c r="AO34" i="9" s="1"/>
  <c r="BH34" i="9" s="1"/>
  <c r="D34" i="9"/>
  <c r="AM33" i="9"/>
  <c r="BD33" i="9" s="1"/>
  <c r="AL33" i="9"/>
  <c r="BC33" i="9" s="1"/>
  <c r="AK33" i="9"/>
  <c r="BB33" i="9" s="1"/>
  <c r="AJ33" i="9"/>
  <c r="BA33" i="9" s="1"/>
  <c r="AI33" i="9"/>
  <c r="AZ33" i="9" s="1"/>
  <c r="AH33" i="9"/>
  <c r="AY33" i="9" s="1"/>
  <c r="AG33" i="9"/>
  <c r="AX33" i="9" s="1"/>
  <c r="AF33" i="9"/>
  <c r="AW33" i="9" s="1"/>
  <c r="AE33" i="9"/>
  <c r="AV33" i="9" s="1"/>
  <c r="AD33" i="9"/>
  <c r="AU33" i="9" s="1"/>
  <c r="AC33" i="9"/>
  <c r="AT33" i="9" s="1"/>
  <c r="AB33" i="9"/>
  <c r="AA33" i="9"/>
  <c r="AR33" i="9" s="1"/>
  <c r="Z33" i="9"/>
  <c r="Y33" i="9"/>
  <c r="D33" i="9"/>
  <c r="AM32" i="9"/>
  <c r="BD32" i="9" s="1"/>
  <c r="AL32" i="9"/>
  <c r="BC32" i="9" s="1"/>
  <c r="AK32" i="9"/>
  <c r="BB32" i="9" s="1"/>
  <c r="AJ32" i="9"/>
  <c r="BA32" i="9" s="1"/>
  <c r="AI32" i="9"/>
  <c r="AZ32" i="9" s="1"/>
  <c r="AH32" i="9"/>
  <c r="AY32" i="9" s="1"/>
  <c r="AG32" i="9"/>
  <c r="AX32" i="9" s="1"/>
  <c r="AF32" i="9"/>
  <c r="AW32" i="9" s="1"/>
  <c r="AE32" i="9"/>
  <c r="AV32" i="9" s="1"/>
  <c r="AD32" i="9"/>
  <c r="AU32" i="9" s="1"/>
  <c r="AC32" i="9"/>
  <c r="AB32" i="9"/>
  <c r="AS32" i="9" s="1"/>
  <c r="AA32" i="9"/>
  <c r="AR32" i="9" s="1"/>
  <c r="Z32" i="9"/>
  <c r="AQ32" i="9" s="1"/>
  <c r="Y32" i="9"/>
  <c r="X32" i="9"/>
  <c r="AO32" i="9" s="1"/>
  <c r="BH32" i="9" s="1"/>
  <c r="D32" i="9"/>
  <c r="AM31" i="9"/>
  <c r="BD31" i="9" s="1"/>
  <c r="AL31" i="9"/>
  <c r="BC31" i="9" s="1"/>
  <c r="AK31" i="9"/>
  <c r="BB31" i="9" s="1"/>
  <c r="AJ31" i="9"/>
  <c r="BA31" i="9" s="1"/>
  <c r="AI31" i="9"/>
  <c r="AZ31" i="9" s="1"/>
  <c r="AH31" i="9"/>
  <c r="AY31" i="9" s="1"/>
  <c r="AG31" i="9"/>
  <c r="AX31" i="9" s="1"/>
  <c r="AF31" i="9"/>
  <c r="AW31" i="9" s="1"/>
  <c r="AE31" i="9"/>
  <c r="AV31" i="9" s="1"/>
  <c r="AD31" i="9"/>
  <c r="AU31" i="9" s="1"/>
  <c r="AC31" i="9"/>
  <c r="AT31" i="9" s="1"/>
  <c r="AB31" i="9"/>
  <c r="AS31" i="9" s="1"/>
  <c r="AA31" i="9"/>
  <c r="AR31" i="9" s="1"/>
  <c r="Z31" i="9"/>
  <c r="AQ31" i="9" s="1"/>
  <c r="Y31" i="9"/>
  <c r="D31" i="9"/>
  <c r="AM30" i="9"/>
  <c r="BD30" i="9" s="1"/>
  <c r="AL30" i="9"/>
  <c r="BC30" i="9" s="1"/>
  <c r="AK30" i="9"/>
  <c r="BB30" i="9" s="1"/>
  <c r="AJ30" i="9"/>
  <c r="BA30" i="9" s="1"/>
  <c r="AI30" i="9"/>
  <c r="AZ30" i="9" s="1"/>
  <c r="AH30" i="9"/>
  <c r="AY30" i="9" s="1"/>
  <c r="AG30" i="9"/>
  <c r="AX30" i="9" s="1"/>
  <c r="AF30" i="9"/>
  <c r="AW30" i="9" s="1"/>
  <c r="AE30" i="9"/>
  <c r="AV30" i="9" s="1"/>
  <c r="AD30" i="9"/>
  <c r="AU30" i="9" s="1"/>
  <c r="AC30" i="9"/>
  <c r="AT30" i="9" s="1"/>
  <c r="AB30" i="9"/>
  <c r="AS30" i="9" s="1"/>
  <c r="AA30" i="9"/>
  <c r="AR30" i="9" s="1"/>
  <c r="Z30" i="9"/>
  <c r="AQ30" i="9" s="1"/>
  <c r="Y30" i="9"/>
  <c r="X30" i="9"/>
  <c r="AO30" i="9" s="1"/>
  <c r="AM29" i="9"/>
  <c r="BD29" i="9" s="1"/>
  <c r="AL29" i="9"/>
  <c r="BC29" i="9" s="1"/>
  <c r="AK29" i="9"/>
  <c r="BB29" i="9" s="1"/>
  <c r="AJ29" i="9"/>
  <c r="BA29" i="9" s="1"/>
  <c r="AI29" i="9"/>
  <c r="AZ29" i="9" s="1"/>
  <c r="AH29" i="9"/>
  <c r="AY29" i="9" s="1"/>
  <c r="AG29" i="9"/>
  <c r="AX29" i="9" s="1"/>
  <c r="AF29" i="9"/>
  <c r="AW29" i="9" s="1"/>
  <c r="AE29" i="9"/>
  <c r="AV29" i="9" s="1"/>
  <c r="AD29" i="9"/>
  <c r="AU29" i="9" s="1"/>
  <c r="AC29" i="9"/>
  <c r="AT29" i="9" s="1"/>
  <c r="AB29" i="9"/>
  <c r="AS29" i="9" s="1"/>
  <c r="AA29" i="9"/>
  <c r="AR29" i="9" s="1"/>
  <c r="Z29" i="9"/>
  <c r="AQ29" i="9" s="1"/>
  <c r="Y29" i="9"/>
  <c r="X29" i="9"/>
  <c r="AO29" i="9" s="1"/>
  <c r="BH29" i="9" s="1"/>
  <c r="D29" i="9"/>
  <c r="B29" i="9"/>
  <c r="B31" i="9" s="1"/>
  <c r="B32" i="9" s="1"/>
  <c r="B33" i="9" s="1"/>
  <c r="B34" i="9" s="1"/>
  <c r="B35" i="9" s="1"/>
  <c r="B37" i="9" s="1"/>
  <c r="B38" i="9" s="1"/>
  <c r="B39" i="9" s="1"/>
  <c r="AM28" i="9"/>
  <c r="BD28" i="9" s="1"/>
  <c r="AL28" i="9"/>
  <c r="BC28" i="9" s="1"/>
  <c r="AK28" i="9"/>
  <c r="BB28" i="9" s="1"/>
  <c r="AJ28" i="9"/>
  <c r="BA28" i="9" s="1"/>
  <c r="AI28" i="9"/>
  <c r="AZ28" i="9" s="1"/>
  <c r="AH28" i="9"/>
  <c r="AY28" i="9" s="1"/>
  <c r="AG28" i="9"/>
  <c r="AX28" i="9" s="1"/>
  <c r="AF28" i="9"/>
  <c r="AW28" i="9" s="1"/>
  <c r="AE28" i="9"/>
  <c r="AV28" i="9" s="1"/>
  <c r="AD28" i="9"/>
  <c r="AU28" i="9" s="1"/>
  <c r="AC28" i="9"/>
  <c r="AT28" i="9" s="1"/>
  <c r="AB28" i="9"/>
  <c r="AS28" i="9" s="1"/>
  <c r="AA28" i="9"/>
  <c r="AR28" i="9" s="1"/>
  <c r="Z28" i="9"/>
  <c r="AQ28" i="9" s="1"/>
  <c r="Y28" i="9"/>
  <c r="X28" i="9"/>
  <c r="AO28" i="9" s="1"/>
  <c r="BH28" i="9" s="1"/>
  <c r="D28" i="9"/>
  <c r="AM27" i="9"/>
  <c r="BD27" i="9" s="1"/>
  <c r="AL27" i="9"/>
  <c r="BC27" i="9" s="1"/>
  <c r="AK27" i="9"/>
  <c r="BB27" i="9" s="1"/>
  <c r="AJ27" i="9"/>
  <c r="BA27" i="9" s="1"/>
  <c r="AI27" i="9"/>
  <c r="AZ27" i="9" s="1"/>
  <c r="AH27" i="9"/>
  <c r="AY27" i="9" s="1"/>
  <c r="AG27" i="9"/>
  <c r="AX27" i="9" s="1"/>
  <c r="AF27" i="9"/>
  <c r="AW27" i="9" s="1"/>
  <c r="AE27" i="9"/>
  <c r="AV27" i="9" s="1"/>
  <c r="AD27" i="9"/>
  <c r="AU27" i="9" s="1"/>
  <c r="AC27" i="9"/>
  <c r="AT27" i="9" s="1"/>
  <c r="AB27" i="9"/>
  <c r="AS27" i="9" s="1"/>
  <c r="AA27" i="9"/>
  <c r="AR27" i="9" s="1"/>
  <c r="Z27" i="9"/>
  <c r="AQ27" i="9" s="1"/>
  <c r="Y27" i="9"/>
  <c r="X27" i="9"/>
  <c r="AO27" i="9" s="1"/>
  <c r="AM26" i="9"/>
  <c r="BD26" i="9" s="1"/>
  <c r="AL26" i="9"/>
  <c r="BC26" i="9" s="1"/>
  <c r="AK26" i="9"/>
  <c r="BB26" i="9" s="1"/>
  <c r="AJ26" i="9"/>
  <c r="BA26" i="9" s="1"/>
  <c r="AI26" i="9"/>
  <c r="AZ26" i="9" s="1"/>
  <c r="AH26" i="9"/>
  <c r="AY26" i="9" s="1"/>
  <c r="AG26" i="9"/>
  <c r="AX26" i="9" s="1"/>
  <c r="AF26" i="9"/>
  <c r="AW26" i="9" s="1"/>
  <c r="AE26" i="9"/>
  <c r="AV26" i="9" s="1"/>
  <c r="AD26" i="9"/>
  <c r="AU26" i="9" s="1"/>
  <c r="AC26" i="9"/>
  <c r="AT26" i="9" s="1"/>
  <c r="AB26" i="9"/>
  <c r="AS26" i="9" s="1"/>
  <c r="AA26" i="9"/>
  <c r="AR26" i="9" s="1"/>
  <c r="Z26" i="9"/>
  <c r="AQ26" i="9" s="1"/>
  <c r="Y26" i="9"/>
  <c r="X26" i="9"/>
  <c r="AO26" i="9" s="1"/>
  <c r="AM25" i="9"/>
  <c r="BD25" i="9" s="1"/>
  <c r="AL25" i="9"/>
  <c r="AK25" i="9"/>
  <c r="BB25" i="9" s="1"/>
  <c r="AJ25" i="9"/>
  <c r="BA25" i="9" s="1"/>
  <c r="AI25" i="9"/>
  <c r="AZ25" i="9" s="1"/>
  <c r="AH25" i="9"/>
  <c r="AY25" i="9" s="1"/>
  <c r="AG25" i="9"/>
  <c r="AX25" i="9" s="1"/>
  <c r="AF25" i="9"/>
  <c r="AE25" i="9"/>
  <c r="AD25" i="9"/>
  <c r="AC25" i="9"/>
  <c r="AT25" i="9" s="1"/>
  <c r="AB25" i="9"/>
  <c r="AA25" i="9"/>
  <c r="Z25" i="9"/>
  <c r="Y25" i="9"/>
  <c r="X25" i="9"/>
  <c r="AO25" i="9" s="1"/>
  <c r="BH25" i="9" s="1"/>
  <c r="AM24" i="9"/>
  <c r="BD24" i="9" s="1"/>
  <c r="AK24" i="9"/>
  <c r="BB24" i="9" s="1"/>
  <c r="AJ24" i="9"/>
  <c r="BA24" i="9" s="1"/>
  <c r="AI24" i="9"/>
  <c r="AZ24" i="9" s="1"/>
  <c r="AH24" i="9"/>
  <c r="AY24" i="9" s="1"/>
  <c r="AG24" i="9"/>
  <c r="AX24" i="9" s="1"/>
  <c r="AF24" i="9"/>
  <c r="AW24" i="9" s="1"/>
  <c r="AE24" i="9"/>
  <c r="AV24" i="9" s="1"/>
  <c r="AD24" i="9"/>
  <c r="AU24" i="9" s="1"/>
  <c r="AC24" i="9"/>
  <c r="AT24" i="9" s="1"/>
  <c r="AB24" i="9"/>
  <c r="AA24" i="9"/>
  <c r="Z24" i="9"/>
  <c r="Y24" i="9"/>
  <c r="AM23" i="9"/>
  <c r="BD23" i="9" s="1"/>
  <c r="AL23" i="9"/>
  <c r="BC23" i="9" s="1"/>
  <c r="AK23" i="9"/>
  <c r="BB23" i="9" s="1"/>
  <c r="AJ23" i="9"/>
  <c r="BA23" i="9" s="1"/>
  <c r="AI23" i="9"/>
  <c r="AZ23" i="9" s="1"/>
  <c r="AH23" i="9"/>
  <c r="AY23" i="9" s="1"/>
  <c r="AG23" i="9"/>
  <c r="AX23" i="9" s="1"/>
  <c r="AF23" i="9"/>
  <c r="AE23" i="9"/>
  <c r="AD23" i="9"/>
  <c r="AC23" i="9"/>
  <c r="AT23" i="9" s="1"/>
  <c r="AB23" i="9"/>
  <c r="AA23" i="9"/>
  <c r="Z23" i="9"/>
  <c r="Y23" i="9"/>
  <c r="X23" i="9"/>
  <c r="AO23" i="9" s="1"/>
  <c r="BH23" i="9" s="1"/>
  <c r="AM22" i="9"/>
  <c r="BD22" i="9" s="1"/>
  <c r="AL22" i="9"/>
  <c r="BC22" i="9" s="1"/>
  <c r="AK22" i="9"/>
  <c r="BB22" i="9" s="1"/>
  <c r="AJ22" i="9"/>
  <c r="BA22" i="9" s="1"/>
  <c r="AI22" i="9"/>
  <c r="AZ22" i="9" s="1"/>
  <c r="AH22" i="9"/>
  <c r="AY22" i="9" s="1"/>
  <c r="AG22" i="9"/>
  <c r="AX22" i="9" s="1"/>
  <c r="AF22" i="9"/>
  <c r="AW22" i="9" s="1"/>
  <c r="AE22" i="9"/>
  <c r="AV22" i="9" s="1"/>
  <c r="AD22" i="9"/>
  <c r="AU22" i="9" s="1"/>
  <c r="AC22" i="9"/>
  <c r="AT22" i="9" s="1"/>
  <c r="AB22" i="9"/>
  <c r="AA22" i="9"/>
  <c r="Z22" i="9"/>
  <c r="Y22" i="9"/>
  <c r="AM20" i="9"/>
  <c r="BD20" i="9" s="1"/>
  <c r="AL20" i="9"/>
  <c r="BC20" i="9" s="1"/>
  <c r="AK20" i="9"/>
  <c r="BB20" i="9" s="1"/>
  <c r="AJ20" i="9"/>
  <c r="BA20" i="9" s="1"/>
  <c r="AI20" i="9"/>
  <c r="AZ20" i="9" s="1"/>
  <c r="AH20" i="9"/>
  <c r="AY20" i="9" s="1"/>
  <c r="AG20" i="9"/>
  <c r="AX20" i="9" s="1"/>
  <c r="AF20" i="9"/>
  <c r="AW20" i="9" s="1"/>
  <c r="AE20" i="9"/>
  <c r="AV20" i="9" s="1"/>
  <c r="AD20" i="9"/>
  <c r="AU20" i="9" s="1"/>
  <c r="AC20" i="9"/>
  <c r="AT20" i="9" s="1"/>
  <c r="AB20" i="9"/>
  <c r="AS20" i="9" s="1"/>
  <c r="AA20" i="9"/>
  <c r="AR20" i="9" s="1"/>
  <c r="Z20" i="9"/>
  <c r="AQ20" i="9" s="1"/>
  <c r="Y20" i="9"/>
  <c r="X20" i="9"/>
  <c r="AO20" i="9" s="1"/>
  <c r="AM19" i="9"/>
  <c r="BD19" i="9" s="1"/>
  <c r="AL19" i="9"/>
  <c r="BC19" i="9" s="1"/>
  <c r="AK19" i="9"/>
  <c r="BB19" i="9" s="1"/>
  <c r="AJ19" i="9"/>
  <c r="BA19" i="9" s="1"/>
  <c r="AI19" i="9"/>
  <c r="AZ19" i="9" s="1"/>
  <c r="AH19" i="9"/>
  <c r="AY19" i="9" s="1"/>
  <c r="AG19" i="9"/>
  <c r="AX19" i="9" s="1"/>
  <c r="AF19" i="9"/>
  <c r="AW19" i="9" s="1"/>
  <c r="AE19" i="9"/>
  <c r="AV19" i="9" s="1"/>
  <c r="AD19" i="9"/>
  <c r="AU19" i="9" s="1"/>
  <c r="AC19" i="9"/>
  <c r="AB19" i="9"/>
  <c r="AS19" i="9" s="1"/>
  <c r="AA19" i="9"/>
  <c r="AR19" i="9" s="1"/>
  <c r="Z19" i="9"/>
  <c r="AQ19" i="9" s="1"/>
  <c r="Y19" i="9"/>
  <c r="X19" i="9"/>
  <c r="AO19" i="9" s="1"/>
  <c r="BH19" i="9" s="1"/>
  <c r="B23" i="9"/>
  <c r="B24" i="9" s="1"/>
  <c r="B25" i="9" s="1"/>
  <c r="AM18" i="9"/>
  <c r="BD18" i="9" s="1"/>
  <c r="AL18" i="9"/>
  <c r="BC18" i="9" s="1"/>
  <c r="AK18" i="9"/>
  <c r="BB18" i="9" s="1"/>
  <c r="AJ18" i="9"/>
  <c r="BA18" i="9" s="1"/>
  <c r="AI18" i="9"/>
  <c r="AZ18" i="9" s="1"/>
  <c r="AH18" i="9"/>
  <c r="AY18" i="9" s="1"/>
  <c r="AG18" i="9"/>
  <c r="AX18" i="9" s="1"/>
  <c r="AF18" i="9"/>
  <c r="AW18" i="9" s="1"/>
  <c r="AE18" i="9"/>
  <c r="AV18" i="9" s="1"/>
  <c r="AD18" i="9"/>
  <c r="AU18" i="9" s="1"/>
  <c r="AC18" i="9"/>
  <c r="AT18" i="9" s="1"/>
  <c r="AB18" i="9"/>
  <c r="AS18" i="9" s="1"/>
  <c r="AA18" i="9"/>
  <c r="AR18" i="9" s="1"/>
  <c r="Z18" i="9"/>
  <c r="AQ18" i="9" s="1"/>
  <c r="AM17" i="9"/>
  <c r="BD17" i="9" s="1"/>
  <c r="AL17" i="9"/>
  <c r="BC17" i="9" s="1"/>
  <c r="AK17" i="9"/>
  <c r="BB17" i="9" s="1"/>
  <c r="AJ17" i="9"/>
  <c r="BA17" i="9" s="1"/>
  <c r="AI17" i="9"/>
  <c r="AZ17" i="9" s="1"/>
  <c r="AH17" i="9"/>
  <c r="AY17" i="9" s="1"/>
  <c r="AG17" i="9"/>
  <c r="AX17" i="9" s="1"/>
  <c r="AF17" i="9"/>
  <c r="AW17" i="9" s="1"/>
  <c r="AE17" i="9"/>
  <c r="AV17" i="9" s="1"/>
  <c r="AD17" i="9"/>
  <c r="AU17" i="9" s="1"/>
  <c r="AC17" i="9"/>
  <c r="AT17" i="9" s="1"/>
  <c r="AB17" i="9"/>
  <c r="AS17" i="9" s="1"/>
  <c r="AA17" i="9"/>
  <c r="AR17" i="9" s="1"/>
  <c r="Z17" i="9"/>
  <c r="AQ17" i="9" s="1"/>
  <c r="Y17" i="9"/>
  <c r="X17" i="9"/>
  <c r="AO17" i="9" s="1"/>
  <c r="AM16" i="9"/>
  <c r="BD16" i="9" s="1"/>
  <c r="AL16" i="9"/>
  <c r="BC16" i="9" s="1"/>
  <c r="AK16" i="9"/>
  <c r="BB16" i="9" s="1"/>
  <c r="AJ16" i="9"/>
  <c r="BA16" i="9" s="1"/>
  <c r="AI16" i="9"/>
  <c r="AZ16" i="9" s="1"/>
  <c r="AH16" i="9"/>
  <c r="AY16" i="9" s="1"/>
  <c r="AG16" i="9"/>
  <c r="AX16" i="9" s="1"/>
  <c r="AF16" i="9"/>
  <c r="AW16" i="9" s="1"/>
  <c r="AE16" i="9"/>
  <c r="AV16" i="9" s="1"/>
  <c r="AD16" i="9"/>
  <c r="AU16" i="9" s="1"/>
  <c r="AC16" i="9"/>
  <c r="AB16" i="9"/>
  <c r="AS16" i="9" s="1"/>
  <c r="AA16" i="9"/>
  <c r="AR16" i="9" s="1"/>
  <c r="Z16" i="9"/>
  <c r="AQ16" i="9" s="1"/>
  <c r="Y16" i="9"/>
  <c r="AP16" i="9" s="1"/>
  <c r="X16" i="9"/>
  <c r="AO16" i="9" s="1"/>
  <c r="BA11" i="9"/>
  <c r="AM126" i="8"/>
  <c r="BD126" i="8" s="1"/>
  <c r="AL126" i="8"/>
  <c r="BC126" i="8" s="1"/>
  <c r="AK126" i="8"/>
  <c r="BB126" i="8" s="1"/>
  <c r="AJ126" i="8"/>
  <c r="BA126" i="8" s="1"/>
  <c r="AI126" i="8"/>
  <c r="AZ126" i="8" s="1"/>
  <c r="AH126" i="8"/>
  <c r="AY126" i="8" s="1"/>
  <c r="AG126" i="8"/>
  <c r="AX126" i="8" s="1"/>
  <c r="AF126" i="8"/>
  <c r="AW126" i="8" s="1"/>
  <c r="AE126" i="8"/>
  <c r="AV126" i="8" s="1"/>
  <c r="AD126" i="8"/>
  <c r="AU126" i="8" s="1"/>
  <c r="AC126" i="8"/>
  <c r="AT126" i="8" s="1"/>
  <c r="AB126" i="8"/>
  <c r="AS126" i="8" s="1"/>
  <c r="AA126" i="8"/>
  <c r="AR126" i="8" s="1"/>
  <c r="Z126" i="8"/>
  <c r="AQ126" i="8" s="1"/>
  <c r="Y126" i="8"/>
  <c r="X126" i="8"/>
  <c r="AO126" i="8" s="1"/>
  <c r="BH126" i="8" s="1"/>
  <c r="AM125" i="8"/>
  <c r="BD125" i="8" s="1"/>
  <c r="AL125" i="8"/>
  <c r="BC125" i="8" s="1"/>
  <c r="AK125" i="8"/>
  <c r="BB125" i="8" s="1"/>
  <c r="AJ125" i="8"/>
  <c r="BA125" i="8" s="1"/>
  <c r="AI125" i="8"/>
  <c r="AZ125" i="8" s="1"/>
  <c r="AH125" i="8"/>
  <c r="AY125" i="8" s="1"/>
  <c r="AG125" i="8"/>
  <c r="AX125" i="8" s="1"/>
  <c r="AF125" i="8"/>
  <c r="AW125" i="8" s="1"/>
  <c r="AE125" i="8"/>
  <c r="AV125" i="8" s="1"/>
  <c r="AD125" i="8"/>
  <c r="AU125" i="8" s="1"/>
  <c r="AC125" i="8"/>
  <c r="AT125" i="8" s="1"/>
  <c r="AB125" i="8"/>
  <c r="AS125" i="8" s="1"/>
  <c r="AA125" i="8"/>
  <c r="AR125" i="8" s="1"/>
  <c r="Z125" i="8"/>
  <c r="AQ125" i="8" s="1"/>
  <c r="Y125" i="8"/>
  <c r="X125" i="8"/>
  <c r="AO125" i="8" s="1"/>
  <c r="BH125" i="8" s="1"/>
  <c r="AM124" i="8"/>
  <c r="BD124" i="8" s="1"/>
  <c r="AL124" i="8"/>
  <c r="BC124" i="8" s="1"/>
  <c r="AK124" i="8"/>
  <c r="BB124" i="8" s="1"/>
  <c r="AJ124" i="8"/>
  <c r="BA124" i="8" s="1"/>
  <c r="AI124" i="8"/>
  <c r="AZ124" i="8" s="1"/>
  <c r="AH124" i="8"/>
  <c r="AY124" i="8" s="1"/>
  <c r="AG124" i="8"/>
  <c r="AX124" i="8" s="1"/>
  <c r="AF124" i="8"/>
  <c r="AW124" i="8" s="1"/>
  <c r="AE124" i="8"/>
  <c r="AV124" i="8" s="1"/>
  <c r="AD124" i="8"/>
  <c r="AU124" i="8" s="1"/>
  <c r="AC124" i="8"/>
  <c r="AT124" i="8" s="1"/>
  <c r="AB124" i="8"/>
  <c r="AS124" i="8" s="1"/>
  <c r="AA124" i="8"/>
  <c r="AR124" i="8" s="1"/>
  <c r="Z124" i="8"/>
  <c r="AQ124" i="8" s="1"/>
  <c r="Y124" i="8"/>
  <c r="X124" i="8"/>
  <c r="AO124" i="8" s="1"/>
  <c r="BH124" i="8" s="1"/>
  <c r="AM123" i="8"/>
  <c r="BD123" i="8" s="1"/>
  <c r="AL123" i="8"/>
  <c r="BC123" i="8" s="1"/>
  <c r="AK123" i="8"/>
  <c r="BB123" i="8" s="1"/>
  <c r="AJ123" i="8"/>
  <c r="BA123" i="8" s="1"/>
  <c r="AI123" i="8"/>
  <c r="AZ123" i="8" s="1"/>
  <c r="AH123" i="8"/>
  <c r="AY123" i="8" s="1"/>
  <c r="AG123" i="8"/>
  <c r="AX123" i="8" s="1"/>
  <c r="AF123" i="8"/>
  <c r="AW123" i="8" s="1"/>
  <c r="AE123" i="8"/>
  <c r="AV123" i="8" s="1"/>
  <c r="AD123" i="8"/>
  <c r="AU123" i="8" s="1"/>
  <c r="AC123" i="8"/>
  <c r="AT123" i="8" s="1"/>
  <c r="AB123" i="8"/>
  <c r="AS123" i="8" s="1"/>
  <c r="AA123" i="8"/>
  <c r="AR123" i="8" s="1"/>
  <c r="Z123" i="8"/>
  <c r="AQ123" i="8" s="1"/>
  <c r="Y123" i="8"/>
  <c r="X123" i="8"/>
  <c r="AO123" i="8" s="1"/>
  <c r="BH123" i="8" s="1"/>
  <c r="AM122" i="8"/>
  <c r="BD122" i="8" s="1"/>
  <c r="AL122" i="8"/>
  <c r="BC122" i="8" s="1"/>
  <c r="AK122" i="8"/>
  <c r="BB122" i="8" s="1"/>
  <c r="AJ122" i="8"/>
  <c r="BA122" i="8" s="1"/>
  <c r="AI122" i="8"/>
  <c r="AZ122" i="8" s="1"/>
  <c r="AH122" i="8"/>
  <c r="AY122" i="8" s="1"/>
  <c r="AG122" i="8"/>
  <c r="AX122" i="8" s="1"/>
  <c r="AF122" i="8"/>
  <c r="AW122" i="8" s="1"/>
  <c r="AE122" i="8"/>
  <c r="AV122" i="8" s="1"/>
  <c r="AD122" i="8"/>
  <c r="AU122" i="8" s="1"/>
  <c r="AC122" i="8"/>
  <c r="AT122" i="8" s="1"/>
  <c r="AB122" i="8"/>
  <c r="AS122" i="8" s="1"/>
  <c r="AA122" i="8"/>
  <c r="AR122" i="8" s="1"/>
  <c r="Z122" i="8"/>
  <c r="AQ122" i="8" s="1"/>
  <c r="Y122" i="8"/>
  <c r="X122" i="8"/>
  <c r="AO122" i="8" s="1"/>
  <c r="BH122" i="8" s="1"/>
  <c r="AM121" i="8"/>
  <c r="BD121" i="8" s="1"/>
  <c r="AL121" i="8"/>
  <c r="BC121" i="8" s="1"/>
  <c r="AK121" i="8"/>
  <c r="BB121" i="8" s="1"/>
  <c r="AJ121" i="8"/>
  <c r="BA121" i="8" s="1"/>
  <c r="AI121" i="8"/>
  <c r="AZ121" i="8" s="1"/>
  <c r="AH121" i="8"/>
  <c r="AY121" i="8" s="1"/>
  <c r="AG121" i="8"/>
  <c r="AX121" i="8" s="1"/>
  <c r="AF121" i="8"/>
  <c r="AW121" i="8" s="1"/>
  <c r="AE121" i="8"/>
  <c r="AV121" i="8" s="1"/>
  <c r="AD121" i="8"/>
  <c r="AU121" i="8" s="1"/>
  <c r="AC121" i="8"/>
  <c r="AT121" i="8" s="1"/>
  <c r="AB121" i="8"/>
  <c r="AS121" i="8" s="1"/>
  <c r="AA121" i="8"/>
  <c r="AR121" i="8" s="1"/>
  <c r="Z121" i="8"/>
  <c r="AQ121" i="8" s="1"/>
  <c r="Y121" i="8"/>
  <c r="X121" i="8"/>
  <c r="AO121" i="8" s="1"/>
  <c r="BH121" i="8" s="1"/>
  <c r="AM120" i="8"/>
  <c r="BD120" i="8" s="1"/>
  <c r="AL120" i="8"/>
  <c r="BC120" i="8" s="1"/>
  <c r="AK120" i="8"/>
  <c r="BB120" i="8" s="1"/>
  <c r="AJ120" i="8"/>
  <c r="BA120" i="8" s="1"/>
  <c r="AI120" i="8"/>
  <c r="AZ120" i="8" s="1"/>
  <c r="AH120" i="8"/>
  <c r="AY120" i="8" s="1"/>
  <c r="AG120" i="8"/>
  <c r="AX120" i="8" s="1"/>
  <c r="AF120" i="8"/>
  <c r="AW120" i="8" s="1"/>
  <c r="AE120" i="8"/>
  <c r="AV120" i="8" s="1"/>
  <c r="AD120" i="8"/>
  <c r="AU120" i="8" s="1"/>
  <c r="AC120" i="8"/>
  <c r="AT120" i="8" s="1"/>
  <c r="AB120" i="8"/>
  <c r="AS120" i="8" s="1"/>
  <c r="AA120" i="8"/>
  <c r="AR120" i="8" s="1"/>
  <c r="Z120" i="8"/>
  <c r="AQ120" i="8" s="1"/>
  <c r="Y120" i="8"/>
  <c r="X120" i="8"/>
  <c r="AO120" i="8" s="1"/>
  <c r="BH120" i="8" s="1"/>
  <c r="AM119" i="8"/>
  <c r="BD119" i="8" s="1"/>
  <c r="AL119" i="8"/>
  <c r="BC119" i="8" s="1"/>
  <c r="AK119" i="8"/>
  <c r="BB119" i="8" s="1"/>
  <c r="AJ119" i="8"/>
  <c r="BA119" i="8" s="1"/>
  <c r="AI119" i="8"/>
  <c r="AZ119" i="8" s="1"/>
  <c r="AH119" i="8"/>
  <c r="AY119" i="8" s="1"/>
  <c r="AG119" i="8"/>
  <c r="AX119" i="8" s="1"/>
  <c r="AF119" i="8"/>
  <c r="AW119" i="8" s="1"/>
  <c r="AE119" i="8"/>
  <c r="AV119" i="8" s="1"/>
  <c r="AD119" i="8"/>
  <c r="AU119" i="8" s="1"/>
  <c r="AC119" i="8"/>
  <c r="AT119" i="8" s="1"/>
  <c r="AB119" i="8"/>
  <c r="AS119" i="8" s="1"/>
  <c r="AA119" i="8"/>
  <c r="AR119" i="8" s="1"/>
  <c r="Z119" i="8"/>
  <c r="AQ119" i="8" s="1"/>
  <c r="Y119" i="8"/>
  <c r="X119" i="8"/>
  <c r="AO119" i="8" s="1"/>
  <c r="BH119" i="8" s="1"/>
  <c r="AM118" i="8"/>
  <c r="BD118" i="8" s="1"/>
  <c r="AL118" i="8"/>
  <c r="BC118" i="8" s="1"/>
  <c r="AK118" i="8"/>
  <c r="BB118" i="8" s="1"/>
  <c r="AJ118" i="8"/>
  <c r="BA118" i="8" s="1"/>
  <c r="AI118" i="8"/>
  <c r="AZ118" i="8" s="1"/>
  <c r="AH118" i="8"/>
  <c r="AY118" i="8" s="1"/>
  <c r="AG118" i="8"/>
  <c r="AX118" i="8" s="1"/>
  <c r="AF118" i="8"/>
  <c r="AW118" i="8" s="1"/>
  <c r="AE118" i="8"/>
  <c r="AV118" i="8" s="1"/>
  <c r="AD118" i="8"/>
  <c r="AU118" i="8" s="1"/>
  <c r="AC118" i="8"/>
  <c r="AT118" i="8" s="1"/>
  <c r="AB118" i="8"/>
  <c r="AS118" i="8" s="1"/>
  <c r="AA118" i="8"/>
  <c r="AR118" i="8" s="1"/>
  <c r="Z118" i="8"/>
  <c r="AQ118" i="8" s="1"/>
  <c r="Y118" i="8"/>
  <c r="X118" i="8"/>
  <c r="AO118" i="8" s="1"/>
  <c r="BH118" i="8" s="1"/>
  <c r="AM117" i="8"/>
  <c r="BD117" i="8" s="1"/>
  <c r="AL117" i="8"/>
  <c r="BC117" i="8" s="1"/>
  <c r="AK117" i="8"/>
  <c r="BB117" i="8" s="1"/>
  <c r="AJ117" i="8"/>
  <c r="BA117" i="8" s="1"/>
  <c r="AI117" i="8"/>
  <c r="AZ117" i="8" s="1"/>
  <c r="AH117" i="8"/>
  <c r="AY117" i="8" s="1"/>
  <c r="AG117" i="8"/>
  <c r="AX117" i="8" s="1"/>
  <c r="AF117" i="8"/>
  <c r="AW117" i="8" s="1"/>
  <c r="AE117" i="8"/>
  <c r="AV117" i="8" s="1"/>
  <c r="AD117" i="8"/>
  <c r="AU117" i="8" s="1"/>
  <c r="AC117" i="8"/>
  <c r="AT117" i="8" s="1"/>
  <c r="AB117" i="8"/>
  <c r="AS117" i="8" s="1"/>
  <c r="AA117" i="8"/>
  <c r="AR117" i="8" s="1"/>
  <c r="Z117" i="8"/>
  <c r="AQ117" i="8" s="1"/>
  <c r="Y117" i="8"/>
  <c r="X117" i="8"/>
  <c r="AO117" i="8" s="1"/>
  <c r="AM116" i="8"/>
  <c r="BD116" i="8" s="1"/>
  <c r="AL116" i="8"/>
  <c r="BC116" i="8" s="1"/>
  <c r="AK116" i="8"/>
  <c r="BB116" i="8" s="1"/>
  <c r="AJ116" i="8"/>
  <c r="BA116" i="8" s="1"/>
  <c r="AI116" i="8"/>
  <c r="AZ116" i="8" s="1"/>
  <c r="AH116" i="8"/>
  <c r="AY116" i="8" s="1"/>
  <c r="AG116" i="8"/>
  <c r="AX116" i="8" s="1"/>
  <c r="AF116" i="8"/>
  <c r="AW116" i="8" s="1"/>
  <c r="AE116" i="8"/>
  <c r="AV116" i="8" s="1"/>
  <c r="AD116" i="8"/>
  <c r="AU116" i="8" s="1"/>
  <c r="AC116" i="8"/>
  <c r="AT116" i="8" s="1"/>
  <c r="AB116" i="8"/>
  <c r="AS116" i="8" s="1"/>
  <c r="AA116" i="8"/>
  <c r="AR116" i="8" s="1"/>
  <c r="Z116" i="8"/>
  <c r="AQ116" i="8" s="1"/>
  <c r="Y116" i="8"/>
  <c r="X116" i="8"/>
  <c r="AO116" i="8" s="1"/>
  <c r="BH116" i="8" s="1"/>
  <c r="AM115" i="8"/>
  <c r="BD115" i="8" s="1"/>
  <c r="AL115" i="8"/>
  <c r="BC115" i="8" s="1"/>
  <c r="AK115" i="8"/>
  <c r="BB115" i="8" s="1"/>
  <c r="AJ115" i="8"/>
  <c r="BA115" i="8" s="1"/>
  <c r="AI115" i="8"/>
  <c r="AZ115" i="8" s="1"/>
  <c r="AH115" i="8"/>
  <c r="AY115" i="8" s="1"/>
  <c r="AG115" i="8"/>
  <c r="AX115" i="8" s="1"/>
  <c r="AF115" i="8"/>
  <c r="AW115" i="8" s="1"/>
  <c r="AE115" i="8"/>
  <c r="AV115" i="8" s="1"/>
  <c r="AD115" i="8"/>
  <c r="AU115" i="8" s="1"/>
  <c r="AC115" i="8"/>
  <c r="AT115" i="8" s="1"/>
  <c r="AB115" i="8"/>
  <c r="AS115" i="8" s="1"/>
  <c r="AA115" i="8"/>
  <c r="AR115" i="8" s="1"/>
  <c r="Z115" i="8"/>
  <c r="AQ115" i="8" s="1"/>
  <c r="Y115" i="8"/>
  <c r="X115" i="8"/>
  <c r="AO115" i="8" s="1"/>
  <c r="BH115" i="8" s="1"/>
  <c r="AM114" i="8"/>
  <c r="BD114" i="8" s="1"/>
  <c r="AL114" i="8"/>
  <c r="BC114" i="8" s="1"/>
  <c r="AK114" i="8"/>
  <c r="BB114" i="8" s="1"/>
  <c r="AJ114" i="8"/>
  <c r="BA114" i="8" s="1"/>
  <c r="AI114" i="8"/>
  <c r="AZ114" i="8" s="1"/>
  <c r="AH114" i="8"/>
  <c r="AY114" i="8" s="1"/>
  <c r="AG114" i="8"/>
  <c r="AX114" i="8" s="1"/>
  <c r="AF114" i="8"/>
  <c r="AW114" i="8" s="1"/>
  <c r="AE114" i="8"/>
  <c r="AV114" i="8" s="1"/>
  <c r="AD114" i="8"/>
  <c r="AU114" i="8" s="1"/>
  <c r="AC114" i="8"/>
  <c r="AT114" i="8" s="1"/>
  <c r="AB114" i="8"/>
  <c r="AS114" i="8" s="1"/>
  <c r="AA114" i="8"/>
  <c r="AR114" i="8" s="1"/>
  <c r="Z114" i="8"/>
  <c r="AQ114" i="8" s="1"/>
  <c r="Y114" i="8"/>
  <c r="X114" i="8"/>
  <c r="AO114" i="8" s="1"/>
  <c r="BH114" i="8" s="1"/>
  <c r="AM113" i="8"/>
  <c r="BD113" i="8" s="1"/>
  <c r="AL113" i="8"/>
  <c r="BC113" i="8" s="1"/>
  <c r="AK113" i="8"/>
  <c r="BB113" i="8" s="1"/>
  <c r="AJ113" i="8"/>
  <c r="BA113" i="8" s="1"/>
  <c r="AI113" i="8"/>
  <c r="AZ113" i="8" s="1"/>
  <c r="AH113" i="8"/>
  <c r="AY113" i="8" s="1"/>
  <c r="AG113" i="8"/>
  <c r="AX113" i="8" s="1"/>
  <c r="AF113" i="8"/>
  <c r="AW113" i="8" s="1"/>
  <c r="AE113" i="8"/>
  <c r="AV113" i="8" s="1"/>
  <c r="AD113" i="8"/>
  <c r="AU113" i="8" s="1"/>
  <c r="AC113" i="8"/>
  <c r="AT113" i="8" s="1"/>
  <c r="AB113" i="8"/>
  <c r="AS113" i="8" s="1"/>
  <c r="AA113" i="8"/>
  <c r="AR113" i="8" s="1"/>
  <c r="Z113" i="8"/>
  <c r="AQ113" i="8" s="1"/>
  <c r="Y113" i="8"/>
  <c r="X113" i="8"/>
  <c r="AO113" i="8" s="1"/>
  <c r="BH113" i="8" s="1"/>
  <c r="AM112" i="8"/>
  <c r="BD112" i="8" s="1"/>
  <c r="AL112" i="8"/>
  <c r="BC112" i="8" s="1"/>
  <c r="AK112" i="8"/>
  <c r="BB112" i="8" s="1"/>
  <c r="AJ112" i="8"/>
  <c r="BA112" i="8" s="1"/>
  <c r="AI112" i="8"/>
  <c r="AZ112" i="8" s="1"/>
  <c r="AH112" i="8"/>
  <c r="AY112" i="8" s="1"/>
  <c r="AG112" i="8"/>
  <c r="AX112" i="8" s="1"/>
  <c r="AF112" i="8"/>
  <c r="AW112" i="8" s="1"/>
  <c r="AE112" i="8"/>
  <c r="AV112" i="8" s="1"/>
  <c r="AD112" i="8"/>
  <c r="AU112" i="8" s="1"/>
  <c r="AC112" i="8"/>
  <c r="AT112" i="8" s="1"/>
  <c r="AB112" i="8"/>
  <c r="AS112" i="8" s="1"/>
  <c r="AA112" i="8"/>
  <c r="AR112" i="8" s="1"/>
  <c r="Z112" i="8"/>
  <c r="AQ112" i="8" s="1"/>
  <c r="Y112" i="8"/>
  <c r="X112" i="8"/>
  <c r="AO112" i="8" s="1"/>
  <c r="AM103" i="8"/>
  <c r="BD103" i="8" s="1"/>
  <c r="AL103" i="8"/>
  <c r="BC103" i="8" s="1"/>
  <c r="AK103" i="8"/>
  <c r="BB103" i="8" s="1"/>
  <c r="AJ103" i="8"/>
  <c r="BA103" i="8" s="1"/>
  <c r="AI103" i="8"/>
  <c r="AZ103" i="8" s="1"/>
  <c r="AH103" i="8"/>
  <c r="AY103" i="8" s="1"/>
  <c r="AG103" i="8"/>
  <c r="AX103" i="8" s="1"/>
  <c r="AF103" i="8"/>
  <c r="AW103" i="8" s="1"/>
  <c r="AE103" i="8"/>
  <c r="AV103" i="8" s="1"/>
  <c r="AD103" i="8"/>
  <c r="AU103" i="8" s="1"/>
  <c r="AC103" i="8"/>
  <c r="AT103" i="8" s="1"/>
  <c r="AB103" i="8"/>
  <c r="AS103" i="8" s="1"/>
  <c r="AA103" i="8"/>
  <c r="AR103" i="8" s="1"/>
  <c r="Z103" i="8"/>
  <c r="AQ103" i="8" s="1"/>
  <c r="Y103" i="8"/>
  <c r="X103" i="8"/>
  <c r="AO103" i="8" s="1"/>
  <c r="BH103" i="8" s="1"/>
  <c r="AM102" i="8"/>
  <c r="BD102" i="8" s="1"/>
  <c r="AL102" i="8"/>
  <c r="BC102" i="8" s="1"/>
  <c r="AK102" i="8"/>
  <c r="BB102" i="8" s="1"/>
  <c r="AJ102" i="8"/>
  <c r="BA102" i="8" s="1"/>
  <c r="AI102" i="8"/>
  <c r="AZ102" i="8" s="1"/>
  <c r="AH102" i="8"/>
  <c r="AY102" i="8" s="1"/>
  <c r="AG102" i="8"/>
  <c r="AX102" i="8" s="1"/>
  <c r="AF102" i="8"/>
  <c r="AW102" i="8" s="1"/>
  <c r="AE102" i="8"/>
  <c r="AV102" i="8" s="1"/>
  <c r="AD102" i="8"/>
  <c r="AU102" i="8" s="1"/>
  <c r="AC102" i="8"/>
  <c r="AT102" i="8" s="1"/>
  <c r="AB102" i="8"/>
  <c r="AS102" i="8" s="1"/>
  <c r="AA102" i="8"/>
  <c r="AR102" i="8" s="1"/>
  <c r="Z102" i="8"/>
  <c r="AQ102" i="8" s="1"/>
  <c r="Y102" i="8"/>
  <c r="X102" i="8"/>
  <c r="AO102" i="8" s="1"/>
  <c r="BH102" i="8" s="1"/>
  <c r="BH101" i="8" s="1"/>
  <c r="AM101" i="8"/>
  <c r="BD101" i="8" s="1"/>
  <c r="AL101" i="8"/>
  <c r="BC101" i="8" s="1"/>
  <c r="AK101" i="8"/>
  <c r="BB101" i="8" s="1"/>
  <c r="AJ101" i="8"/>
  <c r="BA101" i="8" s="1"/>
  <c r="AI101" i="8"/>
  <c r="AZ101" i="8" s="1"/>
  <c r="AH101" i="8"/>
  <c r="AY101" i="8" s="1"/>
  <c r="AG101" i="8"/>
  <c r="AX101" i="8" s="1"/>
  <c r="AF101" i="8"/>
  <c r="AW101" i="8" s="1"/>
  <c r="AE101" i="8"/>
  <c r="AV101" i="8" s="1"/>
  <c r="AD101" i="8"/>
  <c r="AU101" i="8" s="1"/>
  <c r="AC101" i="8"/>
  <c r="AT101" i="8" s="1"/>
  <c r="AB101" i="8"/>
  <c r="AS101" i="8" s="1"/>
  <c r="AA101" i="8"/>
  <c r="AR101" i="8" s="1"/>
  <c r="Z101" i="8"/>
  <c r="AQ101" i="8" s="1"/>
  <c r="Y101" i="8"/>
  <c r="X101" i="8"/>
  <c r="AO101" i="8" s="1"/>
  <c r="AM97" i="8"/>
  <c r="BD97" i="8" s="1"/>
  <c r="AL97" i="8"/>
  <c r="BC97" i="8" s="1"/>
  <c r="AK97" i="8"/>
  <c r="BB97" i="8" s="1"/>
  <c r="AJ97" i="8"/>
  <c r="BA97" i="8" s="1"/>
  <c r="AI97" i="8"/>
  <c r="AZ97" i="8" s="1"/>
  <c r="AH97" i="8"/>
  <c r="AY97" i="8" s="1"/>
  <c r="AG97" i="8"/>
  <c r="AX97" i="8" s="1"/>
  <c r="AF97" i="8"/>
  <c r="AW97" i="8" s="1"/>
  <c r="AE97" i="8"/>
  <c r="AV97" i="8" s="1"/>
  <c r="AD97" i="8"/>
  <c r="AU97" i="8" s="1"/>
  <c r="AC97" i="8"/>
  <c r="AT97" i="8" s="1"/>
  <c r="AB97" i="8"/>
  <c r="AS97" i="8" s="1"/>
  <c r="AA97" i="8"/>
  <c r="AR97" i="8" s="1"/>
  <c r="Z97" i="8"/>
  <c r="AQ97" i="8" s="1"/>
  <c r="Y97" i="8"/>
  <c r="X97" i="8"/>
  <c r="AO97" i="8" s="1"/>
  <c r="BH97" i="8" s="1"/>
  <c r="AM96" i="8"/>
  <c r="BD96" i="8" s="1"/>
  <c r="AL96" i="8"/>
  <c r="BC96" i="8" s="1"/>
  <c r="AK96" i="8"/>
  <c r="BB96" i="8" s="1"/>
  <c r="AJ96" i="8"/>
  <c r="BA96" i="8" s="1"/>
  <c r="AI96" i="8"/>
  <c r="AZ96" i="8" s="1"/>
  <c r="AH96" i="8"/>
  <c r="AY96" i="8" s="1"/>
  <c r="AG96" i="8"/>
  <c r="AX96" i="8" s="1"/>
  <c r="AF96" i="8"/>
  <c r="AW96" i="8" s="1"/>
  <c r="AE96" i="8"/>
  <c r="AV96" i="8" s="1"/>
  <c r="AD96" i="8"/>
  <c r="AU96" i="8" s="1"/>
  <c r="AC96" i="8"/>
  <c r="AT96" i="8" s="1"/>
  <c r="AB96" i="8"/>
  <c r="AS96" i="8" s="1"/>
  <c r="AA96" i="8"/>
  <c r="AR96" i="8" s="1"/>
  <c r="Z96" i="8"/>
  <c r="AQ96" i="8" s="1"/>
  <c r="Y96" i="8"/>
  <c r="X96" i="8"/>
  <c r="AO96" i="8" s="1"/>
  <c r="BH96" i="8" s="1"/>
  <c r="AM100" i="8"/>
  <c r="BD100" i="8" s="1"/>
  <c r="AL100" i="8"/>
  <c r="BC100" i="8" s="1"/>
  <c r="AK100" i="8"/>
  <c r="BB100" i="8" s="1"/>
  <c r="AJ100" i="8"/>
  <c r="BA100" i="8" s="1"/>
  <c r="AI100" i="8"/>
  <c r="AZ100" i="8" s="1"/>
  <c r="AH100" i="8"/>
  <c r="AY100" i="8" s="1"/>
  <c r="AG100" i="8"/>
  <c r="AX100" i="8" s="1"/>
  <c r="AF100" i="8"/>
  <c r="AW100" i="8" s="1"/>
  <c r="AE100" i="8"/>
  <c r="AV100" i="8" s="1"/>
  <c r="AD100" i="8"/>
  <c r="AU100" i="8" s="1"/>
  <c r="AC100" i="8"/>
  <c r="AT100" i="8" s="1"/>
  <c r="AB100" i="8"/>
  <c r="AS100" i="8" s="1"/>
  <c r="AA100" i="8"/>
  <c r="AR100" i="8" s="1"/>
  <c r="Z100" i="8"/>
  <c r="AQ100" i="8" s="1"/>
  <c r="Y100" i="8"/>
  <c r="X100" i="8"/>
  <c r="AO100" i="8" s="1"/>
  <c r="BH100" i="8" s="1"/>
  <c r="AM99" i="8"/>
  <c r="BD99" i="8" s="1"/>
  <c r="AL99" i="8"/>
  <c r="BC99" i="8" s="1"/>
  <c r="AK99" i="8"/>
  <c r="BB99" i="8" s="1"/>
  <c r="AJ99" i="8"/>
  <c r="BA99" i="8" s="1"/>
  <c r="AI99" i="8"/>
  <c r="AZ99" i="8" s="1"/>
  <c r="AH99" i="8"/>
  <c r="AY99" i="8" s="1"/>
  <c r="AG99" i="8"/>
  <c r="AX99" i="8" s="1"/>
  <c r="AF99" i="8"/>
  <c r="AW99" i="8" s="1"/>
  <c r="AE99" i="8"/>
  <c r="AV99" i="8" s="1"/>
  <c r="AD99" i="8"/>
  <c r="AU99" i="8" s="1"/>
  <c r="AC99" i="8"/>
  <c r="AT99" i="8" s="1"/>
  <c r="AB99" i="8"/>
  <c r="AS99" i="8" s="1"/>
  <c r="AA99" i="8"/>
  <c r="AR99" i="8" s="1"/>
  <c r="Z99" i="8"/>
  <c r="AQ99" i="8" s="1"/>
  <c r="Y99" i="8"/>
  <c r="X99" i="8"/>
  <c r="AO99" i="8" s="1"/>
  <c r="BH99" i="8" s="1"/>
  <c r="AM98" i="8"/>
  <c r="BD98" i="8" s="1"/>
  <c r="AL98" i="8"/>
  <c r="BC98" i="8" s="1"/>
  <c r="AK98" i="8"/>
  <c r="BB98" i="8" s="1"/>
  <c r="AJ98" i="8"/>
  <c r="BA98" i="8" s="1"/>
  <c r="AI98" i="8"/>
  <c r="AZ98" i="8" s="1"/>
  <c r="AH98" i="8"/>
  <c r="AY98" i="8" s="1"/>
  <c r="AG98" i="8"/>
  <c r="AX98" i="8" s="1"/>
  <c r="AF98" i="8"/>
  <c r="AW98" i="8" s="1"/>
  <c r="AE98" i="8"/>
  <c r="AV98" i="8" s="1"/>
  <c r="AD98" i="8"/>
  <c r="AU98" i="8" s="1"/>
  <c r="AC98" i="8"/>
  <c r="AT98" i="8" s="1"/>
  <c r="AB98" i="8"/>
  <c r="AS98" i="8" s="1"/>
  <c r="AA98" i="8"/>
  <c r="AR98" i="8" s="1"/>
  <c r="Z98" i="8"/>
  <c r="AQ98" i="8" s="1"/>
  <c r="Y98" i="8"/>
  <c r="X98" i="8"/>
  <c r="AO98" i="8" s="1"/>
  <c r="BH98" i="8" s="1"/>
  <c r="AM95" i="8"/>
  <c r="BD95" i="8" s="1"/>
  <c r="AL95" i="8"/>
  <c r="BC95" i="8" s="1"/>
  <c r="AK95" i="8"/>
  <c r="BB95" i="8" s="1"/>
  <c r="AJ95" i="8"/>
  <c r="BA95" i="8" s="1"/>
  <c r="AI95" i="8"/>
  <c r="AZ95" i="8" s="1"/>
  <c r="AH95" i="8"/>
  <c r="AY95" i="8" s="1"/>
  <c r="AG95" i="8"/>
  <c r="AX95" i="8" s="1"/>
  <c r="AF95" i="8"/>
  <c r="AW95" i="8" s="1"/>
  <c r="AE95" i="8"/>
  <c r="AV95" i="8" s="1"/>
  <c r="AD95" i="8"/>
  <c r="AU95" i="8" s="1"/>
  <c r="AC95" i="8"/>
  <c r="AT95" i="8" s="1"/>
  <c r="AB95" i="8"/>
  <c r="AS95" i="8" s="1"/>
  <c r="AA95" i="8"/>
  <c r="AR95" i="8" s="1"/>
  <c r="Z95" i="8"/>
  <c r="AQ95" i="8" s="1"/>
  <c r="Y95" i="8"/>
  <c r="X95" i="8"/>
  <c r="AO95" i="8" s="1"/>
  <c r="BH95" i="8" s="1"/>
  <c r="AM94" i="8"/>
  <c r="BD94" i="8" s="1"/>
  <c r="AL94" i="8"/>
  <c r="BC94" i="8" s="1"/>
  <c r="AK94" i="8"/>
  <c r="BB94" i="8" s="1"/>
  <c r="AJ94" i="8"/>
  <c r="BA94" i="8" s="1"/>
  <c r="AI94" i="8"/>
  <c r="AZ94" i="8" s="1"/>
  <c r="AH94" i="8"/>
  <c r="AY94" i="8" s="1"/>
  <c r="AG94" i="8"/>
  <c r="AX94" i="8" s="1"/>
  <c r="AF94" i="8"/>
  <c r="AW94" i="8" s="1"/>
  <c r="AE94" i="8"/>
  <c r="AV94" i="8" s="1"/>
  <c r="AD94" i="8"/>
  <c r="AU94" i="8" s="1"/>
  <c r="AC94" i="8"/>
  <c r="AT94" i="8" s="1"/>
  <c r="AB94" i="8"/>
  <c r="AS94" i="8" s="1"/>
  <c r="AA94" i="8"/>
  <c r="AR94" i="8" s="1"/>
  <c r="Z94" i="8"/>
  <c r="AQ94" i="8" s="1"/>
  <c r="Y94" i="8"/>
  <c r="X94" i="8"/>
  <c r="AO94" i="8" s="1"/>
  <c r="BH94" i="8" s="1"/>
  <c r="AM93" i="8"/>
  <c r="BD93" i="8" s="1"/>
  <c r="AL93" i="8"/>
  <c r="BC93" i="8" s="1"/>
  <c r="AK93" i="8"/>
  <c r="BB93" i="8" s="1"/>
  <c r="AJ93" i="8"/>
  <c r="BA93" i="8" s="1"/>
  <c r="AI93" i="8"/>
  <c r="AZ93" i="8" s="1"/>
  <c r="AH93" i="8"/>
  <c r="AY93" i="8" s="1"/>
  <c r="AG93" i="8"/>
  <c r="AX93" i="8" s="1"/>
  <c r="AF93" i="8"/>
  <c r="AW93" i="8" s="1"/>
  <c r="AE93" i="8"/>
  <c r="AV93" i="8" s="1"/>
  <c r="AD93" i="8"/>
  <c r="AU93" i="8" s="1"/>
  <c r="AC93" i="8"/>
  <c r="AT93" i="8" s="1"/>
  <c r="AB93" i="8"/>
  <c r="AS93" i="8" s="1"/>
  <c r="AA93" i="8"/>
  <c r="AR93" i="8" s="1"/>
  <c r="Z93" i="8"/>
  <c r="AQ93" i="8" s="1"/>
  <c r="Y93" i="8"/>
  <c r="X93" i="8"/>
  <c r="AO93" i="8" s="1"/>
  <c r="AM92" i="8"/>
  <c r="BD92" i="8" s="1"/>
  <c r="AL92" i="8"/>
  <c r="BC92" i="8" s="1"/>
  <c r="AK92" i="8"/>
  <c r="BB92" i="8" s="1"/>
  <c r="AJ92" i="8"/>
  <c r="BA92" i="8" s="1"/>
  <c r="AI92" i="8"/>
  <c r="AZ92" i="8" s="1"/>
  <c r="AH92" i="8"/>
  <c r="AY92" i="8" s="1"/>
  <c r="AG92" i="8"/>
  <c r="AX92" i="8" s="1"/>
  <c r="AF92" i="8"/>
  <c r="AW92" i="8" s="1"/>
  <c r="AE92" i="8"/>
  <c r="AV92" i="8" s="1"/>
  <c r="AD92" i="8"/>
  <c r="AU92" i="8" s="1"/>
  <c r="AC92" i="8"/>
  <c r="AT92" i="8" s="1"/>
  <c r="AB92" i="8"/>
  <c r="AS92" i="8" s="1"/>
  <c r="AA92" i="8"/>
  <c r="AR92" i="8" s="1"/>
  <c r="Z92" i="8"/>
  <c r="AQ92" i="8" s="1"/>
  <c r="Y92" i="8"/>
  <c r="X92" i="8"/>
  <c r="AO92" i="8" s="1"/>
  <c r="AM91" i="8"/>
  <c r="BD91" i="8" s="1"/>
  <c r="AL91" i="8"/>
  <c r="BC91" i="8" s="1"/>
  <c r="AK91" i="8"/>
  <c r="BB91" i="8" s="1"/>
  <c r="AJ91" i="8"/>
  <c r="BA91" i="8" s="1"/>
  <c r="AI91" i="8"/>
  <c r="AZ91" i="8" s="1"/>
  <c r="AH91" i="8"/>
  <c r="AY91" i="8" s="1"/>
  <c r="AG91" i="8"/>
  <c r="AX91" i="8" s="1"/>
  <c r="AF91" i="8"/>
  <c r="AW91" i="8" s="1"/>
  <c r="AE91" i="8"/>
  <c r="AV91" i="8" s="1"/>
  <c r="AD91" i="8"/>
  <c r="AU91" i="8" s="1"/>
  <c r="AC91" i="8"/>
  <c r="AT91" i="8" s="1"/>
  <c r="AB91" i="8"/>
  <c r="AS91" i="8" s="1"/>
  <c r="AA91" i="8"/>
  <c r="AR91" i="8" s="1"/>
  <c r="Z91" i="8"/>
  <c r="AQ91" i="8" s="1"/>
  <c r="Y91" i="8"/>
  <c r="X91" i="8"/>
  <c r="AO91" i="8" s="1"/>
  <c r="BH91" i="8" s="1"/>
  <c r="AM90" i="8"/>
  <c r="BD90" i="8" s="1"/>
  <c r="AL90" i="8"/>
  <c r="BC90" i="8" s="1"/>
  <c r="AK90" i="8"/>
  <c r="BB90" i="8" s="1"/>
  <c r="AJ90" i="8"/>
  <c r="BA90" i="8" s="1"/>
  <c r="AI90" i="8"/>
  <c r="AZ90" i="8" s="1"/>
  <c r="AH90" i="8"/>
  <c r="AY90" i="8" s="1"/>
  <c r="AG90" i="8"/>
  <c r="AX90" i="8" s="1"/>
  <c r="AF90" i="8"/>
  <c r="AW90" i="8" s="1"/>
  <c r="AE90" i="8"/>
  <c r="AV90" i="8" s="1"/>
  <c r="AD90" i="8"/>
  <c r="AU90" i="8" s="1"/>
  <c r="AC90" i="8"/>
  <c r="AT90" i="8" s="1"/>
  <c r="AB90" i="8"/>
  <c r="AS90" i="8" s="1"/>
  <c r="AA90" i="8"/>
  <c r="AR90" i="8" s="1"/>
  <c r="Z90" i="8"/>
  <c r="AQ90" i="8" s="1"/>
  <c r="Y90" i="8"/>
  <c r="X90" i="8"/>
  <c r="AO90" i="8" s="1"/>
  <c r="BH90" i="8" s="1"/>
  <c r="AM89" i="8"/>
  <c r="BD89" i="8" s="1"/>
  <c r="AL89" i="8"/>
  <c r="BC89" i="8" s="1"/>
  <c r="AK89" i="8"/>
  <c r="BB89" i="8" s="1"/>
  <c r="AJ89" i="8"/>
  <c r="BA89" i="8" s="1"/>
  <c r="AI89" i="8"/>
  <c r="AZ89" i="8" s="1"/>
  <c r="AH89" i="8"/>
  <c r="AY89" i="8" s="1"/>
  <c r="AG89" i="8"/>
  <c r="AX89" i="8" s="1"/>
  <c r="AF89" i="8"/>
  <c r="AW89" i="8" s="1"/>
  <c r="AE89" i="8"/>
  <c r="AV89" i="8" s="1"/>
  <c r="AD89" i="8"/>
  <c r="AU89" i="8" s="1"/>
  <c r="AC89" i="8"/>
  <c r="AT89" i="8" s="1"/>
  <c r="AB89" i="8"/>
  <c r="AS89" i="8" s="1"/>
  <c r="AA89" i="8"/>
  <c r="AR89" i="8" s="1"/>
  <c r="Z89" i="8"/>
  <c r="AQ89" i="8" s="1"/>
  <c r="Y89" i="8"/>
  <c r="X89" i="8"/>
  <c r="AO89" i="8" s="1"/>
  <c r="BH89" i="8" s="1"/>
  <c r="AM88" i="8"/>
  <c r="BD88" i="8" s="1"/>
  <c r="AL88" i="8"/>
  <c r="BC88" i="8" s="1"/>
  <c r="AK88" i="8"/>
  <c r="BB88" i="8" s="1"/>
  <c r="AJ88" i="8"/>
  <c r="BA88" i="8" s="1"/>
  <c r="AI88" i="8"/>
  <c r="AZ88" i="8" s="1"/>
  <c r="AH88" i="8"/>
  <c r="AY88" i="8" s="1"/>
  <c r="AG88" i="8"/>
  <c r="AX88" i="8" s="1"/>
  <c r="AF88" i="8"/>
  <c r="AW88" i="8" s="1"/>
  <c r="AE88" i="8"/>
  <c r="AV88" i="8" s="1"/>
  <c r="AD88" i="8"/>
  <c r="AU88" i="8" s="1"/>
  <c r="AC88" i="8"/>
  <c r="AT88" i="8" s="1"/>
  <c r="AB88" i="8"/>
  <c r="AS88" i="8" s="1"/>
  <c r="AA88" i="8"/>
  <c r="AR88" i="8" s="1"/>
  <c r="Z88" i="8"/>
  <c r="AQ88" i="8" s="1"/>
  <c r="Y88" i="8"/>
  <c r="X88" i="8"/>
  <c r="AO88" i="8" s="1"/>
  <c r="BH88" i="8" s="1"/>
  <c r="AM87" i="8"/>
  <c r="BD87" i="8" s="1"/>
  <c r="AL87" i="8"/>
  <c r="BC87" i="8" s="1"/>
  <c r="AK87" i="8"/>
  <c r="BB87" i="8" s="1"/>
  <c r="AJ87" i="8"/>
  <c r="BA87" i="8" s="1"/>
  <c r="AI87" i="8"/>
  <c r="AZ87" i="8" s="1"/>
  <c r="AH87" i="8"/>
  <c r="AY87" i="8" s="1"/>
  <c r="AG87" i="8"/>
  <c r="AX87" i="8" s="1"/>
  <c r="AF87" i="8"/>
  <c r="AW87" i="8" s="1"/>
  <c r="AE87" i="8"/>
  <c r="AV87" i="8" s="1"/>
  <c r="AD87" i="8"/>
  <c r="AU87" i="8" s="1"/>
  <c r="AC87" i="8"/>
  <c r="AT87" i="8" s="1"/>
  <c r="AB87" i="8"/>
  <c r="AS87" i="8" s="1"/>
  <c r="AA87" i="8"/>
  <c r="AR87" i="8" s="1"/>
  <c r="Z87" i="8"/>
  <c r="AQ87" i="8" s="1"/>
  <c r="Y87" i="8"/>
  <c r="X87" i="8"/>
  <c r="AO87" i="8" s="1"/>
  <c r="BH87" i="8" s="1"/>
  <c r="AM86" i="8"/>
  <c r="BD86" i="8" s="1"/>
  <c r="AL86" i="8"/>
  <c r="BC86" i="8" s="1"/>
  <c r="AK86" i="8"/>
  <c r="BB86" i="8" s="1"/>
  <c r="AJ86" i="8"/>
  <c r="BA86" i="8" s="1"/>
  <c r="AI86" i="8"/>
  <c r="AZ86" i="8" s="1"/>
  <c r="AH86" i="8"/>
  <c r="AY86" i="8" s="1"/>
  <c r="AG86" i="8"/>
  <c r="AX86" i="8" s="1"/>
  <c r="AF86" i="8"/>
  <c r="AW86" i="8" s="1"/>
  <c r="AE86" i="8"/>
  <c r="AV86" i="8" s="1"/>
  <c r="AD86" i="8"/>
  <c r="AU86" i="8" s="1"/>
  <c r="AC86" i="8"/>
  <c r="AT86" i="8" s="1"/>
  <c r="AB86" i="8"/>
  <c r="AS86" i="8" s="1"/>
  <c r="AA86" i="8"/>
  <c r="AR86" i="8" s="1"/>
  <c r="Z86" i="8"/>
  <c r="AQ86" i="8" s="1"/>
  <c r="Y86" i="8"/>
  <c r="X86" i="8"/>
  <c r="AO86" i="8" s="1"/>
  <c r="BH86" i="8" s="1"/>
  <c r="AM85" i="8"/>
  <c r="BD85" i="8" s="1"/>
  <c r="AL85" i="8"/>
  <c r="BC85" i="8" s="1"/>
  <c r="AK85" i="8"/>
  <c r="BB85" i="8" s="1"/>
  <c r="AJ85" i="8"/>
  <c r="BA85" i="8" s="1"/>
  <c r="AI85" i="8"/>
  <c r="AZ85" i="8" s="1"/>
  <c r="AH85" i="8"/>
  <c r="AY85" i="8" s="1"/>
  <c r="AG85" i="8"/>
  <c r="AX85" i="8" s="1"/>
  <c r="AF85" i="8"/>
  <c r="AW85" i="8" s="1"/>
  <c r="AE85" i="8"/>
  <c r="AV85" i="8" s="1"/>
  <c r="AD85" i="8"/>
  <c r="AU85" i="8" s="1"/>
  <c r="AC85" i="8"/>
  <c r="AT85" i="8" s="1"/>
  <c r="AB85" i="8"/>
  <c r="AA85" i="8"/>
  <c r="AR85" i="8" s="1"/>
  <c r="Z85" i="8"/>
  <c r="Y85" i="8"/>
  <c r="X85" i="8"/>
  <c r="AO85" i="8" s="1"/>
  <c r="BH85" i="8" s="1"/>
  <c r="AM83" i="8"/>
  <c r="BD83" i="8" s="1"/>
  <c r="AL83" i="8"/>
  <c r="BC83" i="8" s="1"/>
  <c r="AK83" i="8"/>
  <c r="BB83" i="8" s="1"/>
  <c r="AJ83" i="8"/>
  <c r="BA83" i="8" s="1"/>
  <c r="AI83" i="8"/>
  <c r="AZ83" i="8" s="1"/>
  <c r="AH83" i="8"/>
  <c r="AY83" i="8" s="1"/>
  <c r="AG83" i="8"/>
  <c r="AX83" i="8" s="1"/>
  <c r="AF83" i="8"/>
  <c r="AW83" i="8" s="1"/>
  <c r="AE83" i="8"/>
  <c r="AV83" i="8" s="1"/>
  <c r="AD83" i="8"/>
  <c r="AU83" i="8" s="1"/>
  <c r="AC83" i="8"/>
  <c r="AT83" i="8" s="1"/>
  <c r="AB83" i="8"/>
  <c r="AA83" i="8"/>
  <c r="AR83" i="8" s="1"/>
  <c r="Z83" i="8"/>
  <c r="Y83" i="8"/>
  <c r="X83" i="8"/>
  <c r="AO83" i="8" s="1"/>
  <c r="BH83" i="8" s="1"/>
  <c r="AM78" i="8"/>
  <c r="BD78" i="8" s="1"/>
  <c r="AL78" i="8"/>
  <c r="BC78" i="8" s="1"/>
  <c r="AK78" i="8"/>
  <c r="BB78" i="8" s="1"/>
  <c r="AJ78" i="8"/>
  <c r="BA78" i="8" s="1"/>
  <c r="AI78" i="8"/>
  <c r="AZ78" i="8" s="1"/>
  <c r="AH78" i="8"/>
  <c r="AY78" i="8" s="1"/>
  <c r="AG78" i="8"/>
  <c r="AX78" i="8" s="1"/>
  <c r="AF78" i="8"/>
  <c r="AW78" i="8" s="1"/>
  <c r="AE78" i="8"/>
  <c r="AV78" i="8" s="1"/>
  <c r="AD78" i="8"/>
  <c r="AU78" i="8" s="1"/>
  <c r="AC78" i="8"/>
  <c r="AT78" i="8" s="1"/>
  <c r="AB78" i="8"/>
  <c r="AA78" i="8"/>
  <c r="AR78" i="8" s="1"/>
  <c r="Z78" i="8"/>
  <c r="Y78" i="8"/>
  <c r="X78" i="8"/>
  <c r="AO78" i="8" s="1"/>
  <c r="BH78" i="8" s="1"/>
  <c r="AM77" i="8"/>
  <c r="BD77" i="8" s="1"/>
  <c r="AL77" i="8"/>
  <c r="BC77" i="8" s="1"/>
  <c r="AK77" i="8"/>
  <c r="BB77" i="8" s="1"/>
  <c r="AJ77" i="8"/>
  <c r="BA77" i="8" s="1"/>
  <c r="AI77" i="8"/>
  <c r="AZ77" i="8" s="1"/>
  <c r="AH77" i="8"/>
  <c r="AY77" i="8" s="1"/>
  <c r="AG77" i="8"/>
  <c r="AX77" i="8" s="1"/>
  <c r="AF77" i="8"/>
  <c r="AW77" i="8" s="1"/>
  <c r="AE77" i="8"/>
  <c r="AV77" i="8" s="1"/>
  <c r="AD77" i="8"/>
  <c r="AU77" i="8" s="1"/>
  <c r="AC77" i="8"/>
  <c r="AT77" i="8" s="1"/>
  <c r="AB77" i="8"/>
  <c r="AA77" i="8"/>
  <c r="AR77" i="8" s="1"/>
  <c r="Z77" i="8"/>
  <c r="Y77" i="8"/>
  <c r="X77" i="8"/>
  <c r="AO77" i="8" s="1"/>
  <c r="BH77" i="8" s="1"/>
  <c r="AM76" i="8"/>
  <c r="BD76" i="8" s="1"/>
  <c r="AL76" i="8"/>
  <c r="BC76" i="8" s="1"/>
  <c r="AK76" i="8"/>
  <c r="BB76" i="8" s="1"/>
  <c r="AJ76" i="8"/>
  <c r="BA76" i="8" s="1"/>
  <c r="AI76" i="8"/>
  <c r="AZ76" i="8" s="1"/>
  <c r="AH76" i="8"/>
  <c r="AY76" i="8" s="1"/>
  <c r="AG76" i="8"/>
  <c r="AX76" i="8" s="1"/>
  <c r="AF76" i="8"/>
  <c r="AW76" i="8" s="1"/>
  <c r="AE76" i="8"/>
  <c r="AV76" i="8" s="1"/>
  <c r="AD76" i="8"/>
  <c r="AU76" i="8" s="1"/>
  <c r="AC76" i="8"/>
  <c r="AT76" i="8" s="1"/>
  <c r="AB76" i="8"/>
  <c r="AS76" i="8" s="1"/>
  <c r="AA76" i="8"/>
  <c r="AR76" i="8" s="1"/>
  <c r="Z76" i="8"/>
  <c r="AQ76" i="8" s="1"/>
  <c r="Y76" i="8"/>
  <c r="X76" i="8"/>
  <c r="AO76" i="8" s="1"/>
  <c r="BH76" i="8" s="1"/>
  <c r="AM75" i="8"/>
  <c r="BD75" i="8" s="1"/>
  <c r="AL75" i="8"/>
  <c r="BC75" i="8" s="1"/>
  <c r="AK75" i="8"/>
  <c r="BB75" i="8" s="1"/>
  <c r="AJ75" i="8"/>
  <c r="BA75" i="8" s="1"/>
  <c r="AI75" i="8"/>
  <c r="AZ75" i="8" s="1"/>
  <c r="AH75" i="8"/>
  <c r="AY75" i="8" s="1"/>
  <c r="AG75" i="8"/>
  <c r="AX75" i="8" s="1"/>
  <c r="AF75" i="8"/>
  <c r="AW75" i="8" s="1"/>
  <c r="AE75" i="8"/>
  <c r="AV75" i="8" s="1"/>
  <c r="AD75" i="8"/>
  <c r="AU75" i="8" s="1"/>
  <c r="AC75" i="8"/>
  <c r="AT75" i="8" s="1"/>
  <c r="AB75" i="8"/>
  <c r="AS75" i="8" s="1"/>
  <c r="AA75" i="8"/>
  <c r="AR75" i="8" s="1"/>
  <c r="Z75" i="8"/>
  <c r="AQ75" i="8" s="1"/>
  <c r="Y75" i="8"/>
  <c r="X75" i="8"/>
  <c r="AO75" i="8" s="1"/>
  <c r="BH75" i="8" s="1"/>
  <c r="AM74" i="8"/>
  <c r="BD74" i="8" s="1"/>
  <c r="AL74" i="8"/>
  <c r="BC74" i="8" s="1"/>
  <c r="AJ74" i="8"/>
  <c r="BA74" i="8" s="1"/>
  <c r="AI74" i="8"/>
  <c r="AZ74" i="8" s="1"/>
  <c r="AH74" i="8"/>
  <c r="AY74" i="8" s="1"/>
  <c r="AF74" i="8"/>
  <c r="AW74" i="8" s="1"/>
  <c r="AE74" i="8"/>
  <c r="AV74" i="8" s="1"/>
  <c r="AD74" i="8"/>
  <c r="AU74" i="8" s="1"/>
  <c r="AC74" i="8"/>
  <c r="AT74" i="8" s="1"/>
  <c r="AA74" i="8"/>
  <c r="AR74" i="8" s="1"/>
  <c r="Y74" i="8"/>
  <c r="AM73" i="8"/>
  <c r="BD73" i="8" s="1"/>
  <c r="AL73" i="8"/>
  <c r="BC73" i="8" s="1"/>
  <c r="AK73" i="8"/>
  <c r="BB73" i="8" s="1"/>
  <c r="AJ73" i="8"/>
  <c r="BA73" i="8" s="1"/>
  <c r="AG73" i="8"/>
  <c r="AX73" i="8" s="1"/>
  <c r="AF73" i="8"/>
  <c r="AW73" i="8" s="1"/>
  <c r="AE73" i="8"/>
  <c r="AV73" i="8" s="1"/>
  <c r="AD73" i="8"/>
  <c r="AU73" i="8" s="1"/>
  <c r="AC73" i="8"/>
  <c r="AT73" i="8" s="1"/>
  <c r="AB73" i="8"/>
  <c r="AS73" i="8" s="1"/>
  <c r="AA73" i="8"/>
  <c r="AR73" i="8" s="1"/>
  <c r="Z73" i="8"/>
  <c r="AQ73" i="8" s="1"/>
  <c r="Y73" i="8"/>
  <c r="AM72" i="8"/>
  <c r="BD72" i="8" s="1"/>
  <c r="AL72" i="8"/>
  <c r="BC72" i="8" s="1"/>
  <c r="AK72" i="8"/>
  <c r="BB72" i="8" s="1"/>
  <c r="AJ72" i="8"/>
  <c r="BA72" i="8" s="1"/>
  <c r="AI72" i="8"/>
  <c r="AZ72" i="8" s="1"/>
  <c r="AH72" i="8"/>
  <c r="AY72" i="8" s="1"/>
  <c r="AG72" i="8"/>
  <c r="AX72" i="8" s="1"/>
  <c r="AF72" i="8"/>
  <c r="AW72" i="8" s="1"/>
  <c r="AE72" i="8"/>
  <c r="AV72" i="8" s="1"/>
  <c r="AD72" i="8"/>
  <c r="AU72" i="8" s="1"/>
  <c r="AC72" i="8"/>
  <c r="AT72" i="8" s="1"/>
  <c r="AB72" i="8"/>
  <c r="AS72" i="8" s="1"/>
  <c r="AA72" i="8"/>
  <c r="AR72" i="8" s="1"/>
  <c r="Z72" i="8"/>
  <c r="AQ72" i="8" s="1"/>
  <c r="Y72" i="8"/>
  <c r="X72" i="8"/>
  <c r="AO72" i="8" s="1"/>
  <c r="BH72" i="8" s="1"/>
  <c r="AM71" i="8"/>
  <c r="BD71" i="8" s="1"/>
  <c r="AL71" i="8"/>
  <c r="BC71" i="8" s="1"/>
  <c r="AJ71" i="8"/>
  <c r="BA71" i="8" s="1"/>
  <c r="AI71" i="8"/>
  <c r="AZ71" i="8" s="1"/>
  <c r="AH71" i="8"/>
  <c r="AY71" i="8" s="1"/>
  <c r="AF71" i="8"/>
  <c r="AW71" i="8" s="1"/>
  <c r="AE71" i="8"/>
  <c r="AV71" i="8" s="1"/>
  <c r="AD71" i="8"/>
  <c r="AU71" i="8" s="1"/>
  <c r="AC71" i="8"/>
  <c r="AT71" i="8" s="1"/>
  <c r="AA71" i="8"/>
  <c r="AR71" i="8" s="1"/>
  <c r="Y71" i="8"/>
  <c r="B71" i="8"/>
  <c r="B72" i="8" s="1"/>
  <c r="B73" i="8" s="1"/>
  <c r="B74" i="8" s="1"/>
  <c r="AM70" i="8"/>
  <c r="BD70" i="8" s="1"/>
  <c r="AL70" i="8"/>
  <c r="BC70" i="8" s="1"/>
  <c r="AI70" i="8"/>
  <c r="AZ70" i="8" s="1"/>
  <c r="AH70" i="8"/>
  <c r="AY70" i="8" s="1"/>
  <c r="AG70" i="8"/>
  <c r="AX70" i="8" s="1"/>
  <c r="AF70" i="8"/>
  <c r="AW70" i="8" s="1"/>
  <c r="AE70" i="8"/>
  <c r="AV70" i="8" s="1"/>
  <c r="AD70" i="8"/>
  <c r="AU70" i="8" s="1"/>
  <c r="AC70" i="8"/>
  <c r="AT70" i="8" s="1"/>
  <c r="AA70" i="8"/>
  <c r="AR70" i="8" s="1"/>
  <c r="Y70" i="8"/>
  <c r="AM69" i="8"/>
  <c r="BD69" i="8" s="1"/>
  <c r="AL69" i="8"/>
  <c r="BC69" i="8" s="1"/>
  <c r="AK69" i="8"/>
  <c r="BB69" i="8" s="1"/>
  <c r="AJ69" i="8"/>
  <c r="BA69" i="8" s="1"/>
  <c r="AI69" i="8"/>
  <c r="AZ69" i="8" s="1"/>
  <c r="AH69" i="8"/>
  <c r="AY69" i="8" s="1"/>
  <c r="AG69" i="8"/>
  <c r="AX69" i="8" s="1"/>
  <c r="AF69" i="8"/>
  <c r="AW69" i="8" s="1"/>
  <c r="AE69" i="8"/>
  <c r="AV69" i="8" s="1"/>
  <c r="AD69" i="8"/>
  <c r="AU69" i="8" s="1"/>
  <c r="AC69" i="8"/>
  <c r="AT69" i="8" s="1"/>
  <c r="AB69" i="8"/>
  <c r="AS69" i="8" s="1"/>
  <c r="AA69" i="8"/>
  <c r="AR69" i="8" s="1"/>
  <c r="Z69" i="8"/>
  <c r="AQ69" i="8" s="1"/>
  <c r="Y69" i="8"/>
  <c r="X69" i="8"/>
  <c r="AO69" i="8" s="1"/>
  <c r="AM68" i="8"/>
  <c r="BD68" i="8" s="1"/>
  <c r="AL68" i="8"/>
  <c r="BC68" i="8" s="1"/>
  <c r="AK68" i="8"/>
  <c r="BB68" i="8" s="1"/>
  <c r="AJ68" i="8"/>
  <c r="BA68" i="8" s="1"/>
  <c r="AI68" i="8"/>
  <c r="AZ68" i="8" s="1"/>
  <c r="AH68" i="8"/>
  <c r="AY68" i="8" s="1"/>
  <c r="AG68" i="8"/>
  <c r="AX68" i="8" s="1"/>
  <c r="AF68" i="8"/>
  <c r="AW68" i="8" s="1"/>
  <c r="AE68" i="8"/>
  <c r="AV68" i="8" s="1"/>
  <c r="AD68" i="8"/>
  <c r="AU68" i="8" s="1"/>
  <c r="AC68" i="8"/>
  <c r="AT68" i="8" s="1"/>
  <c r="AB68" i="8"/>
  <c r="AS68" i="8" s="1"/>
  <c r="AA68" i="8"/>
  <c r="AR68" i="8" s="1"/>
  <c r="Z68" i="8"/>
  <c r="AQ68" i="8" s="1"/>
  <c r="Y68" i="8"/>
  <c r="X68" i="8"/>
  <c r="AO68" i="8" s="1"/>
  <c r="AM67" i="8"/>
  <c r="BD67" i="8" s="1"/>
  <c r="AL67" i="8"/>
  <c r="BC67" i="8" s="1"/>
  <c r="AK67" i="8"/>
  <c r="BB67" i="8" s="1"/>
  <c r="AJ67" i="8"/>
  <c r="BA67" i="8" s="1"/>
  <c r="AI67" i="8"/>
  <c r="AZ67" i="8" s="1"/>
  <c r="AH67" i="8"/>
  <c r="AY67" i="8" s="1"/>
  <c r="AG67" i="8"/>
  <c r="AX67" i="8" s="1"/>
  <c r="AF67" i="8"/>
  <c r="AW67" i="8" s="1"/>
  <c r="AE67" i="8"/>
  <c r="AV67" i="8" s="1"/>
  <c r="AD67" i="8"/>
  <c r="AU67" i="8" s="1"/>
  <c r="AC67" i="8"/>
  <c r="AT67" i="8" s="1"/>
  <c r="AB67" i="8"/>
  <c r="AS67" i="8" s="1"/>
  <c r="AA67" i="8"/>
  <c r="AR67" i="8" s="1"/>
  <c r="Z67" i="8"/>
  <c r="AQ67" i="8" s="1"/>
  <c r="Y67" i="8"/>
  <c r="X67" i="8"/>
  <c r="AO67" i="8" s="1"/>
  <c r="BH67" i="8" s="1"/>
  <c r="AM66" i="8"/>
  <c r="BD66" i="8" s="1"/>
  <c r="AL66" i="8"/>
  <c r="BC66" i="8" s="1"/>
  <c r="AK66" i="8"/>
  <c r="BB66" i="8" s="1"/>
  <c r="AJ66" i="8"/>
  <c r="BA66" i="8" s="1"/>
  <c r="AI66" i="8"/>
  <c r="AZ66" i="8" s="1"/>
  <c r="AH66" i="8"/>
  <c r="AY66" i="8" s="1"/>
  <c r="AG66" i="8"/>
  <c r="AX66" i="8" s="1"/>
  <c r="AF66" i="8"/>
  <c r="AW66" i="8" s="1"/>
  <c r="AE66" i="8"/>
  <c r="AV66" i="8" s="1"/>
  <c r="AD66" i="8"/>
  <c r="AU66" i="8" s="1"/>
  <c r="AC66" i="8"/>
  <c r="AT66" i="8" s="1"/>
  <c r="AB66" i="8"/>
  <c r="AS66" i="8" s="1"/>
  <c r="AA66" i="8"/>
  <c r="AR66" i="8" s="1"/>
  <c r="Z66" i="8"/>
  <c r="AQ66" i="8" s="1"/>
  <c r="Y66" i="8"/>
  <c r="X66" i="8"/>
  <c r="AO66" i="8" s="1"/>
  <c r="BH66" i="8" s="1"/>
  <c r="AM65" i="8"/>
  <c r="BD65" i="8" s="1"/>
  <c r="AL65" i="8"/>
  <c r="BC65" i="8" s="1"/>
  <c r="AK65" i="8"/>
  <c r="BB65" i="8" s="1"/>
  <c r="AJ65" i="8"/>
  <c r="BA65" i="8" s="1"/>
  <c r="AI65" i="8"/>
  <c r="AZ65" i="8" s="1"/>
  <c r="AH65" i="8"/>
  <c r="AY65" i="8" s="1"/>
  <c r="AG65" i="8"/>
  <c r="AX65" i="8" s="1"/>
  <c r="AF65" i="8"/>
  <c r="AW65" i="8" s="1"/>
  <c r="AE65" i="8"/>
  <c r="AV65" i="8" s="1"/>
  <c r="AD65" i="8"/>
  <c r="AU65" i="8" s="1"/>
  <c r="AC65" i="8"/>
  <c r="AT65" i="8" s="1"/>
  <c r="AB65" i="8"/>
  <c r="AS65" i="8" s="1"/>
  <c r="AA65" i="8"/>
  <c r="AR65" i="8" s="1"/>
  <c r="Z65" i="8"/>
  <c r="AQ65" i="8" s="1"/>
  <c r="Y65" i="8"/>
  <c r="X65" i="8"/>
  <c r="AO65" i="8" s="1"/>
  <c r="BH65" i="8" s="1"/>
  <c r="AM64" i="8"/>
  <c r="BD64" i="8" s="1"/>
  <c r="AL64" i="8"/>
  <c r="BC64" i="8" s="1"/>
  <c r="AK64" i="8"/>
  <c r="BB64" i="8" s="1"/>
  <c r="AJ64" i="8"/>
  <c r="BA64" i="8" s="1"/>
  <c r="AI64" i="8"/>
  <c r="AZ64" i="8" s="1"/>
  <c r="AH64" i="8"/>
  <c r="AY64" i="8" s="1"/>
  <c r="AG64" i="8"/>
  <c r="AX64" i="8" s="1"/>
  <c r="AF64" i="8"/>
  <c r="AW64" i="8" s="1"/>
  <c r="AE64" i="8"/>
  <c r="AV64" i="8" s="1"/>
  <c r="AD64" i="8"/>
  <c r="AU64" i="8" s="1"/>
  <c r="AC64" i="8"/>
  <c r="AT64" i="8" s="1"/>
  <c r="AB64" i="8"/>
  <c r="AA64" i="8"/>
  <c r="AR64" i="8" s="1"/>
  <c r="Z64" i="8"/>
  <c r="Y64" i="8"/>
  <c r="X64" i="8"/>
  <c r="AO64" i="8" s="1"/>
  <c r="BH64" i="8" s="1"/>
  <c r="AM63" i="8"/>
  <c r="BD63" i="8" s="1"/>
  <c r="AL63" i="8"/>
  <c r="BC63" i="8" s="1"/>
  <c r="AK63" i="8"/>
  <c r="BB63" i="8" s="1"/>
  <c r="AJ63" i="8"/>
  <c r="BA63" i="8" s="1"/>
  <c r="AI63" i="8"/>
  <c r="AZ63" i="8" s="1"/>
  <c r="AH63" i="8"/>
  <c r="AY63" i="8" s="1"/>
  <c r="AG63" i="8"/>
  <c r="AX63" i="8" s="1"/>
  <c r="AF63" i="8"/>
  <c r="AW63" i="8" s="1"/>
  <c r="AE63" i="8"/>
  <c r="AV63" i="8" s="1"/>
  <c r="AD63" i="8"/>
  <c r="AU63" i="8" s="1"/>
  <c r="AC63" i="8"/>
  <c r="AT63" i="8" s="1"/>
  <c r="AB63" i="8"/>
  <c r="AA63" i="8"/>
  <c r="AR63" i="8" s="1"/>
  <c r="Z63" i="8"/>
  <c r="Y63" i="8"/>
  <c r="X63" i="8"/>
  <c r="AO63" i="8" s="1"/>
  <c r="BH63" i="8" s="1"/>
  <c r="AM62" i="8"/>
  <c r="BD62" i="8" s="1"/>
  <c r="AL62" i="8"/>
  <c r="BC62" i="8" s="1"/>
  <c r="AK62" i="8"/>
  <c r="BB62" i="8" s="1"/>
  <c r="AJ62" i="8"/>
  <c r="BA62" i="8" s="1"/>
  <c r="AI62" i="8"/>
  <c r="AZ62" i="8" s="1"/>
  <c r="AH62" i="8"/>
  <c r="AY62" i="8" s="1"/>
  <c r="AG62" i="8"/>
  <c r="AX62" i="8" s="1"/>
  <c r="AF62" i="8"/>
  <c r="AW62" i="8" s="1"/>
  <c r="AE62" i="8"/>
  <c r="AV62" i="8" s="1"/>
  <c r="AD62" i="8"/>
  <c r="AU62" i="8" s="1"/>
  <c r="AC62" i="8"/>
  <c r="AT62" i="8" s="1"/>
  <c r="AB62" i="8"/>
  <c r="AA62" i="8"/>
  <c r="AR62" i="8" s="1"/>
  <c r="Z62" i="8"/>
  <c r="Y62" i="8"/>
  <c r="X62" i="8"/>
  <c r="AO62" i="8" s="1"/>
  <c r="BH62" i="8" s="1"/>
  <c r="AM61" i="8"/>
  <c r="BD61" i="8" s="1"/>
  <c r="AL61" i="8"/>
  <c r="BC61" i="8" s="1"/>
  <c r="AK61" i="8"/>
  <c r="BB61" i="8" s="1"/>
  <c r="AJ61" i="8"/>
  <c r="BA61" i="8" s="1"/>
  <c r="AI61" i="8"/>
  <c r="AZ61" i="8" s="1"/>
  <c r="AH61" i="8"/>
  <c r="AY61" i="8" s="1"/>
  <c r="AG61" i="8"/>
  <c r="AX61" i="8" s="1"/>
  <c r="AF61" i="8"/>
  <c r="AW61" i="8" s="1"/>
  <c r="AE61" i="8"/>
  <c r="AV61" i="8" s="1"/>
  <c r="AD61" i="8"/>
  <c r="AU61" i="8" s="1"/>
  <c r="AC61" i="8"/>
  <c r="AT61" i="8" s="1"/>
  <c r="AB61" i="8"/>
  <c r="AA61" i="8"/>
  <c r="AR61" i="8" s="1"/>
  <c r="Z61" i="8"/>
  <c r="Y61" i="8"/>
  <c r="X61" i="8"/>
  <c r="AO61" i="8" s="1"/>
  <c r="BH61" i="8" s="1"/>
  <c r="AM60" i="8"/>
  <c r="BD60" i="8" s="1"/>
  <c r="AL60" i="8"/>
  <c r="BC60" i="8" s="1"/>
  <c r="AK60" i="8"/>
  <c r="BB60" i="8" s="1"/>
  <c r="AJ60" i="8"/>
  <c r="BA60" i="8" s="1"/>
  <c r="AI60" i="8"/>
  <c r="AZ60" i="8" s="1"/>
  <c r="AH60" i="8"/>
  <c r="AY60" i="8" s="1"/>
  <c r="AG60" i="8"/>
  <c r="AX60" i="8" s="1"/>
  <c r="AF60" i="8"/>
  <c r="AW60" i="8" s="1"/>
  <c r="AE60" i="8"/>
  <c r="AV60" i="8" s="1"/>
  <c r="AD60" i="8"/>
  <c r="AU60" i="8" s="1"/>
  <c r="AC60" i="8"/>
  <c r="AT60" i="8" s="1"/>
  <c r="AB60" i="8"/>
  <c r="AA60" i="8"/>
  <c r="AR60" i="8" s="1"/>
  <c r="Z60" i="8"/>
  <c r="Y60" i="8"/>
  <c r="X60" i="8"/>
  <c r="AO60" i="8" s="1"/>
  <c r="BH60" i="8" s="1"/>
  <c r="AM59" i="8"/>
  <c r="BD59" i="8" s="1"/>
  <c r="AL59" i="8"/>
  <c r="BC59" i="8" s="1"/>
  <c r="AK59" i="8"/>
  <c r="BB59" i="8" s="1"/>
  <c r="AJ59" i="8"/>
  <c r="BA59" i="8" s="1"/>
  <c r="AI59" i="8"/>
  <c r="AZ59" i="8" s="1"/>
  <c r="AH59" i="8"/>
  <c r="AY59" i="8" s="1"/>
  <c r="AG59" i="8"/>
  <c r="AX59" i="8" s="1"/>
  <c r="AF59" i="8"/>
  <c r="AW59" i="8" s="1"/>
  <c r="AE59" i="8"/>
  <c r="AV59" i="8" s="1"/>
  <c r="AD59" i="8"/>
  <c r="AU59" i="8" s="1"/>
  <c r="AC59" i="8"/>
  <c r="AT59" i="8" s="1"/>
  <c r="AB59" i="8"/>
  <c r="AA59" i="8"/>
  <c r="AR59" i="8" s="1"/>
  <c r="Z59" i="8"/>
  <c r="Y59" i="8"/>
  <c r="X59" i="8"/>
  <c r="AO59" i="8" s="1"/>
  <c r="BH59" i="8" s="1"/>
  <c r="AM57" i="8"/>
  <c r="BD57" i="8" s="1"/>
  <c r="AL57" i="8"/>
  <c r="BC57" i="8" s="1"/>
  <c r="AK57" i="8"/>
  <c r="BB57" i="8" s="1"/>
  <c r="AJ57" i="8"/>
  <c r="BA57" i="8" s="1"/>
  <c r="AI57" i="8"/>
  <c r="AZ57" i="8" s="1"/>
  <c r="AH57" i="8"/>
  <c r="AY57" i="8" s="1"/>
  <c r="AG57" i="8"/>
  <c r="AX57" i="8" s="1"/>
  <c r="AF57" i="8"/>
  <c r="AW57" i="8" s="1"/>
  <c r="AE57" i="8"/>
  <c r="AV57" i="8" s="1"/>
  <c r="AD57" i="8"/>
  <c r="AU57" i="8" s="1"/>
  <c r="AC57" i="8"/>
  <c r="AT57" i="8" s="1"/>
  <c r="AB57" i="8"/>
  <c r="AA57" i="8"/>
  <c r="AR57" i="8" s="1"/>
  <c r="Z57" i="8"/>
  <c r="Y57" i="8"/>
  <c r="X57" i="8"/>
  <c r="AO57" i="8" s="1"/>
  <c r="BH57" i="8" s="1"/>
  <c r="AM56" i="8"/>
  <c r="BD56" i="8" s="1"/>
  <c r="AL56" i="8"/>
  <c r="BC56" i="8" s="1"/>
  <c r="AK56" i="8"/>
  <c r="BB56" i="8" s="1"/>
  <c r="AJ56" i="8"/>
  <c r="BA56" i="8" s="1"/>
  <c r="AI56" i="8"/>
  <c r="AZ56" i="8" s="1"/>
  <c r="AH56" i="8"/>
  <c r="AY56" i="8" s="1"/>
  <c r="AG56" i="8"/>
  <c r="AX56" i="8" s="1"/>
  <c r="AF56" i="8"/>
  <c r="AW56" i="8" s="1"/>
  <c r="AE56" i="8"/>
  <c r="AV56" i="8" s="1"/>
  <c r="AD56" i="8"/>
  <c r="AU56" i="8" s="1"/>
  <c r="AC56" i="8"/>
  <c r="AT56" i="8" s="1"/>
  <c r="AB56" i="8"/>
  <c r="AA56" i="8"/>
  <c r="AR56" i="8" s="1"/>
  <c r="Z56" i="8"/>
  <c r="Y56" i="8"/>
  <c r="X56" i="8"/>
  <c r="AO56" i="8" s="1"/>
  <c r="BH56" i="8" s="1"/>
  <c r="AM58" i="8"/>
  <c r="BD58" i="8" s="1"/>
  <c r="AL58" i="8"/>
  <c r="BC58" i="8" s="1"/>
  <c r="AK58" i="8"/>
  <c r="BB58" i="8" s="1"/>
  <c r="AJ58" i="8"/>
  <c r="BA58" i="8" s="1"/>
  <c r="AI58" i="8"/>
  <c r="AZ58" i="8" s="1"/>
  <c r="AH58" i="8"/>
  <c r="AY58" i="8" s="1"/>
  <c r="AG58" i="8"/>
  <c r="AX58" i="8" s="1"/>
  <c r="AF58" i="8"/>
  <c r="AW58" i="8" s="1"/>
  <c r="AE58" i="8"/>
  <c r="AV58" i="8" s="1"/>
  <c r="AD58" i="8"/>
  <c r="AU58" i="8" s="1"/>
  <c r="AC58" i="8"/>
  <c r="AT58" i="8" s="1"/>
  <c r="AB58" i="8"/>
  <c r="AA58" i="8"/>
  <c r="AR58" i="8" s="1"/>
  <c r="Z58" i="8"/>
  <c r="Y58" i="8"/>
  <c r="X58" i="8"/>
  <c r="AO58" i="8" s="1"/>
  <c r="BH58" i="8" s="1"/>
  <c r="AM55" i="8"/>
  <c r="BD55" i="8" s="1"/>
  <c r="AL55" i="8"/>
  <c r="BC55" i="8" s="1"/>
  <c r="AK55" i="8"/>
  <c r="BB55" i="8" s="1"/>
  <c r="AJ55" i="8"/>
  <c r="BA55" i="8" s="1"/>
  <c r="AI55" i="8"/>
  <c r="AZ55" i="8" s="1"/>
  <c r="AH55" i="8"/>
  <c r="AY55" i="8" s="1"/>
  <c r="AG55" i="8"/>
  <c r="AX55" i="8" s="1"/>
  <c r="AF55" i="8"/>
  <c r="AW55" i="8" s="1"/>
  <c r="AE55" i="8"/>
  <c r="AV55" i="8" s="1"/>
  <c r="AD55" i="8"/>
  <c r="AU55" i="8" s="1"/>
  <c r="AC55" i="8"/>
  <c r="AT55" i="8" s="1"/>
  <c r="AB55" i="8"/>
  <c r="AA55" i="8"/>
  <c r="AR55" i="8" s="1"/>
  <c r="Z55" i="8"/>
  <c r="Y55" i="8"/>
  <c r="X55" i="8"/>
  <c r="AO55" i="8" s="1"/>
  <c r="BH55" i="8" s="1"/>
  <c r="AM54" i="8"/>
  <c r="BD54" i="8" s="1"/>
  <c r="AL54" i="8"/>
  <c r="BC54" i="8" s="1"/>
  <c r="AK54" i="8"/>
  <c r="BB54" i="8" s="1"/>
  <c r="AJ54" i="8"/>
  <c r="BA54" i="8" s="1"/>
  <c r="AI54" i="8"/>
  <c r="AZ54" i="8" s="1"/>
  <c r="AH54" i="8"/>
  <c r="AY54" i="8" s="1"/>
  <c r="AG54" i="8"/>
  <c r="AX54" i="8" s="1"/>
  <c r="AF54" i="8"/>
  <c r="AW54" i="8" s="1"/>
  <c r="AE54" i="8"/>
  <c r="AV54" i="8" s="1"/>
  <c r="AD54" i="8"/>
  <c r="AU54" i="8" s="1"/>
  <c r="AC54" i="8"/>
  <c r="AT54" i="8" s="1"/>
  <c r="AB54" i="8"/>
  <c r="AA54" i="8"/>
  <c r="AR54" i="8" s="1"/>
  <c r="Z54" i="8"/>
  <c r="Y54" i="8"/>
  <c r="X54" i="8"/>
  <c r="AO54" i="8" s="1"/>
  <c r="BH54" i="8" s="1"/>
  <c r="AM53" i="8"/>
  <c r="BD53" i="8" s="1"/>
  <c r="AL53" i="8"/>
  <c r="BC53" i="8" s="1"/>
  <c r="AK53" i="8"/>
  <c r="BB53" i="8" s="1"/>
  <c r="AJ53" i="8"/>
  <c r="BA53" i="8" s="1"/>
  <c r="AI53" i="8"/>
  <c r="AZ53" i="8" s="1"/>
  <c r="AH53" i="8"/>
  <c r="AY53" i="8" s="1"/>
  <c r="AG53" i="8"/>
  <c r="AX53" i="8" s="1"/>
  <c r="AF53" i="8"/>
  <c r="AW53" i="8" s="1"/>
  <c r="AE53" i="8"/>
  <c r="AV53" i="8" s="1"/>
  <c r="AD53" i="8"/>
  <c r="AU53" i="8" s="1"/>
  <c r="AC53" i="8"/>
  <c r="AT53" i="8" s="1"/>
  <c r="AB53" i="8"/>
  <c r="AA53" i="8"/>
  <c r="AR53" i="8" s="1"/>
  <c r="Z53" i="8"/>
  <c r="Y53" i="8"/>
  <c r="X53" i="8"/>
  <c r="AO53" i="8" s="1"/>
  <c r="BH53" i="8" s="1"/>
  <c r="AM52" i="8"/>
  <c r="BD52" i="8" s="1"/>
  <c r="AL52" i="8"/>
  <c r="BC52" i="8" s="1"/>
  <c r="AK52" i="8"/>
  <c r="BB52" i="8" s="1"/>
  <c r="AJ52" i="8"/>
  <c r="BA52" i="8" s="1"/>
  <c r="AI52" i="8"/>
  <c r="AZ52" i="8" s="1"/>
  <c r="AH52" i="8"/>
  <c r="AY52" i="8" s="1"/>
  <c r="AG52" i="8"/>
  <c r="AX52" i="8" s="1"/>
  <c r="AF52" i="8"/>
  <c r="AW52" i="8" s="1"/>
  <c r="AE52" i="8"/>
  <c r="AV52" i="8" s="1"/>
  <c r="AD52" i="8"/>
  <c r="AU52" i="8" s="1"/>
  <c r="AC52" i="8"/>
  <c r="AT52" i="8" s="1"/>
  <c r="AB52" i="8"/>
  <c r="AS52" i="8" s="1"/>
  <c r="AA52" i="8"/>
  <c r="AR52" i="8" s="1"/>
  <c r="Z52" i="8"/>
  <c r="AQ52" i="8" s="1"/>
  <c r="Y52" i="8"/>
  <c r="X52" i="8"/>
  <c r="AO52" i="8" s="1"/>
  <c r="BH52" i="8" s="1"/>
  <c r="AM51" i="8"/>
  <c r="BD51" i="8" s="1"/>
  <c r="AL51" i="8"/>
  <c r="BC51" i="8" s="1"/>
  <c r="AK51" i="8"/>
  <c r="BB51" i="8" s="1"/>
  <c r="AJ51" i="8"/>
  <c r="BA51" i="8" s="1"/>
  <c r="AI51" i="8"/>
  <c r="AZ51" i="8" s="1"/>
  <c r="AH51" i="8"/>
  <c r="AY51" i="8" s="1"/>
  <c r="AG51" i="8"/>
  <c r="AX51" i="8" s="1"/>
  <c r="AF51" i="8"/>
  <c r="AW51" i="8" s="1"/>
  <c r="AE51" i="8"/>
  <c r="AV51" i="8" s="1"/>
  <c r="AD51" i="8"/>
  <c r="AU51" i="8" s="1"/>
  <c r="AC51" i="8"/>
  <c r="AT51" i="8" s="1"/>
  <c r="AB51" i="8"/>
  <c r="AA51" i="8"/>
  <c r="AR51" i="8" s="1"/>
  <c r="Z51" i="8"/>
  <c r="Y51" i="8"/>
  <c r="AM50" i="8"/>
  <c r="BD50" i="8" s="1"/>
  <c r="AL50" i="8"/>
  <c r="BC50" i="8" s="1"/>
  <c r="AK50" i="8"/>
  <c r="BB50" i="8" s="1"/>
  <c r="AJ50" i="8"/>
  <c r="BA50" i="8" s="1"/>
  <c r="AG50" i="8"/>
  <c r="AX50" i="8" s="1"/>
  <c r="AF50" i="8"/>
  <c r="AW50" i="8" s="1"/>
  <c r="AE50" i="8"/>
  <c r="AV50" i="8" s="1"/>
  <c r="AD50" i="8"/>
  <c r="AU50" i="8" s="1"/>
  <c r="AC50" i="8"/>
  <c r="AT50" i="8" s="1"/>
  <c r="AB50" i="8"/>
  <c r="AS50" i="8" s="1"/>
  <c r="AA50" i="8"/>
  <c r="AR50" i="8" s="1"/>
  <c r="Z50" i="8"/>
  <c r="AQ50" i="8" s="1"/>
  <c r="Y50" i="8"/>
  <c r="AM49" i="8"/>
  <c r="BD49" i="8" s="1"/>
  <c r="AL49" i="8"/>
  <c r="BC49" i="8" s="1"/>
  <c r="AK49" i="8"/>
  <c r="BB49" i="8" s="1"/>
  <c r="AJ49" i="8"/>
  <c r="BA49" i="8" s="1"/>
  <c r="AI49" i="8"/>
  <c r="AZ49" i="8" s="1"/>
  <c r="AH49" i="8"/>
  <c r="AY49" i="8" s="1"/>
  <c r="AG49" i="8"/>
  <c r="AX49" i="8" s="1"/>
  <c r="AF49" i="8"/>
  <c r="AW49" i="8" s="1"/>
  <c r="AE49" i="8"/>
  <c r="AV49" i="8" s="1"/>
  <c r="AD49" i="8"/>
  <c r="AU49" i="8" s="1"/>
  <c r="AC49" i="8"/>
  <c r="AT49" i="8" s="1"/>
  <c r="AB49" i="8"/>
  <c r="AS49" i="8" s="1"/>
  <c r="AA49" i="8"/>
  <c r="AR49" i="8" s="1"/>
  <c r="Z49" i="8"/>
  <c r="AQ49" i="8" s="1"/>
  <c r="Y49" i="8"/>
  <c r="X49" i="8"/>
  <c r="AO49" i="8" s="1"/>
  <c r="BH49" i="8" s="1"/>
  <c r="AM48" i="8"/>
  <c r="BD48" i="8" s="1"/>
  <c r="AL48" i="8"/>
  <c r="BC48" i="8" s="1"/>
  <c r="AJ48" i="8"/>
  <c r="BA48" i="8" s="1"/>
  <c r="AI48" i="8"/>
  <c r="AZ48" i="8" s="1"/>
  <c r="AH48" i="8"/>
  <c r="AY48" i="8" s="1"/>
  <c r="AF48" i="8"/>
  <c r="AW48" i="8" s="1"/>
  <c r="AE48" i="8"/>
  <c r="AV48" i="8" s="1"/>
  <c r="AD48" i="8"/>
  <c r="AU48" i="8" s="1"/>
  <c r="AC48" i="8"/>
  <c r="AT48" i="8" s="1"/>
  <c r="AA48" i="8"/>
  <c r="AR48" i="8" s="1"/>
  <c r="Y48" i="8"/>
  <c r="AM47" i="8"/>
  <c r="BD47" i="8" s="1"/>
  <c r="AL47" i="8"/>
  <c r="BC47" i="8" s="1"/>
  <c r="AI47" i="8"/>
  <c r="AZ47" i="8" s="1"/>
  <c r="AH47" i="8"/>
  <c r="AY47" i="8" s="1"/>
  <c r="AG47" i="8"/>
  <c r="AX47" i="8" s="1"/>
  <c r="AF47" i="8"/>
  <c r="AW47" i="8" s="1"/>
  <c r="AE47" i="8"/>
  <c r="AV47" i="8" s="1"/>
  <c r="AD47" i="8"/>
  <c r="AU47" i="8" s="1"/>
  <c r="AC47" i="8"/>
  <c r="AT47" i="8" s="1"/>
  <c r="AB47" i="8"/>
  <c r="AA47" i="8"/>
  <c r="AR47" i="8" s="1"/>
  <c r="Z47" i="8"/>
  <c r="Y47" i="8"/>
  <c r="AM46" i="8"/>
  <c r="BD46" i="8" s="1"/>
  <c r="AL46" i="8"/>
  <c r="BC46" i="8" s="1"/>
  <c r="AK46" i="8"/>
  <c r="BB46" i="8" s="1"/>
  <c r="AJ46" i="8"/>
  <c r="BA46" i="8" s="1"/>
  <c r="AI46" i="8"/>
  <c r="AZ46" i="8" s="1"/>
  <c r="AH46" i="8"/>
  <c r="AY46" i="8" s="1"/>
  <c r="AG46" i="8"/>
  <c r="AX46" i="8" s="1"/>
  <c r="AF46" i="8"/>
  <c r="AW46" i="8" s="1"/>
  <c r="AE46" i="8"/>
  <c r="AV46" i="8" s="1"/>
  <c r="AD46" i="8"/>
  <c r="AU46" i="8" s="1"/>
  <c r="AC46" i="8"/>
  <c r="AT46" i="8" s="1"/>
  <c r="AB46" i="8"/>
  <c r="AS46" i="8" s="1"/>
  <c r="AA46" i="8"/>
  <c r="AR46" i="8" s="1"/>
  <c r="Z46" i="8"/>
  <c r="AQ46" i="8" s="1"/>
  <c r="Y46" i="8"/>
  <c r="X46" i="8"/>
  <c r="AO46" i="8" s="1"/>
  <c r="AM45" i="8"/>
  <c r="BD45" i="8" s="1"/>
  <c r="AL45" i="8"/>
  <c r="BC45" i="8" s="1"/>
  <c r="AK45" i="8"/>
  <c r="BB45" i="8" s="1"/>
  <c r="AJ45" i="8"/>
  <c r="BA45" i="8" s="1"/>
  <c r="AI45" i="8"/>
  <c r="AZ45" i="8" s="1"/>
  <c r="AH45" i="8"/>
  <c r="AY45" i="8" s="1"/>
  <c r="AG45" i="8"/>
  <c r="AX45" i="8" s="1"/>
  <c r="AF45" i="8"/>
  <c r="AW45" i="8" s="1"/>
  <c r="AE45" i="8"/>
  <c r="AV45" i="8" s="1"/>
  <c r="AD45" i="8"/>
  <c r="AU45" i="8" s="1"/>
  <c r="AC45" i="8"/>
  <c r="AB45" i="8"/>
  <c r="AA45" i="8"/>
  <c r="AR45" i="8" s="1"/>
  <c r="Z45" i="8"/>
  <c r="Y45" i="8"/>
  <c r="X45" i="8"/>
  <c r="AO45" i="8" s="1"/>
  <c r="BH45" i="8" s="1"/>
  <c r="D45" i="8"/>
  <c r="AM44" i="8"/>
  <c r="BD44" i="8" s="1"/>
  <c r="AL44" i="8"/>
  <c r="BC44" i="8" s="1"/>
  <c r="AK44" i="8"/>
  <c r="BB44" i="8" s="1"/>
  <c r="AJ44" i="8"/>
  <c r="BA44" i="8" s="1"/>
  <c r="AI44" i="8"/>
  <c r="AZ44" i="8" s="1"/>
  <c r="AH44" i="8"/>
  <c r="AY44" i="8" s="1"/>
  <c r="AG44" i="8"/>
  <c r="AX44" i="8" s="1"/>
  <c r="AF44" i="8"/>
  <c r="AW44" i="8" s="1"/>
  <c r="AE44" i="8"/>
  <c r="AV44" i="8" s="1"/>
  <c r="AD44" i="8"/>
  <c r="AU44" i="8" s="1"/>
  <c r="AC44" i="8"/>
  <c r="AT44" i="8" s="1"/>
  <c r="AB44" i="8"/>
  <c r="AA44" i="8"/>
  <c r="AR44" i="8" s="1"/>
  <c r="Z44" i="8"/>
  <c r="Y44" i="8"/>
  <c r="X44" i="8"/>
  <c r="AO44" i="8" s="1"/>
  <c r="BH44" i="8" s="1"/>
  <c r="D44" i="8"/>
  <c r="AM43" i="8"/>
  <c r="BD43" i="8" s="1"/>
  <c r="AL43" i="8"/>
  <c r="BC43" i="8" s="1"/>
  <c r="AK43" i="8"/>
  <c r="BB43" i="8" s="1"/>
  <c r="AJ43" i="8"/>
  <c r="BA43" i="8" s="1"/>
  <c r="AI43" i="8"/>
  <c r="AZ43" i="8" s="1"/>
  <c r="AH43" i="8"/>
  <c r="AY43" i="8" s="1"/>
  <c r="AG43" i="8"/>
  <c r="AX43" i="8" s="1"/>
  <c r="AF43" i="8"/>
  <c r="AW43" i="8" s="1"/>
  <c r="AE43" i="8"/>
  <c r="AV43" i="8" s="1"/>
  <c r="AD43" i="8"/>
  <c r="AU43" i="8" s="1"/>
  <c r="AC43" i="8"/>
  <c r="AB43" i="8"/>
  <c r="AS43" i="8" s="1"/>
  <c r="AA43" i="8"/>
  <c r="AR43" i="8" s="1"/>
  <c r="Z43" i="8"/>
  <c r="AQ43" i="8" s="1"/>
  <c r="Y43" i="8"/>
  <c r="X43" i="8"/>
  <c r="AO43" i="8" s="1"/>
  <c r="BH43" i="8" s="1"/>
  <c r="D43" i="8"/>
  <c r="AM42" i="8"/>
  <c r="BD42" i="8" s="1"/>
  <c r="AL42" i="8"/>
  <c r="BC42" i="8" s="1"/>
  <c r="AK42" i="8"/>
  <c r="BB42" i="8" s="1"/>
  <c r="AJ42" i="8"/>
  <c r="BA42" i="8" s="1"/>
  <c r="AI42" i="8"/>
  <c r="AZ42" i="8" s="1"/>
  <c r="AH42" i="8"/>
  <c r="AY42" i="8" s="1"/>
  <c r="AG42" i="8"/>
  <c r="AX42" i="8" s="1"/>
  <c r="AF42" i="8"/>
  <c r="AW42" i="8" s="1"/>
  <c r="AE42" i="8"/>
  <c r="AV42" i="8" s="1"/>
  <c r="AD42" i="8"/>
  <c r="AU42" i="8" s="1"/>
  <c r="AC42" i="8"/>
  <c r="AT42" i="8" s="1"/>
  <c r="AB42" i="8"/>
  <c r="AS42" i="8" s="1"/>
  <c r="AA42" i="8"/>
  <c r="AR42" i="8" s="1"/>
  <c r="Z42" i="8"/>
  <c r="AQ42" i="8" s="1"/>
  <c r="Y42" i="8"/>
  <c r="X42" i="8"/>
  <c r="AO42" i="8" s="1"/>
  <c r="BH42" i="8" s="1"/>
  <c r="D42" i="8"/>
  <c r="B42" i="8"/>
  <c r="B43" i="8" s="1"/>
  <c r="B44" i="8" s="1"/>
  <c r="B45" i="8" s="1"/>
  <c r="B47" i="8" s="1"/>
  <c r="B48" i="8" s="1"/>
  <c r="B49" i="8" s="1"/>
  <c r="B50" i="8" s="1"/>
  <c r="AM41" i="8"/>
  <c r="BD41" i="8" s="1"/>
  <c r="AL41" i="8"/>
  <c r="BC41" i="8" s="1"/>
  <c r="AK41" i="8"/>
  <c r="BB41" i="8" s="1"/>
  <c r="AJ41" i="8"/>
  <c r="BA41" i="8" s="1"/>
  <c r="AI41" i="8"/>
  <c r="AZ41" i="8" s="1"/>
  <c r="AH41" i="8"/>
  <c r="AY41" i="8" s="1"/>
  <c r="AG41" i="8"/>
  <c r="AX41" i="8" s="1"/>
  <c r="AF41" i="8"/>
  <c r="AW41" i="8" s="1"/>
  <c r="AE41" i="8"/>
  <c r="AV41" i="8" s="1"/>
  <c r="AD41" i="8"/>
  <c r="AU41" i="8" s="1"/>
  <c r="AC41" i="8"/>
  <c r="AT41" i="8" s="1"/>
  <c r="AB41" i="8"/>
  <c r="AS41" i="8" s="1"/>
  <c r="AA41" i="8"/>
  <c r="AR41" i="8" s="1"/>
  <c r="Z41" i="8"/>
  <c r="AQ41" i="8" s="1"/>
  <c r="Y41" i="8"/>
  <c r="X41" i="8"/>
  <c r="AO41" i="8" s="1"/>
  <c r="AM40" i="8"/>
  <c r="BD40" i="8" s="1"/>
  <c r="AL40" i="8"/>
  <c r="BC40" i="8" s="1"/>
  <c r="AK40" i="8"/>
  <c r="BB40" i="8" s="1"/>
  <c r="AJ40" i="8"/>
  <c r="BA40" i="8" s="1"/>
  <c r="AI40" i="8"/>
  <c r="AZ40" i="8" s="1"/>
  <c r="AH40" i="8"/>
  <c r="AY40" i="8" s="1"/>
  <c r="AG40" i="8"/>
  <c r="AX40" i="8" s="1"/>
  <c r="AF40" i="8"/>
  <c r="AW40" i="8" s="1"/>
  <c r="AE40" i="8"/>
  <c r="AV40" i="8" s="1"/>
  <c r="AD40" i="8"/>
  <c r="AU40" i="8" s="1"/>
  <c r="AC40" i="8"/>
  <c r="AT40" i="8" s="1"/>
  <c r="AB40" i="8"/>
  <c r="AS40" i="8" s="1"/>
  <c r="AA40" i="8"/>
  <c r="AR40" i="8" s="1"/>
  <c r="Z40" i="8"/>
  <c r="AQ40" i="8" s="1"/>
  <c r="Y40" i="8"/>
  <c r="X40" i="8"/>
  <c r="AO40" i="8" s="1"/>
  <c r="AM39" i="8"/>
  <c r="BD39" i="8" s="1"/>
  <c r="AL39" i="8"/>
  <c r="BC39" i="8" s="1"/>
  <c r="AK39" i="8"/>
  <c r="BB39" i="8" s="1"/>
  <c r="AJ39" i="8"/>
  <c r="BA39" i="8" s="1"/>
  <c r="AG39" i="8"/>
  <c r="AX39" i="8" s="1"/>
  <c r="AF39" i="8"/>
  <c r="AW39" i="8" s="1"/>
  <c r="AE39" i="8"/>
  <c r="AV39" i="8" s="1"/>
  <c r="AD39" i="8"/>
  <c r="AU39" i="8" s="1"/>
  <c r="AC39" i="8"/>
  <c r="AT39" i="8" s="1"/>
  <c r="AB39" i="8"/>
  <c r="AS39" i="8" s="1"/>
  <c r="AA39" i="8"/>
  <c r="AR39" i="8" s="1"/>
  <c r="Z39" i="8"/>
  <c r="AQ39" i="8" s="1"/>
  <c r="Y39" i="8"/>
  <c r="D39" i="8"/>
  <c r="AM38" i="8"/>
  <c r="BD38" i="8" s="1"/>
  <c r="AL38" i="8"/>
  <c r="BC38" i="8" s="1"/>
  <c r="AJ38" i="8"/>
  <c r="BA38" i="8" s="1"/>
  <c r="AI38" i="8"/>
  <c r="AZ38" i="8" s="1"/>
  <c r="AH38" i="8"/>
  <c r="AY38" i="8" s="1"/>
  <c r="AG38" i="8"/>
  <c r="AX38" i="8" s="1"/>
  <c r="AF38" i="8"/>
  <c r="AW38" i="8" s="1"/>
  <c r="AE38" i="8"/>
  <c r="AV38" i="8" s="1"/>
  <c r="AD38" i="8"/>
  <c r="AU38" i="8" s="1"/>
  <c r="AC38" i="8"/>
  <c r="AT38" i="8" s="1"/>
  <c r="AB38" i="8"/>
  <c r="AA38" i="8"/>
  <c r="Z38" i="8"/>
  <c r="Y38" i="8"/>
  <c r="D38" i="8"/>
  <c r="AM37" i="8"/>
  <c r="BD37" i="8" s="1"/>
  <c r="AL37" i="8"/>
  <c r="BC37" i="8" s="1"/>
  <c r="AK37" i="8"/>
  <c r="BB37" i="8" s="1"/>
  <c r="AJ37" i="8"/>
  <c r="BA37" i="8" s="1"/>
  <c r="AI37" i="8"/>
  <c r="AZ37" i="8" s="1"/>
  <c r="AH37" i="8"/>
  <c r="AY37" i="8" s="1"/>
  <c r="AG37" i="8"/>
  <c r="AX37" i="8" s="1"/>
  <c r="AF37" i="8"/>
  <c r="AW37" i="8" s="1"/>
  <c r="AE37" i="8"/>
  <c r="AV37" i="8" s="1"/>
  <c r="AD37" i="8"/>
  <c r="AU37" i="8" s="1"/>
  <c r="AC37" i="8"/>
  <c r="AT37" i="8" s="1"/>
  <c r="AB37" i="8"/>
  <c r="AA37" i="8"/>
  <c r="Z37" i="8"/>
  <c r="Y37" i="8"/>
  <c r="D37" i="8"/>
  <c r="AM36" i="8"/>
  <c r="BD36" i="8" s="1"/>
  <c r="AL36" i="8"/>
  <c r="BC36" i="8" s="1"/>
  <c r="AK36" i="8"/>
  <c r="BB36" i="8" s="1"/>
  <c r="AJ36" i="8"/>
  <c r="BA36" i="8" s="1"/>
  <c r="AI36" i="8"/>
  <c r="AZ36" i="8" s="1"/>
  <c r="AH36" i="8"/>
  <c r="AY36" i="8" s="1"/>
  <c r="AG36" i="8"/>
  <c r="AX36" i="8" s="1"/>
  <c r="AF36" i="8"/>
  <c r="AW36" i="8" s="1"/>
  <c r="AE36" i="8"/>
  <c r="AV36" i="8" s="1"/>
  <c r="AD36" i="8"/>
  <c r="AU36" i="8" s="1"/>
  <c r="AC36" i="8"/>
  <c r="AT36" i="8" s="1"/>
  <c r="AB36" i="8"/>
  <c r="AS36" i="8" s="1"/>
  <c r="AA36" i="8"/>
  <c r="AR36" i="8" s="1"/>
  <c r="Z36" i="8"/>
  <c r="AQ36" i="8" s="1"/>
  <c r="Y36" i="8"/>
  <c r="X36" i="8"/>
  <c r="AO36" i="8" s="1"/>
  <c r="AM35" i="8"/>
  <c r="BD35" i="8" s="1"/>
  <c r="AL35" i="8"/>
  <c r="BC35" i="8" s="1"/>
  <c r="AK35" i="8"/>
  <c r="BB35" i="8" s="1"/>
  <c r="AJ35" i="8"/>
  <c r="BA35" i="8" s="1"/>
  <c r="AI35" i="8"/>
  <c r="AZ35" i="8" s="1"/>
  <c r="AH35" i="8"/>
  <c r="AY35" i="8" s="1"/>
  <c r="AG35" i="8"/>
  <c r="AX35" i="8" s="1"/>
  <c r="AF35" i="8"/>
  <c r="AW35" i="8" s="1"/>
  <c r="AE35" i="8"/>
  <c r="AV35" i="8" s="1"/>
  <c r="AD35" i="8"/>
  <c r="AU35" i="8" s="1"/>
  <c r="AC35" i="8"/>
  <c r="AB35" i="8"/>
  <c r="AS35" i="8" s="1"/>
  <c r="AA35" i="8"/>
  <c r="AR35" i="8" s="1"/>
  <c r="Z35" i="8"/>
  <c r="AQ35" i="8" s="1"/>
  <c r="Y35" i="8"/>
  <c r="X35" i="8"/>
  <c r="AO35" i="8" s="1"/>
  <c r="BH35" i="8" s="1"/>
  <c r="D35" i="8"/>
  <c r="AM34" i="8"/>
  <c r="BD34" i="8" s="1"/>
  <c r="AL34" i="8"/>
  <c r="BC34" i="8" s="1"/>
  <c r="AK34" i="8"/>
  <c r="BB34" i="8" s="1"/>
  <c r="AJ34" i="8"/>
  <c r="BA34" i="8" s="1"/>
  <c r="AI34" i="8"/>
  <c r="AZ34" i="8" s="1"/>
  <c r="AH34" i="8"/>
  <c r="AY34" i="8" s="1"/>
  <c r="AG34" i="8"/>
  <c r="AX34" i="8" s="1"/>
  <c r="AF34" i="8"/>
  <c r="AW34" i="8" s="1"/>
  <c r="AE34" i="8"/>
  <c r="AV34" i="8" s="1"/>
  <c r="AD34" i="8"/>
  <c r="AU34" i="8" s="1"/>
  <c r="AC34" i="8"/>
  <c r="AB34" i="8"/>
  <c r="AA34" i="8"/>
  <c r="AR34" i="8" s="1"/>
  <c r="Z34" i="8"/>
  <c r="Y34" i="8"/>
  <c r="X34" i="8"/>
  <c r="AO34" i="8" s="1"/>
  <c r="BH34" i="8" s="1"/>
  <c r="D34" i="8"/>
  <c r="AM33" i="8"/>
  <c r="BD33" i="8" s="1"/>
  <c r="AL33" i="8"/>
  <c r="BC33" i="8" s="1"/>
  <c r="AK33" i="8"/>
  <c r="BB33" i="8" s="1"/>
  <c r="AJ33" i="8"/>
  <c r="BA33" i="8" s="1"/>
  <c r="AI33" i="8"/>
  <c r="AZ33" i="8" s="1"/>
  <c r="AH33" i="8"/>
  <c r="AY33" i="8" s="1"/>
  <c r="AG33" i="8"/>
  <c r="AX33" i="8" s="1"/>
  <c r="AF33" i="8"/>
  <c r="AW33" i="8" s="1"/>
  <c r="AE33" i="8"/>
  <c r="AV33" i="8" s="1"/>
  <c r="AD33" i="8"/>
  <c r="AU33" i="8" s="1"/>
  <c r="AC33" i="8"/>
  <c r="AT33" i="8" s="1"/>
  <c r="AB33" i="8"/>
  <c r="AA33" i="8"/>
  <c r="AR33" i="8" s="1"/>
  <c r="Z33" i="8"/>
  <c r="Y33" i="8"/>
  <c r="D33" i="8"/>
  <c r="AM32" i="8"/>
  <c r="BD32" i="8" s="1"/>
  <c r="AL32" i="8"/>
  <c r="BC32" i="8" s="1"/>
  <c r="AK32" i="8"/>
  <c r="BB32" i="8" s="1"/>
  <c r="AJ32" i="8"/>
  <c r="BA32" i="8" s="1"/>
  <c r="AI32" i="8"/>
  <c r="AZ32" i="8" s="1"/>
  <c r="AH32" i="8"/>
  <c r="AY32" i="8" s="1"/>
  <c r="AG32" i="8"/>
  <c r="AX32" i="8" s="1"/>
  <c r="AF32" i="8"/>
  <c r="AW32" i="8" s="1"/>
  <c r="AE32" i="8"/>
  <c r="AV32" i="8" s="1"/>
  <c r="AD32" i="8"/>
  <c r="AU32" i="8" s="1"/>
  <c r="AC32" i="8"/>
  <c r="AB32" i="8"/>
  <c r="AS32" i="8" s="1"/>
  <c r="AA32" i="8"/>
  <c r="AR32" i="8" s="1"/>
  <c r="Z32" i="8"/>
  <c r="AQ32" i="8" s="1"/>
  <c r="Y32" i="8"/>
  <c r="X32" i="8"/>
  <c r="AO32" i="8" s="1"/>
  <c r="BH32" i="8" s="1"/>
  <c r="D32" i="8"/>
  <c r="AM31" i="8"/>
  <c r="BD31" i="8" s="1"/>
  <c r="AL31" i="8"/>
  <c r="BC31" i="8" s="1"/>
  <c r="AK31" i="8"/>
  <c r="BB31" i="8" s="1"/>
  <c r="AJ31" i="8"/>
  <c r="BA31" i="8" s="1"/>
  <c r="AI31" i="8"/>
  <c r="AZ31" i="8" s="1"/>
  <c r="AH31" i="8"/>
  <c r="AY31" i="8" s="1"/>
  <c r="AG31" i="8"/>
  <c r="AX31" i="8" s="1"/>
  <c r="AF31" i="8"/>
  <c r="AW31" i="8" s="1"/>
  <c r="AE31" i="8"/>
  <c r="AV31" i="8" s="1"/>
  <c r="AD31" i="8"/>
  <c r="AU31" i="8" s="1"/>
  <c r="AC31" i="8"/>
  <c r="AT31" i="8" s="1"/>
  <c r="AB31" i="8"/>
  <c r="AS31" i="8" s="1"/>
  <c r="AA31" i="8"/>
  <c r="AR31" i="8" s="1"/>
  <c r="Z31" i="8"/>
  <c r="AQ31" i="8" s="1"/>
  <c r="Y31" i="8"/>
  <c r="D31" i="8"/>
  <c r="AM30" i="8"/>
  <c r="BD30" i="8" s="1"/>
  <c r="AL30" i="8"/>
  <c r="BC30" i="8" s="1"/>
  <c r="AK30" i="8"/>
  <c r="BB30" i="8" s="1"/>
  <c r="AJ30" i="8"/>
  <c r="BA30" i="8" s="1"/>
  <c r="AI30" i="8"/>
  <c r="AZ30" i="8" s="1"/>
  <c r="AH30" i="8"/>
  <c r="AY30" i="8" s="1"/>
  <c r="AG30" i="8"/>
  <c r="AX30" i="8" s="1"/>
  <c r="AF30" i="8"/>
  <c r="AW30" i="8" s="1"/>
  <c r="AE30" i="8"/>
  <c r="AV30" i="8" s="1"/>
  <c r="AD30" i="8"/>
  <c r="AU30" i="8" s="1"/>
  <c r="AC30" i="8"/>
  <c r="AT30" i="8" s="1"/>
  <c r="AB30" i="8"/>
  <c r="AS30" i="8" s="1"/>
  <c r="AA30" i="8"/>
  <c r="AR30" i="8" s="1"/>
  <c r="Z30" i="8"/>
  <c r="AQ30" i="8" s="1"/>
  <c r="Y30" i="8"/>
  <c r="X30" i="8"/>
  <c r="AO30" i="8" s="1"/>
  <c r="AM29" i="8"/>
  <c r="BD29" i="8" s="1"/>
  <c r="AL29" i="8"/>
  <c r="BC29" i="8" s="1"/>
  <c r="AK29" i="8"/>
  <c r="BB29" i="8" s="1"/>
  <c r="AJ29" i="8"/>
  <c r="BA29" i="8" s="1"/>
  <c r="AI29" i="8"/>
  <c r="AZ29" i="8" s="1"/>
  <c r="AH29" i="8"/>
  <c r="AY29" i="8" s="1"/>
  <c r="AG29" i="8"/>
  <c r="AX29" i="8" s="1"/>
  <c r="AF29" i="8"/>
  <c r="AW29" i="8" s="1"/>
  <c r="AE29" i="8"/>
  <c r="AV29" i="8" s="1"/>
  <c r="AD29" i="8"/>
  <c r="AU29" i="8" s="1"/>
  <c r="AC29" i="8"/>
  <c r="AT29" i="8" s="1"/>
  <c r="AB29" i="8"/>
  <c r="AS29" i="8" s="1"/>
  <c r="AA29" i="8"/>
  <c r="AR29" i="8" s="1"/>
  <c r="Z29" i="8"/>
  <c r="AQ29" i="8" s="1"/>
  <c r="Y29" i="8"/>
  <c r="X29" i="8"/>
  <c r="AO29" i="8" s="1"/>
  <c r="BH29" i="8" s="1"/>
  <c r="D29" i="8"/>
  <c r="B29" i="8"/>
  <c r="B31" i="8" s="1"/>
  <c r="B32" i="8" s="1"/>
  <c r="B33" i="8" s="1"/>
  <c r="B34" i="8" s="1"/>
  <c r="B35" i="8" s="1"/>
  <c r="B37" i="8" s="1"/>
  <c r="B38" i="8" s="1"/>
  <c r="B39" i="8" s="1"/>
  <c r="AM28" i="8"/>
  <c r="BD28" i="8" s="1"/>
  <c r="AL28" i="8"/>
  <c r="BC28" i="8" s="1"/>
  <c r="AK28" i="8"/>
  <c r="BB28" i="8" s="1"/>
  <c r="AJ28" i="8"/>
  <c r="BA28" i="8" s="1"/>
  <c r="AI28" i="8"/>
  <c r="AZ28" i="8" s="1"/>
  <c r="AH28" i="8"/>
  <c r="AY28" i="8" s="1"/>
  <c r="AG28" i="8"/>
  <c r="AX28" i="8" s="1"/>
  <c r="AF28" i="8"/>
  <c r="AW28" i="8" s="1"/>
  <c r="AE28" i="8"/>
  <c r="AV28" i="8" s="1"/>
  <c r="AD28" i="8"/>
  <c r="AU28" i="8" s="1"/>
  <c r="AC28" i="8"/>
  <c r="AT28" i="8" s="1"/>
  <c r="AB28" i="8"/>
  <c r="AS28" i="8" s="1"/>
  <c r="AA28" i="8"/>
  <c r="AR28" i="8" s="1"/>
  <c r="Z28" i="8"/>
  <c r="AQ28" i="8" s="1"/>
  <c r="Y28" i="8"/>
  <c r="X28" i="8"/>
  <c r="AO28" i="8" s="1"/>
  <c r="BH28" i="8" s="1"/>
  <c r="D28" i="8"/>
  <c r="AM27" i="8"/>
  <c r="BD27" i="8" s="1"/>
  <c r="AL27" i="8"/>
  <c r="BC27" i="8" s="1"/>
  <c r="AK27" i="8"/>
  <c r="BB27" i="8" s="1"/>
  <c r="AJ27" i="8"/>
  <c r="BA27" i="8" s="1"/>
  <c r="AI27" i="8"/>
  <c r="AZ27" i="8" s="1"/>
  <c r="AH27" i="8"/>
  <c r="AY27" i="8" s="1"/>
  <c r="AG27" i="8"/>
  <c r="AX27" i="8" s="1"/>
  <c r="AF27" i="8"/>
  <c r="AW27" i="8" s="1"/>
  <c r="AE27" i="8"/>
  <c r="AV27" i="8" s="1"/>
  <c r="AD27" i="8"/>
  <c r="AU27" i="8" s="1"/>
  <c r="AC27" i="8"/>
  <c r="AT27" i="8" s="1"/>
  <c r="AB27" i="8"/>
  <c r="AS27" i="8" s="1"/>
  <c r="AA27" i="8"/>
  <c r="AR27" i="8" s="1"/>
  <c r="Z27" i="8"/>
  <c r="AQ27" i="8" s="1"/>
  <c r="Y27" i="8"/>
  <c r="X27" i="8"/>
  <c r="AO27" i="8" s="1"/>
  <c r="AM26" i="8"/>
  <c r="BD26" i="8" s="1"/>
  <c r="AL26" i="8"/>
  <c r="BC26" i="8" s="1"/>
  <c r="AK26" i="8"/>
  <c r="BB26" i="8" s="1"/>
  <c r="AJ26" i="8"/>
  <c r="BA26" i="8" s="1"/>
  <c r="AI26" i="8"/>
  <c r="AZ26" i="8" s="1"/>
  <c r="AH26" i="8"/>
  <c r="AY26" i="8" s="1"/>
  <c r="AG26" i="8"/>
  <c r="AX26" i="8" s="1"/>
  <c r="AF26" i="8"/>
  <c r="AW26" i="8" s="1"/>
  <c r="AE26" i="8"/>
  <c r="AV26" i="8" s="1"/>
  <c r="AD26" i="8"/>
  <c r="AU26" i="8" s="1"/>
  <c r="AC26" i="8"/>
  <c r="AT26" i="8" s="1"/>
  <c r="AB26" i="8"/>
  <c r="AS26" i="8" s="1"/>
  <c r="AA26" i="8"/>
  <c r="AR26" i="8" s="1"/>
  <c r="Z26" i="8"/>
  <c r="AQ26" i="8" s="1"/>
  <c r="Y26" i="8"/>
  <c r="X26" i="8"/>
  <c r="AO26" i="8" s="1"/>
  <c r="AM25" i="8"/>
  <c r="BD25" i="8" s="1"/>
  <c r="AL25" i="8"/>
  <c r="AK25" i="8"/>
  <c r="BB25" i="8" s="1"/>
  <c r="AJ25" i="8"/>
  <c r="BA25" i="8" s="1"/>
  <c r="AI25" i="8"/>
  <c r="AZ25" i="8" s="1"/>
  <c r="AH25" i="8"/>
  <c r="AY25" i="8" s="1"/>
  <c r="AG25" i="8"/>
  <c r="AX25" i="8" s="1"/>
  <c r="AF25" i="8"/>
  <c r="AE25" i="8"/>
  <c r="AD25" i="8"/>
  <c r="AC25" i="8"/>
  <c r="AT25" i="8" s="1"/>
  <c r="AB25" i="8"/>
  <c r="AA25" i="8"/>
  <c r="Z25" i="8"/>
  <c r="Y25" i="8"/>
  <c r="X25" i="8"/>
  <c r="AO25" i="8" s="1"/>
  <c r="BH25" i="8" s="1"/>
  <c r="AM24" i="8"/>
  <c r="BD24" i="8" s="1"/>
  <c r="AK24" i="8"/>
  <c r="BB24" i="8" s="1"/>
  <c r="AJ24" i="8"/>
  <c r="BA24" i="8" s="1"/>
  <c r="AI24" i="8"/>
  <c r="AZ24" i="8" s="1"/>
  <c r="AH24" i="8"/>
  <c r="AY24" i="8" s="1"/>
  <c r="AG24" i="8"/>
  <c r="AX24" i="8" s="1"/>
  <c r="AF24" i="8"/>
  <c r="AW24" i="8" s="1"/>
  <c r="AE24" i="8"/>
  <c r="AV24" i="8" s="1"/>
  <c r="AD24" i="8"/>
  <c r="AU24" i="8" s="1"/>
  <c r="AC24" i="8"/>
  <c r="AT24" i="8" s="1"/>
  <c r="AB24" i="8"/>
  <c r="AA24" i="8"/>
  <c r="Z24" i="8"/>
  <c r="Y24" i="8"/>
  <c r="AM23" i="8"/>
  <c r="BD23" i="8" s="1"/>
  <c r="AL23" i="8"/>
  <c r="BC23" i="8" s="1"/>
  <c r="AK23" i="8"/>
  <c r="BB23" i="8" s="1"/>
  <c r="AJ23" i="8"/>
  <c r="BA23" i="8" s="1"/>
  <c r="AI23" i="8"/>
  <c r="AZ23" i="8" s="1"/>
  <c r="AH23" i="8"/>
  <c r="AY23" i="8" s="1"/>
  <c r="AG23" i="8"/>
  <c r="AX23" i="8" s="1"/>
  <c r="AF23" i="8"/>
  <c r="AE23" i="8"/>
  <c r="AD23" i="8"/>
  <c r="AC23" i="8"/>
  <c r="AT23" i="8" s="1"/>
  <c r="AB23" i="8"/>
  <c r="AA23" i="8"/>
  <c r="Z23" i="8"/>
  <c r="Y23" i="8"/>
  <c r="X23" i="8"/>
  <c r="AO23" i="8" s="1"/>
  <c r="BH23" i="8" s="1"/>
  <c r="AM22" i="8"/>
  <c r="BD22" i="8" s="1"/>
  <c r="AL22" i="8"/>
  <c r="BC22" i="8" s="1"/>
  <c r="AK22" i="8"/>
  <c r="BB22" i="8" s="1"/>
  <c r="AJ22" i="8"/>
  <c r="BA22" i="8" s="1"/>
  <c r="AI22" i="8"/>
  <c r="AZ22" i="8" s="1"/>
  <c r="AH22" i="8"/>
  <c r="AY22" i="8" s="1"/>
  <c r="AG22" i="8"/>
  <c r="AX22" i="8" s="1"/>
  <c r="AF22" i="8"/>
  <c r="AW22" i="8" s="1"/>
  <c r="AE22" i="8"/>
  <c r="AV22" i="8" s="1"/>
  <c r="AD22" i="8"/>
  <c r="AU22" i="8" s="1"/>
  <c r="AC22" i="8"/>
  <c r="AT22" i="8" s="1"/>
  <c r="AB22" i="8"/>
  <c r="AA22" i="8"/>
  <c r="Z22" i="8"/>
  <c r="Y22" i="8"/>
  <c r="AM20" i="8"/>
  <c r="BD20" i="8" s="1"/>
  <c r="AL20" i="8"/>
  <c r="BC20" i="8" s="1"/>
  <c r="AK20" i="8"/>
  <c r="BB20" i="8" s="1"/>
  <c r="AJ20" i="8"/>
  <c r="BA20" i="8" s="1"/>
  <c r="AI20" i="8"/>
  <c r="AZ20" i="8" s="1"/>
  <c r="AH20" i="8"/>
  <c r="AY20" i="8" s="1"/>
  <c r="AG20" i="8"/>
  <c r="AX20" i="8" s="1"/>
  <c r="AF20" i="8"/>
  <c r="AW20" i="8" s="1"/>
  <c r="AE20" i="8"/>
  <c r="AV20" i="8" s="1"/>
  <c r="AD20" i="8"/>
  <c r="AU20" i="8" s="1"/>
  <c r="AC20" i="8"/>
  <c r="AT20" i="8" s="1"/>
  <c r="AB20" i="8"/>
  <c r="AS20" i="8" s="1"/>
  <c r="AA20" i="8"/>
  <c r="AR20" i="8" s="1"/>
  <c r="Z20" i="8"/>
  <c r="AQ20" i="8" s="1"/>
  <c r="Y20" i="8"/>
  <c r="X20" i="8"/>
  <c r="AO20" i="8" s="1"/>
  <c r="AM19" i="8"/>
  <c r="BD19" i="8" s="1"/>
  <c r="AL19" i="8"/>
  <c r="BC19" i="8" s="1"/>
  <c r="AK19" i="8"/>
  <c r="BB19" i="8" s="1"/>
  <c r="AJ19" i="8"/>
  <c r="BA19" i="8" s="1"/>
  <c r="AI19" i="8"/>
  <c r="AZ19" i="8" s="1"/>
  <c r="AH19" i="8"/>
  <c r="AY19" i="8" s="1"/>
  <c r="AG19" i="8"/>
  <c r="AX19" i="8" s="1"/>
  <c r="AF19" i="8"/>
  <c r="AW19" i="8" s="1"/>
  <c r="AE19" i="8"/>
  <c r="AV19" i="8" s="1"/>
  <c r="AD19" i="8"/>
  <c r="AU19" i="8" s="1"/>
  <c r="AC19" i="8"/>
  <c r="AB19" i="8"/>
  <c r="AS19" i="8" s="1"/>
  <c r="AA19" i="8"/>
  <c r="AR19" i="8" s="1"/>
  <c r="Z19" i="8"/>
  <c r="AQ19" i="8" s="1"/>
  <c r="Y19" i="8"/>
  <c r="X19" i="8"/>
  <c r="AO19" i="8" s="1"/>
  <c r="BH19" i="8" s="1"/>
  <c r="B23" i="8"/>
  <c r="B24" i="8" s="1"/>
  <c r="B25" i="8" s="1"/>
  <c r="AM18" i="8"/>
  <c r="BD18" i="8" s="1"/>
  <c r="AL18" i="8"/>
  <c r="BC18" i="8" s="1"/>
  <c r="AK18" i="8"/>
  <c r="BB18" i="8" s="1"/>
  <c r="AJ18" i="8"/>
  <c r="BA18" i="8" s="1"/>
  <c r="AI18" i="8"/>
  <c r="AZ18" i="8" s="1"/>
  <c r="AH18" i="8"/>
  <c r="AY18" i="8" s="1"/>
  <c r="AG18" i="8"/>
  <c r="AX18" i="8" s="1"/>
  <c r="AF18" i="8"/>
  <c r="AW18" i="8" s="1"/>
  <c r="AE18" i="8"/>
  <c r="AV18" i="8" s="1"/>
  <c r="AD18" i="8"/>
  <c r="AU18" i="8" s="1"/>
  <c r="AC18" i="8"/>
  <c r="AT18" i="8" s="1"/>
  <c r="AB18" i="8"/>
  <c r="AS18" i="8" s="1"/>
  <c r="AA18" i="8"/>
  <c r="AR18" i="8" s="1"/>
  <c r="Z18" i="8"/>
  <c r="AQ18" i="8" s="1"/>
  <c r="AM17" i="8"/>
  <c r="BD17" i="8" s="1"/>
  <c r="AL17" i="8"/>
  <c r="BC17" i="8" s="1"/>
  <c r="AK17" i="8"/>
  <c r="BB17" i="8" s="1"/>
  <c r="AJ17" i="8"/>
  <c r="BA17" i="8" s="1"/>
  <c r="AI17" i="8"/>
  <c r="AZ17" i="8" s="1"/>
  <c r="AH17" i="8"/>
  <c r="AY17" i="8" s="1"/>
  <c r="AG17" i="8"/>
  <c r="AX17" i="8" s="1"/>
  <c r="AF17" i="8"/>
  <c r="AW17" i="8" s="1"/>
  <c r="AE17" i="8"/>
  <c r="AV17" i="8" s="1"/>
  <c r="AD17" i="8"/>
  <c r="AU17" i="8" s="1"/>
  <c r="AC17" i="8"/>
  <c r="AT17" i="8" s="1"/>
  <c r="AB17" i="8"/>
  <c r="AS17" i="8" s="1"/>
  <c r="AA17" i="8"/>
  <c r="AR17" i="8" s="1"/>
  <c r="Z17" i="8"/>
  <c r="AQ17" i="8" s="1"/>
  <c r="Y17" i="8"/>
  <c r="X17" i="8"/>
  <c r="AO17" i="8" s="1"/>
  <c r="AM16" i="8"/>
  <c r="BD16" i="8" s="1"/>
  <c r="AL16" i="8"/>
  <c r="BC16" i="8" s="1"/>
  <c r="AK16" i="8"/>
  <c r="BB16" i="8" s="1"/>
  <c r="AJ16" i="8"/>
  <c r="BA16" i="8" s="1"/>
  <c r="AI16" i="8"/>
  <c r="AZ16" i="8" s="1"/>
  <c r="AH16" i="8"/>
  <c r="AY16" i="8" s="1"/>
  <c r="AG16" i="8"/>
  <c r="AX16" i="8" s="1"/>
  <c r="AF16" i="8"/>
  <c r="AW16" i="8" s="1"/>
  <c r="AE16" i="8"/>
  <c r="AV16" i="8" s="1"/>
  <c r="AD16" i="8"/>
  <c r="AU16" i="8" s="1"/>
  <c r="AC16" i="8"/>
  <c r="AB16" i="8"/>
  <c r="AS16" i="8" s="1"/>
  <c r="AA16" i="8"/>
  <c r="AR16" i="8" s="1"/>
  <c r="Z16" i="8"/>
  <c r="AQ16" i="8" s="1"/>
  <c r="Y16" i="8"/>
  <c r="AP16" i="8" s="1"/>
  <c r="X16" i="8"/>
  <c r="AO16" i="8" s="1"/>
  <c r="BA11" i="8"/>
  <c r="B75" i="8" l="1"/>
  <c r="B76" i="8" s="1"/>
  <c r="B77" i="8" s="1"/>
  <c r="B78" i="8" s="1"/>
  <c r="B79" i="8" s="1"/>
  <c r="B80" i="8" s="1"/>
  <c r="B81" i="8" s="1"/>
  <c r="B82" i="8" s="1"/>
  <c r="B83" i="8" s="1"/>
  <c r="B84" i="8" s="1"/>
  <c r="B85" i="8" s="1"/>
  <c r="B86" i="8" s="1"/>
  <c r="B75" i="9"/>
  <c r="B76" i="9" s="1"/>
  <c r="B77" i="9" s="1"/>
  <c r="B78" i="9" s="1"/>
  <c r="B79" i="9" s="1"/>
  <c r="B80" i="9" s="1"/>
  <c r="B81" i="9" s="1"/>
  <c r="B82" i="9" s="1"/>
  <c r="B83" i="9" s="1"/>
  <c r="B84" i="9" s="1"/>
  <c r="B85" i="9" s="1"/>
  <c r="B86" i="9" s="1"/>
  <c r="B51" i="8"/>
  <c r="B52" i="8" s="1"/>
  <c r="B53" i="8" s="1"/>
  <c r="B54" i="8" s="1"/>
  <c r="B55" i="8" s="1"/>
  <c r="B56" i="8" s="1"/>
  <c r="B57" i="8" s="1"/>
  <c r="B58" i="8" s="1"/>
  <c r="B59" i="8" s="1"/>
  <c r="B60" i="8" s="1"/>
  <c r="B61" i="8" s="1"/>
  <c r="B62" i="8" s="1"/>
  <c r="B63" i="8" s="1"/>
  <c r="B64" i="8" s="1"/>
  <c r="B65" i="8" s="1"/>
  <c r="B66" i="8" s="1"/>
  <c r="B67" i="8" s="1"/>
  <c r="B51" i="9"/>
  <c r="B52" i="9" s="1"/>
  <c r="B53" i="9" s="1"/>
  <c r="B54" i="9" s="1"/>
  <c r="B55" i="9" s="1"/>
  <c r="B56" i="9" s="1"/>
  <c r="B57" i="9" s="1"/>
  <c r="B58" i="9" s="1"/>
  <c r="B59" i="9" s="1"/>
  <c r="B60" i="9" s="1"/>
  <c r="B61" i="9" s="1"/>
  <c r="B62" i="9" s="1"/>
  <c r="B63" i="9" s="1"/>
  <c r="B64" i="9" s="1"/>
  <c r="B65" i="9" s="1"/>
  <c r="B66" i="9" s="1"/>
  <c r="B67" i="9" s="1"/>
  <c r="BL45" i="9"/>
  <c r="BL47" i="9"/>
  <c r="BL53" i="9"/>
  <c r="BL54" i="9"/>
  <c r="BL71" i="8"/>
  <c r="BL73" i="8"/>
  <c r="BL74" i="8"/>
  <c r="BL76" i="8"/>
  <c r="BL77" i="8"/>
  <c r="BL78" i="8"/>
  <c r="BL83" i="8"/>
  <c r="BL85" i="8"/>
  <c r="BL86" i="8"/>
  <c r="BL87" i="8"/>
  <c r="BL88" i="8"/>
  <c r="BL89" i="8"/>
  <c r="BL90" i="8"/>
  <c r="BL91" i="8"/>
  <c r="BL94" i="8"/>
  <c r="BL95" i="8"/>
  <c r="BL98" i="8"/>
  <c r="BL99" i="8"/>
  <c r="BL100" i="8"/>
  <c r="BL96" i="8"/>
  <c r="BL97" i="8"/>
  <c r="BL102" i="8"/>
  <c r="BL103" i="8"/>
  <c r="BL113" i="8"/>
  <c r="BL114" i="8"/>
  <c r="BL115" i="8"/>
  <c r="BL116" i="8"/>
  <c r="BL118" i="8"/>
  <c r="BL119" i="8"/>
  <c r="BL120" i="8"/>
  <c r="BL121" i="8"/>
  <c r="BL122" i="8"/>
  <c r="BL123" i="8"/>
  <c r="BL124" i="8"/>
  <c r="BL125" i="8"/>
  <c r="BL126" i="8"/>
  <c r="BL19" i="9"/>
  <c r="BL31" i="9"/>
  <c r="BL35" i="9"/>
  <c r="BL48" i="9"/>
  <c r="BL50" i="9"/>
  <c r="BL52" i="9"/>
  <c r="BL55" i="9"/>
  <c r="BL58" i="9"/>
  <c r="BL56" i="9"/>
  <c r="BL57" i="9"/>
  <c r="BL59" i="9"/>
  <c r="BL60" i="9"/>
  <c r="BL61" i="9"/>
  <c r="BL62" i="9"/>
  <c r="BL63" i="9"/>
  <c r="BL64" i="9"/>
  <c r="BL65" i="9"/>
  <c r="BL66" i="9"/>
  <c r="BL67" i="9"/>
  <c r="BL70" i="9"/>
  <c r="BL22" i="9"/>
  <c r="BL32" i="9"/>
  <c r="BL71" i="9"/>
  <c r="BL73" i="9"/>
  <c r="BL74" i="9"/>
  <c r="BL76" i="9"/>
  <c r="BL77" i="9"/>
  <c r="BL82" i="9"/>
  <c r="BL83" i="9"/>
  <c r="BL85" i="9"/>
  <c r="BL86" i="9"/>
  <c r="BL89" i="9"/>
  <c r="BL90" i="9"/>
  <c r="BL91" i="9"/>
  <c r="BL94" i="9"/>
  <c r="BL95" i="9"/>
  <c r="BL98" i="9"/>
  <c r="BL99" i="9"/>
  <c r="BL100" i="9"/>
  <c r="BL96" i="9"/>
  <c r="BL97" i="9"/>
  <c r="BL102" i="9"/>
  <c r="BL103" i="9"/>
  <c r="BL113" i="9"/>
  <c r="BL87" i="9"/>
  <c r="BL88" i="9"/>
  <c r="BL104" i="9"/>
  <c r="BL72" i="8"/>
  <c r="BL75" i="8"/>
  <c r="BL49" i="9"/>
  <c r="BL51" i="9"/>
  <c r="BL72" i="9"/>
  <c r="BL75" i="9"/>
  <c r="BF136" i="8"/>
  <c r="BJ18" i="8"/>
  <c r="BL19" i="8"/>
  <c r="BL31" i="8"/>
  <c r="BL35" i="8"/>
  <c r="BK43" i="8"/>
  <c r="BL45" i="8"/>
  <c r="BL47" i="8"/>
  <c r="BL48" i="8"/>
  <c r="BL49" i="8"/>
  <c r="BL50" i="8"/>
  <c r="BL51" i="8"/>
  <c r="BL52" i="8"/>
  <c r="BL53" i="8"/>
  <c r="BL54" i="8"/>
  <c r="BL55" i="8"/>
  <c r="BL58" i="8"/>
  <c r="BL56" i="8"/>
  <c r="BL57" i="8"/>
  <c r="BL59" i="8"/>
  <c r="BL60" i="8"/>
  <c r="BL61" i="8"/>
  <c r="BL62" i="8"/>
  <c r="BL63" i="8"/>
  <c r="BL64" i="8"/>
  <c r="BL65" i="8"/>
  <c r="BL66" i="8"/>
  <c r="BL67" i="8"/>
  <c r="BL70" i="8"/>
  <c r="BF73" i="8"/>
  <c r="BJ75" i="8"/>
  <c r="BK86" i="8"/>
  <c r="BJ87" i="8"/>
  <c r="BK90" i="8"/>
  <c r="BJ91" i="8"/>
  <c r="BK91" i="8"/>
  <c r="BF94" i="8"/>
  <c r="BO94" i="8" s="1"/>
  <c r="BK94" i="8"/>
  <c r="BF95" i="8"/>
  <c r="BJ95" i="8"/>
  <c r="BF98" i="8"/>
  <c r="BJ98" i="8"/>
  <c r="BF99" i="8"/>
  <c r="BJ99" i="8"/>
  <c r="BF100" i="8"/>
  <c r="BJ100" i="8"/>
  <c r="BF96" i="8"/>
  <c r="BF115" i="8"/>
  <c r="BF116" i="8"/>
  <c r="BF118" i="8"/>
  <c r="BF119" i="8"/>
  <c r="BF120" i="8"/>
  <c r="BF121" i="8"/>
  <c r="BF122" i="8"/>
  <c r="BF123" i="8"/>
  <c r="BF124" i="8"/>
  <c r="BF125" i="8"/>
  <c r="BF126" i="8"/>
  <c r="BK126" i="8"/>
  <c r="BF19" i="9"/>
  <c r="BK19" i="9"/>
  <c r="BJ22" i="9"/>
  <c r="BK28" i="9"/>
  <c r="BL29" i="9"/>
  <c r="BF31" i="9"/>
  <c r="BK32" i="9"/>
  <c r="BL34" i="9"/>
  <c r="BJ37" i="9"/>
  <c r="BK37" i="9"/>
  <c r="BL39" i="9"/>
  <c r="BJ42" i="9"/>
  <c r="BK42" i="9"/>
  <c r="BL44" i="9"/>
  <c r="BF50" i="9"/>
  <c r="BK53" i="9"/>
  <c r="BK56" i="9"/>
  <c r="BK59" i="9"/>
  <c r="BK60" i="9"/>
  <c r="BK62" i="9"/>
  <c r="BK64" i="9"/>
  <c r="BJ71" i="9"/>
  <c r="BJ72" i="9"/>
  <c r="BK72" i="9"/>
  <c r="BJ73" i="9"/>
  <c r="BJ74" i="9"/>
  <c r="BJ76" i="9"/>
  <c r="BK76" i="9"/>
  <c r="BJ77" i="9"/>
  <c r="BJ82" i="9"/>
  <c r="BJ83" i="9"/>
  <c r="BK83" i="9"/>
  <c r="BJ85" i="9"/>
  <c r="BJ86" i="9"/>
  <c r="BK87" i="9"/>
  <c r="BJ88" i="9"/>
  <c r="BK88" i="9"/>
  <c r="BJ89" i="9"/>
  <c r="BK89" i="9"/>
  <c r="BJ90" i="9"/>
  <c r="BK90" i="9"/>
  <c r="BJ94" i="9"/>
  <c r="BK95" i="9"/>
  <c r="BJ98" i="9"/>
  <c r="BK98" i="9"/>
  <c r="BK99" i="9"/>
  <c r="BJ100" i="9"/>
  <c r="BK100" i="9"/>
  <c r="BJ96" i="9"/>
  <c r="BK97" i="9"/>
  <c r="BK102" i="9"/>
  <c r="BK103" i="9"/>
  <c r="BK104" i="9"/>
  <c r="BK113" i="9"/>
  <c r="BJ114" i="9"/>
  <c r="BK114" i="9"/>
  <c r="BJ115" i="9"/>
  <c r="BJ116" i="9"/>
  <c r="BK116" i="9"/>
  <c r="BJ118" i="9"/>
  <c r="BJ119" i="9"/>
  <c r="BK119" i="9"/>
  <c r="BJ120" i="9"/>
  <c r="BJ121" i="9"/>
  <c r="BK121" i="9"/>
  <c r="BJ122" i="9"/>
  <c r="BJ123" i="9"/>
  <c r="BL28" i="9"/>
  <c r="BL37" i="9"/>
  <c r="BL42" i="9"/>
  <c r="BF136" i="9"/>
  <c r="BK75" i="9"/>
  <c r="BF124" i="9"/>
  <c r="BF125" i="9"/>
  <c r="BF126" i="9"/>
  <c r="BL117" i="9"/>
  <c r="BK22" i="8"/>
  <c r="BK23" i="8"/>
  <c r="BF32" i="8"/>
  <c r="BJ33" i="8"/>
  <c r="BK33" i="8"/>
  <c r="BJ38" i="8"/>
  <c r="BJ96" i="8"/>
  <c r="BF97" i="8"/>
  <c r="BJ97" i="8"/>
  <c r="BF102" i="8"/>
  <c r="BJ102" i="8"/>
  <c r="BF103" i="8"/>
  <c r="BJ103" i="8"/>
  <c r="BF113" i="8"/>
  <c r="BO113" i="8" s="1"/>
  <c r="BJ113" i="8"/>
  <c r="BK18" i="8"/>
  <c r="BK77" i="8"/>
  <c r="BK78" i="8"/>
  <c r="BK96" i="8"/>
  <c r="BK97" i="8"/>
  <c r="BK115" i="8"/>
  <c r="BK118" i="8"/>
  <c r="BK120" i="8"/>
  <c r="BK122" i="8"/>
  <c r="AP20" i="9"/>
  <c r="BF20" i="9"/>
  <c r="BO20" i="9" s="1"/>
  <c r="AP25" i="9"/>
  <c r="BF25" i="9"/>
  <c r="BO25" i="9" s="1"/>
  <c r="AP26" i="9"/>
  <c r="BF26" i="9"/>
  <c r="AP27" i="9"/>
  <c r="BF27" i="9"/>
  <c r="BO27" i="9" s="1"/>
  <c r="BH27" i="9"/>
  <c r="AP35" i="9"/>
  <c r="BI35" i="9" s="1"/>
  <c r="BF35" i="9"/>
  <c r="AP36" i="9"/>
  <c r="BF36" i="9"/>
  <c r="BO36" i="9" s="1"/>
  <c r="BH41" i="9"/>
  <c r="AP45" i="9"/>
  <c r="BF45" i="9"/>
  <c r="BO45" i="9" s="1"/>
  <c r="AP46" i="9"/>
  <c r="BF46" i="9"/>
  <c r="BO46" i="9" s="1"/>
  <c r="AP47" i="9"/>
  <c r="BF47" i="9"/>
  <c r="AP48" i="9"/>
  <c r="AP49" i="9"/>
  <c r="BI49" i="9" s="1"/>
  <c r="BF49" i="9"/>
  <c r="BO49" i="9" s="1"/>
  <c r="AP51" i="9"/>
  <c r="BF51" i="9"/>
  <c r="AP52" i="9"/>
  <c r="BI52" i="9" s="1"/>
  <c r="BF52" i="9"/>
  <c r="BO52" i="9" s="1"/>
  <c r="AP53" i="9"/>
  <c r="BF53" i="9"/>
  <c r="BO53" i="9" s="1"/>
  <c r="AP54" i="9"/>
  <c r="BF54" i="9"/>
  <c r="BO54" i="9" s="1"/>
  <c r="AP55" i="9"/>
  <c r="BF55" i="9"/>
  <c r="BO55" i="9" s="1"/>
  <c r="AP58" i="9"/>
  <c r="BF58" i="9"/>
  <c r="AP56" i="9"/>
  <c r="BF56" i="9"/>
  <c r="BO56" i="9" s="1"/>
  <c r="AP57" i="9"/>
  <c r="BF57" i="9"/>
  <c r="AP59" i="9"/>
  <c r="BF59" i="9"/>
  <c r="BO59" i="9" s="1"/>
  <c r="AP60" i="9"/>
  <c r="BF60" i="9"/>
  <c r="BO60" i="9" s="1"/>
  <c r="AP61" i="9"/>
  <c r="BF61" i="9"/>
  <c r="BO61" i="9" s="1"/>
  <c r="AP62" i="9"/>
  <c r="BF62" i="9"/>
  <c r="BO62" i="9" s="1"/>
  <c r="AP63" i="9"/>
  <c r="BF63" i="9"/>
  <c r="AP64" i="9"/>
  <c r="BF64" i="9"/>
  <c r="AP65" i="9"/>
  <c r="BI65" i="9" s="1"/>
  <c r="BF65" i="9"/>
  <c r="BO65" i="9" s="1"/>
  <c r="AP66" i="9"/>
  <c r="BI66" i="9" s="1"/>
  <c r="BF66" i="9"/>
  <c r="BO66" i="9" s="1"/>
  <c r="AP67" i="9"/>
  <c r="BI67" i="9" s="1"/>
  <c r="BF67" i="9"/>
  <c r="BO67" i="9" s="1"/>
  <c r="AP68" i="9"/>
  <c r="BF68" i="9"/>
  <c r="AP69" i="9"/>
  <c r="BF69" i="9"/>
  <c r="BO69" i="9" s="1"/>
  <c r="AP70" i="9"/>
  <c r="BH93" i="9"/>
  <c r="BH117" i="9"/>
  <c r="BJ124" i="9"/>
  <c r="BK124" i="9"/>
  <c r="BJ125" i="9"/>
  <c r="BK125" i="9"/>
  <c r="BJ126" i="9"/>
  <c r="BK126" i="9"/>
  <c r="AT16" i="9"/>
  <c r="BF16" i="9" s="1"/>
  <c r="BO16" i="9" s="1"/>
  <c r="AP17" i="9"/>
  <c r="BF17" i="9"/>
  <c r="BK18" i="9"/>
  <c r="AP22" i="9"/>
  <c r="BF22" i="9"/>
  <c r="BK22" i="9"/>
  <c r="BK23" i="9"/>
  <c r="BC25" i="9"/>
  <c r="BL25" i="9" s="1"/>
  <c r="BF28" i="9"/>
  <c r="BJ28" i="9"/>
  <c r="BF32" i="9"/>
  <c r="BJ33" i="9"/>
  <c r="BK33" i="9"/>
  <c r="AP37" i="9"/>
  <c r="BF37" i="9"/>
  <c r="BJ38" i="9"/>
  <c r="BF42" i="9"/>
  <c r="BK43" i="9"/>
  <c r="AP71" i="9"/>
  <c r="AP72" i="9"/>
  <c r="BI72" i="9" s="1"/>
  <c r="BF72" i="9"/>
  <c r="BO72" i="9" s="1"/>
  <c r="BF73" i="9"/>
  <c r="AP74" i="9"/>
  <c r="AP75" i="9"/>
  <c r="BI75" i="9" s="1"/>
  <c r="BF75" i="9"/>
  <c r="BO75" i="9" s="1"/>
  <c r="BJ75" i="9"/>
  <c r="AP76" i="9"/>
  <c r="BI76" i="9" s="1"/>
  <c r="BF76" i="9"/>
  <c r="BO76" i="9" s="1"/>
  <c r="AP77" i="9"/>
  <c r="BF77" i="9"/>
  <c r="BK77" i="9"/>
  <c r="AP82" i="9"/>
  <c r="BF82" i="9"/>
  <c r="BK82" i="9"/>
  <c r="AP83" i="9"/>
  <c r="BF83" i="9"/>
  <c r="AP85" i="9"/>
  <c r="BF85" i="9"/>
  <c r="BK85" i="9"/>
  <c r="AP86" i="9"/>
  <c r="BI86" i="9" s="1"/>
  <c r="BF86" i="9"/>
  <c r="BO86" i="9" s="1"/>
  <c r="BK86" i="9"/>
  <c r="AP87" i="9"/>
  <c r="BI87" i="9" s="1"/>
  <c r="BF87" i="9"/>
  <c r="BO87" i="9" s="1"/>
  <c r="BJ87" i="9"/>
  <c r="AP88" i="9"/>
  <c r="BI88" i="9" s="1"/>
  <c r="BF88" i="9"/>
  <c r="BO88" i="9" s="1"/>
  <c r="AP89" i="9"/>
  <c r="BI89" i="9" s="1"/>
  <c r="BF89" i="9"/>
  <c r="BO89" i="9" s="1"/>
  <c r="AP90" i="9"/>
  <c r="BI90" i="9" s="1"/>
  <c r="BF90" i="9"/>
  <c r="BO90" i="9" s="1"/>
  <c r="AP91" i="9"/>
  <c r="BI91" i="9" s="1"/>
  <c r="BF91" i="9"/>
  <c r="BO91" i="9" s="1"/>
  <c r="BJ91" i="9"/>
  <c r="BK91" i="9"/>
  <c r="AP92" i="9"/>
  <c r="BF92" i="9"/>
  <c r="AP93" i="9"/>
  <c r="BF93" i="9"/>
  <c r="BO93" i="9" s="1"/>
  <c r="BF94" i="9"/>
  <c r="BO94" i="9" s="1"/>
  <c r="BK94" i="9"/>
  <c r="BF95" i="9"/>
  <c r="BJ95" i="9"/>
  <c r="BF98" i="9"/>
  <c r="BF99" i="9"/>
  <c r="BJ99" i="9"/>
  <c r="BF100" i="9"/>
  <c r="BF96" i="9"/>
  <c r="BK96" i="9"/>
  <c r="BF97" i="9"/>
  <c r="BJ97" i="9"/>
  <c r="AP101" i="9"/>
  <c r="BF101" i="9"/>
  <c r="BO101" i="9" s="1"/>
  <c r="BF102" i="9"/>
  <c r="BJ102" i="9"/>
  <c r="BF103" i="9"/>
  <c r="BJ103" i="9"/>
  <c r="BF104" i="9"/>
  <c r="BJ104" i="9"/>
  <c r="AP112" i="9"/>
  <c r="BF112" i="9"/>
  <c r="BO112" i="9" s="1"/>
  <c r="BF113" i="9"/>
  <c r="BO113" i="9" s="1"/>
  <c r="BJ113" i="9"/>
  <c r="BF114" i="9"/>
  <c r="BF115" i="9"/>
  <c r="BK115" i="9"/>
  <c r="BF116" i="9"/>
  <c r="AP117" i="9"/>
  <c r="BF117" i="9"/>
  <c r="BO117" i="9" s="1"/>
  <c r="BF118" i="9"/>
  <c r="BK118" i="9"/>
  <c r="BF119" i="9"/>
  <c r="BF120" i="9"/>
  <c r="BK120" i="9"/>
  <c r="BF121" i="9"/>
  <c r="BF122" i="9"/>
  <c r="BK122" i="9"/>
  <c r="BF123" i="9"/>
  <c r="BK123" i="9"/>
  <c r="BJ18" i="9"/>
  <c r="AP23" i="9"/>
  <c r="BF23" i="9"/>
  <c r="BJ24" i="9"/>
  <c r="BK24" i="9"/>
  <c r="BJ29" i="9"/>
  <c r="BK29" i="9"/>
  <c r="AP33" i="9"/>
  <c r="BF33" i="9"/>
  <c r="BK34" i="9"/>
  <c r="AP38" i="9"/>
  <c r="BF38" i="9"/>
  <c r="BJ39" i="9"/>
  <c r="BF43" i="9"/>
  <c r="BO43" i="9" s="1"/>
  <c r="BJ44" i="9"/>
  <c r="BK44" i="9"/>
  <c r="BL18" i="9"/>
  <c r="BL17" i="9" s="1"/>
  <c r="BL23" i="9"/>
  <c r="AP24" i="9"/>
  <c r="BF24" i="9"/>
  <c r="BK25" i="9"/>
  <c r="BF29" i="9"/>
  <c r="AP30" i="9"/>
  <c r="BF30" i="9"/>
  <c r="BO30" i="9" s="1"/>
  <c r="BJ31" i="9"/>
  <c r="BK31" i="9"/>
  <c r="BL33" i="9"/>
  <c r="AP34" i="9"/>
  <c r="BF34" i="9"/>
  <c r="BK35" i="9"/>
  <c r="BL38" i="9"/>
  <c r="BF39" i="9"/>
  <c r="AP40" i="9"/>
  <c r="BF40" i="9"/>
  <c r="AP41" i="9"/>
  <c r="BF41" i="9"/>
  <c r="BO41" i="9" s="1"/>
  <c r="BL43" i="9"/>
  <c r="AP44" i="9"/>
  <c r="BF44" i="9"/>
  <c r="BK45" i="9"/>
  <c r="BJ47" i="9"/>
  <c r="BJ48" i="9"/>
  <c r="BJ49" i="9"/>
  <c r="BK49" i="9"/>
  <c r="BJ50" i="9"/>
  <c r="BJ51" i="9"/>
  <c r="BK51" i="9"/>
  <c r="BJ52" i="9"/>
  <c r="BK52" i="9"/>
  <c r="BJ53" i="9"/>
  <c r="BJ54" i="9"/>
  <c r="BK54" i="9"/>
  <c r="BJ55" i="9"/>
  <c r="BK55" i="9"/>
  <c r="BJ58" i="9"/>
  <c r="BK58" i="9"/>
  <c r="BJ56" i="9"/>
  <c r="BJ57" i="9"/>
  <c r="BK57" i="9"/>
  <c r="BJ59" i="9"/>
  <c r="BJ60" i="9"/>
  <c r="BJ61" i="9"/>
  <c r="BK61" i="9"/>
  <c r="BJ62" i="9"/>
  <c r="BJ63" i="9"/>
  <c r="BK63" i="9"/>
  <c r="BJ64" i="9"/>
  <c r="BJ65" i="9"/>
  <c r="BK65" i="9"/>
  <c r="BJ66" i="9"/>
  <c r="BK66" i="9"/>
  <c r="BJ67" i="9"/>
  <c r="BK67" i="9"/>
  <c r="BJ70" i="9"/>
  <c r="AP17" i="8"/>
  <c r="BF17" i="8"/>
  <c r="AP37" i="8"/>
  <c r="BF37" i="8"/>
  <c r="BF42" i="8"/>
  <c r="AP75" i="8"/>
  <c r="BI75" i="8" s="1"/>
  <c r="BF75" i="8"/>
  <c r="BO75" i="8" s="1"/>
  <c r="AP78" i="8"/>
  <c r="BF78" i="8"/>
  <c r="AP87" i="8"/>
  <c r="BI87" i="8" s="1"/>
  <c r="BF87" i="8"/>
  <c r="BO87" i="8" s="1"/>
  <c r="AP89" i="8"/>
  <c r="BI89" i="8" s="1"/>
  <c r="BF89" i="8"/>
  <c r="BO89" i="8" s="1"/>
  <c r="AP90" i="8"/>
  <c r="BI90" i="8" s="1"/>
  <c r="BF90" i="8"/>
  <c r="BO90" i="8" s="1"/>
  <c r="AP91" i="8"/>
  <c r="BI91" i="8" s="1"/>
  <c r="BF91" i="8"/>
  <c r="BO91" i="8" s="1"/>
  <c r="AP112" i="8"/>
  <c r="BF112" i="8"/>
  <c r="BO112" i="8" s="1"/>
  <c r="BF114" i="8"/>
  <c r="BK114" i="8"/>
  <c r="BK116" i="8"/>
  <c r="AP117" i="8"/>
  <c r="BF117" i="8"/>
  <c r="BO117" i="8" s="1"/>
  <c r="BK119" i="8"/>
  <c r="BK123" i="8"/>
  <c r="BK125" i="8"/>
  <c r="BC25" i="8"/>
  <c r="BL25" i="8" s="1"/>
  <c r="AP28" i="8"/>
  <c r="BI28" i="8" s="1"/>
  <c r="BF28" i="8"/>
  <c r="AP77" i="8"/>
  <c r="BF77" i="8"/>
  <c r="AP83" i="8"/>
  <c r="BF83" i="8"/>
  <c r="AP85" i="8"/>
  <c r="BF85" i="8"/>
  <c r="AP86" i="8"/>
  <c r="BI86" i="8" s="1"/>
  <c r="BF86" i="8"/>
  <c r="BO86" i="8" s="1"/>
  <c r="AP88" i="8"/>
  <c r="BI88" i="8" s="1"/>
  <c r="BF88" i="8"/>
  <c r="BO88" i="8" s="1"/>
  <c r="BL22" i="8"/>
  <c r="AP23" i="8"/>
  <c r="BF23" i="8"/>
  <c r="BJ24" i="8"/>
  <c r="BL28" i="8"/>
  <c r="BJ29" i="8"/>
  <c r="BK29" i="8"/>
  <c r="BL32" i="8"/>
  <c r="AP33" i="8"/>
  <c r="BF33" i="8"/>
  <c r="BK34" i="8"/>
  <c r="BL37" i="8"/>
  <c r="AP38" i="8"/>
  <c r="BF38" i="8"/>
  <c r="BJ39" i="8"/>
  <c r="BL42" i="8"/>
  <c r="BF43" i="8"/>
  <c r="BO43" i="8" s="1"/>
  <c r="BJ44" i="8"/>
  <c r="BK44" i="8"/>
  <c r="AT16" i="8"/>
  <c r="BF16" i="8" s="1"/>
  <c r="BO16" i="8" s="1"/>
  <c r="AP22" i="8"/>
  <c r="BF22" i="8"/>
  <c r="AP71" i="8"/>
  <c r="AP72" i="8"/>
  <c r="BI72" i="8" s="1"/>
  <c r="BF72" i="8"/>
  <c r="BO72" i="8" s="1"/>
  <c r="AP92" i="8"/>
  <c r="BF92" i="8"/>
  <c r="AP93" i="8"/>
  <c r="BF93" i="8"/>
  <c r="BO93" i="8" s="1"/>
  <c r="BK100" i="8"/>
  <c r="BK102" i="8"/>
  <c r="BL18" i="8"/>
  <c r="BK19" i="8"/>
  <c r="BL23" i="8"/>
  <c r="AP24" i="8"/>
  <c r="BF24" i="8"/>
  <c r="BK24" i="8"/>
  <c r="BK25" i="8"/>
  <c r="AP29" i="8"/>
  <c r="BI29" i="8" s="1"/>
  <c r="BF29" i="8"/>
  <c r="AP30" i="8"/>
  <c r="BF30" i="8"/>
  <c r="BO30" i="8" s="1"/>
  <c r="BJ31" i="8"/>
  <c r="BK31" i="8"/>
  <c r="BL33" i="8"/>
  <c r="AP34" i="8"/>
  <c r="BF34" i="8"/>
  <c r="BK35" i="8"/>
  <c r="BL38" i="8"/>
  <c r="BF39" i="8"/>
  <c r="AP40" i="8"/>
  <c r="BF40" i="8"/>
  <c r="AP41" i="8"/>
  <c r="BF41" i="8"/>
  <c r="BO41" i="8" s="1"/>
  <c r="BL43" i="8"/>
  <c r="AP44" i="8"/>
  <c r="BF44" i="8"/>
  <c r="BK45" i="8"/>
  <c r="BJ47" i="8"/>
  <c r="BJ48" i="8"/>
  <c r="BJ49" i="8"/>
  <c r="BK49" i="8"/>
  <c r="BJ50" i="8"/>
  <c r="BJ51" i="8"/>
  <c r="BK51" i="8"/>
  <c r="BJ52" i="8"/>
  <c r="BK52" i="8"/>
  <c r="BJ53" i="8"/>
  <c r="BK53" i="8"/>
  <c r="BJ54" i="8"/>
  <c r="BJ55" i="8"/>
  <c r="BK55" i="8"/>
  <c r="BJ58" i="8"/>
  <c r="BK58" i="8"/>
  <c r="BJ56" i="8"/>
  <c r="BJ57" i="8"/>
  <c r="BJ59" i="8"/>
  <c r="BJ60" i="8"/>
  <c r="BJ61" i="8"/>
  <c r="BK61" i="8"/>
  <c r="BJ62" i="8"/>
  <c r="BK62" i="8"/>
  <c r="BJ63" i="8"/>
  <c r="BK63" i="8"/>
  <c r="BJ64" i="8"/>
  <c r="BK64" i="8"/>
  <c r="BJ65" i="8"/>
  <c r="BK65" i="8"/>
  <c r="BJ66" i="8"/>
  <c r="BK66" i="8"/>
  <c r="BJ67" i="8"/>
  <c r="BK67" i="8"/>
  <c r="BJ70" i="8"/>
  <c r="AP74" i="8"/>
  <c r="AP76" i="8"/>
  <c r="BI76" i="8" s="1"/>
  <c r="BF76" i="8"/>
  <c r="BO76" i="8" s="1"/>
  <c r="AP101" i="8"/>
  <c r="BF101" i="8"/>
  <c r="BO101" i="8" s="1"/>
  <c r="BF19" i="8"/>
  <c r="AP20" i="8"/>
  <c r="BF20" i="8"/>
  <c r="BO20" i="8" s="1"/>
  <c r="BJ22" i="8"/>
  <c r="AP25" i="8"/>
  <c r="BF25" i="8"/>
  <c r="BO25" i="8" s="1"/>
  <c r="AP26" i="8"/>
  <c r="BF26" i="8"/>
  <c r="AP27" i="8"/>
  <c r="BF27" i="8"/>
  <c r="BO27" i="8" s="1"/>
  <c r="BH27" i="8"/>
  <c r="BJ28" i="8"/>
  <c r="BK28" i="8"/>
  <c r="BL29" i="8"/>
  <c r="BF31" i="8"/>
  <c r="BK32" i="8"/>
  <c r="BL34" i="8"/>
  <c r="AP35" i="8"/>
  <c r="BI35" i="8" s="1"/>
  <c r="BF35" i="8"/>
  <c r="AP36" i="8"/>
  <c r="BF36" i="8"/>
  <c r="BO36" i="8" s="1"/>
  <c r="BJ37" i="8"/>
  <c r="BK37" i="8"/>
  <c r="BL39" i="8"/>
  <c r="BH41" i="8"/>
  <c r="BJ42" i="8"/>
  <c r="BK42" i="8"/>
  <c r="BL44" i="8"/>
  <c r="AP45" i="8"/>
  <c r="BF45" i="8"/>
  <c r="BO45" i="8" s="1"/>
  <c r="AP46" i="8"/>
  <c r="BF46" i="8"/>
  <c r="BO46" i="8" s="1"/>
  <c r="AP47" i="8"/>
  <c r="BF47" i="8"/>
  <c r="AP48" i="8"/>
  <c r="AP49" i="8"/>
  <c r="BI49" i="8" s="1"/>
  <c r="BF49" i="8"/>
  <c r="BO49" i="8" s="1"/>
  <c r="BF50" i="8"/>
  <c r="AP51" i="8"/>
  <c r="BF51" i="8"/>
  <c r="AP52" i="8"/>
  <c r="BI52" i="8" s="1"/>
  <c r="BF52" i="8"/>
  <c r="BO52" i="8" s="1"/>
  <c r="AP53" i="8"/>
  <c r="BF53" i="8"/>
  <c r="BO53" i="8" s="1"/>
  <c r="AP54" i="8"/>
  <c r="BF54" i="8"/>
  <c r="BO54" i="8" s="1"/>
  <c r="BK54" i="8"/>
  <c r="AP55" i="8"/>
  <c r="BF55" i="8"/>
  <c r="BO55" i="8" s="1"/>
  <c r="AP58" i="8"/>
  <c r="BF58" i="8"/>
  <c r="AP56" i="8"/>
  <c r="BF56" i="8"/>
  <c r="BO56" i="8" s="1"/>
  <c r="BK56" i="8"/>
  <c r="AP57" i="8"/>
  <c r="BF57" i="8"/>
  <c r="BK57" i="8"/>
  <c r="AP59" i="8"/>
  <c r="BF59" i="8"/>
  <c r="BO59" i="8" s="1"/>
  <c r="BK59" i="8"/>
  <c r="AP60" i="8"/>
  <c r="BF60" i="8"/>
  <c r="BO60" i="8" s="1"/>
  <c r="BK60" i="8"/>
  <c r="AP61" i="8"/>
  <c r="BF61" i="8"/>
  <c r="BO61" i="8" s="1"/>
  <c r="AP62" i="8"/>
  <c r="BF62" i="8"/>
  <c r="BO62" i="8" s="1"/>
  <c r="AP63" i="8"/>
  <c r="BF63" i="8"/>
  <c r="AP64" i="8"/>
  <c r="BF64" i="8"/>
  <c r="AP65" i="8"/>
  <c r="BI65" i="8" s="1"/>
  <c r="BF65" i="8"/>
  <c r="BO65" i="8" s="1"/>
  <c r="AP66" i="8"/>
  <c r="BI66" i="8" s="1"/>
  <c r="BF66" i="8"/>
  <c r="BO66" i="8" s="1"/>
  <c r="AP67" i="8"/>
  <c r="BI67" i="8" s="1"/>
  <c r="BF67" i="8"/>
  <c r="BO67" i="8" s="1"/>
  <c r="AP68" i="8"/>
  <c r="BF68" i="8"/>
  <c r="AP69" i="8"/>
  <c r="BF69" i="8"/>
  <c r="BO69" i="8" s="1"/>
  <c r="AP70" i="8"/>
  <c r="BJ71" i="8"/>
  <c r="BJ72" i="8"/>
  <c r="BK72" i="8"/>
  <c r="BJ73" i="8"/>
  <c r="BJ74" i="8"/>
  <c r="BK75" i="8"/>
  <c r="BJ76" i="8"/>
  <c r="BK76" i="8"/>
  <c r="BJ77" i="8"/>
  <c r="BJ78" i="8"/>
  <c r="BJ83" i="8"/>
  <c r="BK83" i="8"/>
  <c r="BJ85" i="8"/>
  <c r="BK85" i="8"/>
  <c r="BJ86" i="8"/>
  <c r="BK87" i="8"/>
  <c r="BJ88" i="8"/>
  <c r="BK88" i="8"/>
  <c r="BJ89" i="8"/>
  <c r="BK89" i="8"/>
  <c r="BJ90" i="8"/>
  <c r="BJ94" i="8"/>
  <c r="BK95" i="8"/>
  <c r="BK98" i="8"/>
  <c r="BH93" i="8"/>
  <c r="BK99" i="8"/>
  <c r="BK103" i="8"/>
  <c r="BK113" i="8"/>
  <c r="BH112" i="8"/>
  <c r="BJ114" i="8"/>
  <c r="BJ115" i="8"/>
  <c r="BJ116" i="8"/>
  <c r="BJ118" i="8"/>
  <c r="BJ119" i="8"/>
  <c r="BJ120" i="8"/>
  <c r="BH117" i="8"/>
  <c r="BJ121" i="8"/>
  <c r="BK121" i="8"/>
  <c r="BJ122" i="8"/>
  <c r="BJ123" i="8"/>
  <c r="BJ124" i="8"/>
  <c r="BK124" i="8"/>
  <c r="BJ125" i="8"/>
  <c r="BJ126" i="8"/>
  <c r="B113" i="8"/>
  <c r="B113" i="9"/>
  <c r="Y129" i="8"/>
  <c r="Z129" i="8"/>
  <c r="AD129" i="8"/>
  <c r="AL129" i="8"/>
  <c r="AA130" i="8"/>
  <c r="AE130" i="8"/>
  <c r="AM130" i="8"/>
  <c r="AB128" i="8"/>
  <c r="AF128" i="8"/>
  <c r="AJ128" i="8"/>
  <c r="AA129" i="8"/>
  <c r="AE129" i="8"/>
  <c r="AM129" i="8"/>
  <c r="Z128" i="9"/>
  <c r="AD128" i="9"/>
  <c r="AH128" i="9"/>
  <c r="AC128" i="8"/>
  <c r="AG128" i="8"/>
  <c r="AK128" i="8"/>
  <c r="AL131" i="8"/>
  <c r="AB128" i="9"/>
  <c r="AF128" i="9"/>
  <c r="AJ128" i="9"/>
  <c r="AJ129" i="9"/>
  <c r="AA130" i="9"/>
  <c r="AE130" i="9"/>
  <c r="AM130" i="9"/>
  <c r="AA131" i="9"/>
  <c r="AE131" i="9"/>
  <c r="AM131" i="9"/>
  <c r="AF130" i="9"/>
  <c r="AK132" i="9"/>
  <c r="AA129" i="9"/>
  <c r="AE129" i="9"/>
  <c r="AM129" i="9"/>
  <c r="AD131" i="9"/>
  <c r="AL131" i="9"/>
  <c r="AC129" i="8"/>
  <c r="AG129" i="8"/>
  <c r="AD130" i="8"/>
  <c r="AL130" i="8"/>
  <c r="AV132" i="8"/>
  <c r="AT132" i="8"/>
  <c r="BE17" i="8"/>
  <c r="L11" i="8"/>
  <c r="Y11" i="8"/>
  <c r="AP11" i="8"/>
  <c r="BE23" i="9"/>
  <c r="BE30" i="9"/>
  <c r="P11" i="8"/>
  <c r="AG11" i="8"/>
  <c r="AT11" i="8"/>
  <c r="BE19" i="9"/>
  <c r="BE20" i="9"/>
  <c r="BE34" i="9"/>
  <c r="U11" i="8"/>
  <c r="AJ11" i="8"/>
  <c r="AX11" i="8"/>
  <c r="BE17" i="9"/>
  <c r="BE25" i="9"/>
  <c r="BE29" i="9"/>
  <c r="BE32" i="9"/>
  <c r="H11" i="8"/>
  <c r="X11" i="8"/>
  <c r="AL11" i="8"/>
  <c r="BC11" i="8"/>
  <c r="BE28" i="9"/>
  <c r="H11" i="9"/>
  <c r="U11" i="9"/>
  <c r="AG11" i="9"/>
  <c r="AP11" i="9"/>
  <c r="BC11" i="9"/>
  <c r="AA128" i="9"/>
  <c r="AE128" i="9"/>
  <c r="AI128" i="9"/>
  <c r="AM128" i="9"/>
  <c r="AZ128" i="9"/>
  <c r="BD128" i="9"/>
  <c r="BE26" i="9"/>
  <c r="AB129" i="9"/>
  <c r="AF129" i="9"/>
  <c r="AW129" i="9"/>
  <c r="AU129" i="9"/>
  <c r="BE35" i="9"/>
  <c r="BE36" i="9"/>
  <c r="BE42" i="9"/>
  <c r="L11" i="9"/>
  <c r="X11" i="9"/>
  <c r="AJ11" i="9"/>
  <c r="AT11" i="9"/>
  <c r="BA128" i="9"/>
  <c r="BE16" i="9"/>
  <c r="Y129" i="9"/>
  <c r="AC129" i="9"/>
  <c r="AG129" i="9"/>
  <c r="AV129" i="9"/>
  <c r="BE43" i="9"/>
  <c r="BE65" i="9"/>
  <c r="BE125" i="9"/>
  <c r="BE104" i="9"/>
  <c r="P11" i="9"/>
  <c r="Y11" i="9"/>
  <c r="AL11" i="9"/>
  <c r="AX11" i="9"/>
  <c r="AC128" i="9"/>
  <c r="AG128" i="9"/>
  <c r="AK128" i="9"/>
  <c r="AX128" i="9"/>
  <c r="BB128" i="9"/>
  <c r="Z129" i="9"/>
  <c r="AD129" i="9"/>
  <c r="AL129" i="9"/>
  <c r="AX129" i="9"/>
  <c r="BC129" i="9"/>
  <c r="BE27" i="9"/>
  <c r="BE41" i="9"/>
  <c r="BE44" i="9"/>
  <c r="BE61" i="9"/>
  <c r="S11" i="9"/>
  <c r="AC11" i="9"/>
  <c r="AO11" i="9"/>
  <c r="AY128" i="9"/>
  <c r="BD129" i="9"/>
  <c r="BE45" i="9"/>
  <c r="BE46" i="9"/>
  <c r="BE49" i="9"/>
  <c r="BE52" i="9"/>
  <c r="BE53" i="9"/>
  <c r="BE54" i="9"/>
  <c r="BE55" i="9"/>
  <c r="BE58" i="9"/>
  <c r="BE56" i="9"/>
  <c r="BE57" i="9"/>
  <c r="BA129" i="9"/>
  <c r="Y130" i="9"/>
  <c r="AC130" i="9"/>
  <c r="BE60" i="9"/>
  <c r="BE72" i="9"/>
  <c r="AD130" i="9"/>
  <c r="AL130" i="9"/>
  <c r="AU130" i="9"/>
  <c r="BC130" i="9"/>
  <c r="BE63" i="9"/>
  <c r="BE88" i="9"/>
  <c r="AR130" i="9"/>
  <c r="AV130" i="9"/>
  <c r="BD130" i="9"/>
  <c r="BE59" i="9"/>
  <c r="BE66" i="9"/>
  <c r="BE67" i="9"/>
  <c r="BE69" i="9"/>
  <c r="AW130" i="9"/>
  <c r="BE40" i="9"/>
  <c r="BE62" i="9"/>
  <c r="BE64" i="9"/>
  <c r="AR131" i="9"/>
  <c r="AV131" i="9"/>
  <c r="BD131" i="9"/>
  <c r="BE83" i="9"/>
  <c r="BE89" i="9"/>
  <c r="BE91" i="9"/>
  <c r="AF131" i="9"/>
  <c r="AW131" i="9"/>
  <c r="BE68" i="9"/>
  <c r="BE75" i="9"/>
  <c r="BE77" i="9"/>
  <c r="BE86" i="9"/>
  <c r="BE98" i="9"/>
  <c r="BE102" i="9"/>
  <c r="Y131" i="9"/>
  <c r="AC131" i="9"/>
  <c r="AT131" i="9"/>
  <c r="BE76" i="9"/>
  <c r="BE82" i="9"/>
  <c r="BE85" i="9"/>
  <c r="BE90" i="9"/>
  <c r="BE93" i="9"/>
  <c r="BE94" i="9"/>
  <c r="BE95" i="9"/>
  <c r="AU131" i="9"/>
  <c r="BC131" i="9"/>
  <c r="BE87" i="9"/>
  <c r="Y132" i="9"/>
  <c r="AC132" i="9"/>
  <c r="AT132" i="9"/>
  <c r="AG132" i="9"/>
  <c r="AX132" i="9"/>
  <c r="X132" i="9"/>
  <c r="AB132" i="9"/>
  <c r="AF132" i="9"/>
  <c r="AJ132" i="9"/>
  <c r="AS132" i="9"/>
  <c r="AW132" i="9"/>
  <c r="BA132" i="9"/>
  <c r="BE92" i="9"/>
  <c r="BE99" i="9"/>
  <c r="BB132" i="9"/>
  <c r="BE96" i="9"/>
  <c r="BE101" i="9"/>
  <c r="BE123" i="9"/>
  <c r="Z132" i="9"/>
  <c r="AD132" i="9"/>
  <c r="AH132" i="9"/>
  <c r="AL132" i="9"/>
  <c r="AQ132" i="9"/>
  <c r="AU132" i="9"/>
  <c r="AY132" i="9"/>
  <c r="BC132" i="9"/>
  <c r="BE103" i="9"/>
  <c r="AA132" i="9"/>
  <c r="AE132" i="9"/>
  <c r="AI132" i="9"/>
  <c r="AM132" i="9"/>
  <c r="AR132" i="9"/>
  <c r="AV132" i="9"/>
  <c r="AZ132" i="9"/>
  <c r="BD132" i="9"/>
  <c r="BE100" i="9"/>
  <c r="BE97" i="9"/>
  <c r="BE112" i="9"/>
  <c r="BE113" i="9"/>
  <c r="BE119" i="9"/>
  <c r="BE120" i="9"/>
  <c r="BE122" i="9"/>
  <c r="BE114" i="9"/>
  <c r="BE116" i="9"/>
  <c r="BE115" i="9"/>
  <c r="BE118" i="9"/>
  <c r="BE117" i="9"/>
  <c r="BE124" i="9"/>
  <c r="BE121" i="9"/>
  <c r="BE126" i="9"/>
  <c r="BE88" i="8"/>
  <c r="BE72" i="8"/>
  <c r="AX128" i="8"/>
  <c r="BB128" i="8"/>
  <c r="S11" i="8"/>
  <c r="AC11" i="8"/>
  <c r="AO11" i="8"/>
  <c r="Z128" i="8"/>
  <c r="AD128" i="8"/>
  <c r="AH128" i="8"/>
  <c r="AY128" i="8"/>
  <c r="AA128" i="8"/>
  <c r="AE128" i="8"/>
  <c r="AI128" i="8"/>
  <c r="AM128" i="8"/>
  <c r="BD128" i="8"/>
  <c r="AZ128" i="8"/>
  <c r="BE16" i="8"/>
  <c r="BE23" i="8"/>
  <c r="BE29" i="8"/>
  <c r="BE30" i="8"/>
  <c r="BE34" i="8"/>
  <c r="BA128" i="8"/>
  <c r="BE19" i="8"/>
  <c r="BE20" i="8"/>
  <c r="BE25" i="8"/>
  <c r="BE27" i="8"/>
  <c r="BE35" i="8"/>
  <c r="BE36" i="8"/>
  <c r="BE28" i="8"/>
  <c r="BE32" i="8"/>
  <c r="AX129" i="8"/>
  <c r="G146" i="8"/>
  <c r="AR130" i="8"/>
  <c r="BC130" i="8"/>
  <c r="BE41" i="8"/>
  <c r="BE42" i="8"/>
  <c r="BE43" i="8"/>
  <c r="BE45" i="8"/>
  <c r="BE46" i="8"/>
  <c r="BE49" i="8"/>
  <c r="BE54" i="8"/>
  <c r="AU129" i="8"/>
  <c r="BC129" i="8"/>
  <c r="BD130" i="8"/>
  <c r="BE44" i="8"/>
  <c r="BE53" i="8"/>
  <c r="AV129" i="8"/>
  <c r="BD129" i="8"/>
  <c r="BE40" i="8"/>
  <c r="AU130" i="8"/>
  <c r="BE55" i="8"/>
  <c r="BE85" i="8"/>
  <c r="AB129" i="8"/>
  <c r="AF129" i="8"/>
  <c r="AJ129" i="8"/>
  <c r="AW129" i="8"/>
  <c r="BA129" i="8"/>
  <c r="BE26" i="8"/>
  <c r="Y130" i="8"/>
  <c r="AC130" i="8"/>
  <c r="AV130" i="8"/>
  <c r="BE56" i="8"/>
  <c r="BE59" i="8"/>
  <c r="BE63" i="8"/>
  <c r="AF130" i="8"/>
  <c r="AW130" i="8"/>
  <c r="BE57" i="8"/>
  <c r="BE61" i="8"/>
  <c r="AT131" i="8"/>
  <c r="BE77" i="8"/>
  <c r="BE90" i="8"/>
  <c r="BE98" i="8"/>
  <c r="BE58" i="8"/>
  <c r="BE65" i="8"/>
  <c r="BE67" i="8"/>
  <c r="AD131" i="8"/>
  <c r="AU131" i="8"/>
  <c r="BE69" i="8"/>
  <c r="BE87" i="8"/>
  <c r="BE119" i="8"/>
  <c r="BE52" i="8"/>
  <c r="BE60" i="8"/>
  <c r="BE62" i="8"/>
  <c r="BE64" i="8"/>
  <c r="BE66" i="8"/>
  <c r="AR131" i="8"/>
  <c r="BC131" i="8"/>
  <c r="BE75" i="8"/>
  <c r="BE78" i="8"/>
  <c r="BE83" i="8"/>
  <c r="BE100" i="8"/>
  <c r="BE101" i="8"/>
  <c r="BE112" i="8"/>
  <c r="AA131" i="8"/>
  <c r="AE131" i="8"/>
  <c r="AM131" i="8"/>
  <c r="BD131" i="8"/>
  <c r="BE76" i="8"/>
  <c r="AX132" i="8"/>
  <c r="BE99" i="8"/>
  <c r="BE86" i="8"/>
  <c r="BB132" i="8"/>
  <c r="BE95" i="8"/>
  <c r="BE97" i="8"/>
  <c r="BE113" i="8"/>
  <c r="Y131" i="8"/>
  <c r="AC131" i="8"/>
  <c r="AV131" i="8"/>
  <c r="BE89" i="8"/>
  <c r="AA132" i="8"/>
  <c r="AR132" i="8"/>
  <c r="AE132" i="8"/>
  <c r="AI132" i="8"/>
  <c r="AZ132" i="8"/>
  <c r="AM132" i="8"/>
  <c r="BD132" i="8"/>
  <c r="AF131" i="8"/>
  <c r="AW131" i="8"/>
  <c r="BE68" i="8"/>
  <c r="BE91" i="8"/>
  <c r="BE93" i="8"/>
  <c r="BE94" i="8"/>
  <c r="BE96" i="8"/>
  <c r="Y132" i="8"/>
  <c r="AC132" i="8"/>
  <c r="AG132" i="8"/>
  <c r="AK132" i="8"/>
  <c r="BE102" i="8"/>
  <c r="BE103" i="8"/>
  <c r="BE116" i="8"/>
  <c r="X132" i="8"/>
  <c r="AB132" i="8"/>
  <c r="AF132" i="8"/>
  <c r="AJ132" i="8"/>
  <c r="AS132" i="8"/>
  <c r="AW132" i="8"/>
  <c r="BA132" i="8"/>
  <c r="BE92" i="8"/>
  <c r="G158" i="8"/>
  <c r="BE117" i="8"/>
  <c r="BE118" i="8"/>
  <c r="BE121" i="8"/>
  <c r="Z132" i="8"/>
  <c r="AD132" i="8"/>
  <c r="AH132" i="8"/>
  <c r="AL132" i="8"/>
  <c r="AQ132" i="8"/>
  <c r="AU132" i="8"/>
  <c r="AY132" i="8"/>
  <c r="BC132" i="8"/>
  <c r="BE114" i="8"/>
  <c r="BE115" i="8"/>
  <c r="BE120" i="8"/>
  <c r="BE123" i="8"/>
  <c r="BE125" i="8"/>
  <c r="BE122" i="8"/>
  <c r="BE124" i="8"/>
  <c r="BE126" i="8"/>
  <c r="B114" i="8" l="1"/>
  <c r="B115" i="8" s="1"/>
  <c r="B116" i="8" s="1"/>
  <c r="B118" i="8" s="1"/>
  <c r="B119" i="8" s="1"/>
  <c r="B120" i="8" s="1"/>
  <c r="B121" i="8" s="1"/>
  <c r="B122" i="8" s="1"/>
  <c r="B123" i="8" s="1"/>
  <c r="B124" i="8" s="1"/>
  <c r="B125" i="8" s="1"/>
  <c r="B126" i="8" s="1"/>
  <c r="B115" i="9"/>
  <c r="B116" i="9" s="1"/>
  <c r="B118" i="9" s="1"/>
  <c r="B119" i="9" s="1"/>
  <c r="B120" i="9" s="1"/>
  <c r="B121" i="9" s="1"/>
  <c r="B122" i="9" s="1"/>
  <c r="B123" i="9" s="1"/>
  <c r="B124" i="9" s="1"/>
  <c r="B125" i="9" s="1"/>
  <c r="B126" i="9" s="1"/>
  <c r="B114" i="9"/>
  <c r="BL101" i="9"/>
  <c r="BL17" i="8"/>
  <c r="BK20" i="8"/>
  <c r="BK20" i="9"/>
  <c r="BK17" i="8"/>
  <c r="BK17" i="9"/>
  <c r="BM76" i="9"/>
  <c r="BM91" i="8"/>
  <c r="BM66" i="8"/>
  <c r="BL27" i="9"/>
  <c r="BL112" i="9"/>
  <c r="BL30" i="8"/>
  <c r="BJ112" i="9"/>
  <c r="BM52" i="8"/>
  <c r="BJ36" i="8"/>
  <c r="BM72" i="9"/>
  <c r="BL117" i="8"/>
  <c r="B88" i="8"/>
  <c r="B90" i="8" s="1"/>
  <c r="B87" i="8"/>
  <c r="B89" i="8" s="1"/>
  <c r="B91" i="8" s="1"/>
  <c r="BL112" i="8"/>
  <c r="B88" i="9"/>
  <c r="B90" i="9" s="1"/>
  <c r="B87" i="9"/>
  <c r="B89" i="9" s="1"/>
  <c r="B91" i="9" s="1"/>
  <c r="BM89" i="9"/>
  <c r="BL101" i="8"/>
  <c r="BL93" i="8"/>
  <c r="BM75" i="8"/>
  <c r="BM86" i="8"/>
  <c r="BJ101" i="8"/>
  <c r="BL93" i="9"/>
  <c r="BL30" i="9"/>
  <c r="BM90" i="9"/>
  <c r="BM88" i="9"/>
  <c r="BJ27" i="8"/>
  <c r="BJ69" i="9"/>
  <c r="BJ68" i="9" s="1"/>
  <c r="BJ131" i="9" s="1"/>
  <c r="BK27" i="9"/>
  <c r="BM76" i="8"/>
  <c r="BL36" i="9"/>
  <c r="BL46" i="9"/>
  <c r="BL69" i="8"/>
  <c r="BL68" i="8" s="1"/>
  <c r="BL131" i="8" s="1"/>
  <c r="BL69" i="9"/>
  <c r="BL68" i="9" s="1"/>
  <c r="BL131" i="9" s="1"/>
  <c r="BK112" i="9"/>
  <c r="H146" i="8"/>
  <c r="I146" i="8" s="1"/>
  <c r="BL41" i="9"/>
  <c r="BK41" i="8"/>
  <c r="BM67" i="8"/>
  <c r="BM65" i="8"/>
  <c r="BM49" i="8"/>
  <c r="BJ117" i="9"/>
  <c r="BM65" i="9"/>
  <c r="BM49" i="9"/>
  <c r="BM91" i="9"/>
  <c r="BM86" i="9"/>
  <c r="BM87" i="9"/>
  <c r="BK101" i="9"/>
  <c r="BL46" i="8"/>
  <c r="BK30" i="9"/>
  <c r="BM52" i="9"/>
  <c r="BJ93" i="9"/>
  <c r="BJ36" i="9"/>
  <c r="BM66" i="9"/>
  <c r="BM67" i="9"/>
  <c r="BM75" i="9"/>
  <c r="BK41" i="9"/>
  <c r="BJ93" i="8"/>
  <c r="BM88" i="8"/>
  <c r="BJ112" i="8"/>
  <c r="BM89" i="8"/>
  <c r="BK27" i="8"/>
  <c r="BM29" i="8"/>
  <c r="BO29" i="8" s="1"/>
  <c r="BM90" i="8"/>
  <c r="BM87" i="8"/>
  <c r="BM72" i="8"/>
  <c r="BK93" i="9"/>
  <c r="BK117" i="8"/>
  <c r="BO40" i="9"/>
  <c r="BJ27" i="9"/>
  <c r="BO68" i="9"/>
  <c r="BK117" i="9"/>
  <c r="BJ46" i="9"/>
  <c r="BH92" i="9"/>
  <c r="BH132" i="9" s="1"/>
  <c r="BJ101" i="9"/>
  <c r="BF132" i="9"/>
  <c r="BO92" i="9"/>
  <c r="BO17" i="9"/>
  <c r="BF129" i="9"/>
  <c r="BO26" i="9"/>
  <c r="BJ117" i="8"/>
  <c r="BK30" i="8"/>
  <c r="BJ46" i="8"/>
  <c r="BL41" i="8"/>
  <c r="BL36" i="8"/>
  <c r="BO17" i="8"/>
  <c r="BK93" i="8"/>
  <c r="BO68" i="8"/>
  <c r="BI27" i="8"/>
  <c r="BJ69" i="8"/>
  <c r="BJ68" i="8" s="1"/>
  <c r="BJ131" i="8" s="1"/>
  <c r="BL27" i="8"/>
  <c r="BK112" i="8"/>
  <c r="BH92" i="8"/>
  <c r="BH132" i="8" s="1"/>
  <c r="BM28" i="8"/>
  <c r="BO28" i="8" s="1"/>
  <c r="BF129" i="8"/>
  <c r="BO26" i="8"/>
  <c r="BO40" i="8"/>
  <c r="BK101" i="8"/>
  <c r="BF132" i="8"/>
  <c r="BO92" i="8"/>
  <c r="G146" i="9"/>
  <c r="G158" i="9"/>
  <c r="G157" i="8"/>
  <c r="G157" i="9"/>
  <c r="G160" i="8"/>
  <c r="G159" i="8"/>
  <c r="G160" i="9"/>
  <c r="G159" i="9"/>
  <c r="AF133" i="9"/>
  <c r="AD133" i="9"/>
  <c r="AC133" i="8"/>
  <c r="AF133" i="8"/>
  <c r="AC133" i="9"/>
  <c r="BD133" i="9"/>
  <c r="AM133" i="9"/>
  <c r="BE132" i="9"/>
  <c r="AO132" i="9"/>
  <c r="AE133" i="9"/>
  <c r="AA133" i="9"/>
  <c r="BE132" i="8"/>
  <c r="AO132" i="8"/>
  <c r="AM133" i="8"/>
  <c r="AD133" i="8"/>
  <c r="AE133" i="8"/>
  <c r="BD133" i="8"/>
  <c r="AA133" i="8"/>
  <c r="BK16" i="8" l="1"/>
  <c r="BK128" i="8" s="1"/>
  <c r="BK135" i="8" s="1"/>
  <c r="BK16" i="9"/>
  <c r="BK128" i="9" s="1"/>
  <c r="BK135" i="9" s="1"/>
  <c r="BL40" i="9"/>
  <c r="BL130" i="9" s="1"/>
  <c r="BL92" i="9"/>
  <c r="BL132" i="9" s="1"/>
  <c r="BL26" i="9"/>
  <c r="BL129" i="9" s="1"/>
  <c r="BL92" i="8"/>
  <c r="BL132" i="8" s="1"/>
  <c r="BL26" i="8"/>
  <c r="BL129" i="8" s="1"/>
  <c r="BJ92" i="9"/>
  <c r="BJ132" i="9" s="1"/>
  <c r="BJ92" i="8"/>
  <c r="BJ132" i="8" s="1"/>
  <c r="BL40" i="8"/>
  <c r="BL130" i="8" s="1"/>
  <c r="BM27" i="8"/>
  <c r="BK92" i="9"/>
  <c r="BK132" i="9" s="1"/>
  <c r="BK92" i="8"/>
  <c r="BK132" i="8" s="1"/>
  <c r="P11" i="3" l="1"/>
  <c r="AX11" i="2"/>
  <c r="V132" i="3"/>
  <c r="U132" i="3"/>
  <c r="T132" i="3"/>
  <c r="S132" i="3"/>
  <c r="R132" i="3"/>
  <c r="Q132" i="3"/>
  <c r="P132" i="3"/>
  <c r="O132" i="3"/>
  <c r="N132" i="3"/>
  <c r="M132" i="3"/>
  <c r="L132" i="3"/>
  <c r="K132" i="3"/>
  <c r="J132" i="3"/>
  <c r="I132" i="3"/>
  <c r="H132" i="3"/>
  <c r="G132" i="3"/>
  <c r="V131" i="3"/>
  <c r="U131" i="3"/>
  <c r="O131" i="3"/>
  <c r="N131" i="3"/>
  <c r="M131" i="3"/>
  <c r="L131" i="3"/>
  <c r="J131" i="3"/>
  <c r="H131" i="3"/>
  <c r="V130" i="3"/>
  <c r="U130" i="3"/>
  <c r="O130" i="3"/>
  <c r="N130" i="3"/>
  <c r="M130" i="3"/>
  <c r="L130" i="3"/>
  <c r="J130" i="3"/>
  <c r="H130" i="3"/>
  <c r="V129" i="3"/>
  <c r="U129" i="3"/>
  <c r="S129" i="3"/>
  <c r="P129" i="3"/>
  <c r="O129" i="3"/>
  <c r="N129" i="3"/>
  <c r="M129" i="3"/>
  <c r="L129" i="3"/>
  <c r="K129" i="3"/>
  <c r="J129" i="3"/>
  <c r="I129" i="3"/>
  <c r="H129" i="3"/>
  <c r="V128" i="3"/>
  <c r="T128" i="3"/>
  <c r="S128" i="3"/>
  <c r="R128" i="3"/>
  <c r="Q128" i="3"/>
  <c r="P128" i="3"/>
  <c r="O128" i="3"/>
  <c r="N128" i="3"/>
  <c r="M128" i="3"/>
  <c r="L128" i="3"/>
  <c r="K128" i="3"/>
  <c r="J128" i="3"/>
  <c r="I128" i="3"/>
  <c r="X126" i="3"/>
  <c r="W126" i="3"/>
  <c r="X125" i="3"/>
  <c r="W125" i="3"/>
  <c r="X124" i="3"/>
  <c r="W124" i="3"/>
  <c r="X123" i="3"/>
  <c r="W123" i="3"/>
  <c r="X122" i="3"/>
  <c r="W122" i="3"/>
  <c r="X121" i="3"/>
  <c r="W121" i="3"/>
  <c r="X120" i="3"/>
  <c r="W120" i="3"/>
  <c r="X119" i="3"/>
  <c r="W119" i="3"/>
  <c r="X118" i="3"/>
  <c r="W118" i="3"/>
  <c r="X117" i="3"/>
  <c r="W117" i="3"/>
  <c r="X116" i="3"/>
  <c r="W116" i="3"/>
  <c r="X115" i="3"/>
  <c r="W115" i="3"/>
  <c r="X114" i="3"/>
  <c r="W114" i="3"/>
  <c r="X113" i="3"/>
  <c r="W113" i="3"/>
  <c r="X112" i="3"/>
  <c r="W112" i="3"/>
  <c r="X103" i="3"/>
  <c r="W103" i="3"/>
  <c r="X102" i="3"/>
  <c r="W102" i="3"/>
  <c r="X101" i="3"/>
  <c r="W101" i="3"/>
  <c r="X97" i="3"/>
  <c r="W97" i="3"/>
  <c r="X96" i="3"/>
  <c r="W96" i="3"/>
  <c r="X100" i="3"/>
  <c r="W100" i="3"/>
  <c r="X99" i="3"/>
  <c r="W99" i="3"/>
  <c r="X98" i="3"/>
  <c r="W98" i="3"/>
  <c r="X95" i="3"/>
  <c r="W95" i="3"/>
  <c r="X94" i="3"/>
  <c r="W94" i="3"/>
  <c r="X93" i="3"/>
  <c r="W93" i="3"/>
  <c r="X92" i="3"/>
  <c r="AC132" i="3" s="1"/>
  <c r="W92" i="3"/>
  <c r="X91" i="3"/>
  <c r="W91" i="3"/>
  <c r="X90" i="3"/>
  <c r="W90" i="3"/>
  <c r="X89" i="3"/>
  <c r="W89" i="3"/>
  <c r="X88" i="3"/>
  <c r="W88" i="3"/>
  <c r="X87" i="3"/>
  <c r="W87" i="3"/>
  <c r="X83" i="3"/>
  <c r="W83" i="3"/>
  <c r="X82" i="3"/>
  <c r="W82" i="3"/>
  <c r="X81" i="3"/>
  <c r="W81" i="3"/>
  <c r="X78" i="3"/>
  <c r="W78" i="3"/>
  <c r="X77" i="3"/>
  <c r="W77" i="3"/>
  <c r="X76" i="3"/>
  <c r="W76" i="3"/>
  <c r="X75" i="3"/>
  <c r="W75" i="3"/>
  <c r="X73" i="3"/>
  <c r="X72" i="3"/>
  <c r="W72" i="3"/>
  <c r="B71" i="3"/>
  <c r="B72" i="3" s="1"/>
  <c r="B73" i="3" s="1"/>
  <c r="B74" i="3" s="1"/>
  <c r="X69" i="3"/>
  <c r="W69" i="3"/>
  <c r="X68" i="3"/>
  <c r="W68" i="3"/>
  <c r="X67" i="3"/>
  <c r="W67" i="3"/>
  <c r="X66" i="3"/>
  <c r="W66" i="3"/>
  <c r="X65" i="3"/>
  <c r="W65" i="3"/>
  <c r="X64" i="3"/>
  <c r="W64" i="3"/>
  <c r="X63" i="3"/>
  <c r="W63" i="3"/>
  <c r="X62" i="3"/>
  <c r="W62" i="3"/>
  <c r="X61" i="3"/>
  <c r="W61" i="3"/>
  <c r="X60" i="3"/>
  <c r="W60" i="3"/>
  <c r="X59" i="3"/>
  <c r="W59" i="3"/>
  <c r="X57" i="3"/>
  <c r="W57" i="3"/>
  <c r="X56" i="3"/>
  <c r="W56" i="3"/>
  <c r="X58" i="3"/>
  <c r="W58" i="3"/>
  <c r="X55" i="3"/>
  <c r="W55" i="3"/>
  <c r="X54" i="3"/>
  <c r="W54" i="3"/>
  <c r="X53" i="3"/>
  <c r="W53" i="3"/>
  <c r="X52" i="3"/>
  <c r="W52" i="3"/>
  <c r="X51" i="3"/>
  <c r="X50" i="3"/>
  <c r="X49" i="3"/>
  <c r="W49" i="3"/>
  <c r="X47" i="3"/>
  <c r="X46" i="3"/>
  <c r="W46" i="3"/>
  <c r="X45" i="3"/>
  <c r="W45" i="3"/>
  <c r="D45" i="3"/>
  <c r="X44" i="3"/>
  <c r="W44" i="3"/>
  <c r="D44" i="3"/>
  <c r="X43" i="3"/>
  <c r="W43" i="3"/>
  <c r="D43" i="3"/>
  <c r="X42" i="3"/>
  <c r="W42" i="3"/>
  <c r="D42" i="3"/>
  <c r="B42" i="3"/>
  <c r="B43" i="3" s="1"/>
  <c r="B44" i="3" s="1"/>
  <c r="B45" i="3" s="1"/>
  <c r="B47" i="3" s="1"/>
  <c r="B48" i="3" s="1"/>
  <c r="B49" i="3" s="1"/>
  <c r="B50" i="3" s="1"/>
  <c r="X41" i="3"/>
  <c r="W41" i="3"/>
  <c r="X40" i="3"/>
  <c r="W40" i="3"/>
  <c r="X39" i="3"/>
  <c r="D39" i="3"/>
  <c r="X38" i="3"/>
  <c r="D38" i="3"/>
  <c r="X37" i="3"/>
  <c r="D37" i="3"/>
  <c r="X36" i="3"/>
  <c r="W36" i="3"/>
  <c r="X35" i="3"/>
  <c r="W35" i="3"/>
  <c r="D35" i="3"/>
  <c r="X34" i="3"/>
  <c r="W34" i="3"/>
  <c r="D34" i="3"/>
  <c r="X33" i="3"/>
  <c r="D33" i="3"/>
  <c r="X32" i="3"/>
  <c r="W32" i="3"/>
  <c r="D32" i="3"/>
  <c r="X31" i="3"/>
  <c r="D31" i="3"/>
  <c r="X30" i="3"/>
  <c r="W30" i="3"/>
  <c r="X29" i="3"/>
  <c r="W29" i="3"/>
  <c r="D29" i="3"/>
  <c r="B29" i="3"/>
  <c r="B31" i="3" s="1"/>
  <c r="B32" i="3" s="1"/>
  <c r="B33" i="3" s="1"/>
  <c r="B34" i="3" s="1"/>
  <c r="B35" i="3" s="1"/>
  <c r="B37" i="3" s="1"/>
  <c r="B38" i="3" s="1"/>
  <c r="B39" i="3" s="1"/>
  <c r="X28" i="3"/>
  <c r="W28" i="3"/>
  <c r="D28" i="3"/>
  <c r="X27" i="3"/>
  <c r="W27" i="3"/>
  <c r="X26" i="3"/>
  <c r="AC129" i="3" s="1"/>
  <c r="W26" i="3"/>
  <c r="X25" i="3"/>
  <c r="W25" i="3"/>
  <c r="X24" i="3"/>
  <c r="X23" i="3"/>
  <c r="W23" i="3"/>
  <c r="X22" i="3"/>
  <c r="X20" i="3"/>
  <c r="W20" i="3"/>
  <c r="W19" i="3"/>
  <c r="B23" i="3"/>
  <c r="B24" i="3" s="1"/>
  <c r="B25" i="3" s="1"/>
  <c r="X17" i="3"/>
  <c r="W17" i="3"/>
  <c r="X16" i="3"/>
  <c r="W16" i="3"/>
  <c r="AM126" i="2"/>
  <c r="BD126" i="2" s="1"/>
  <c r="AL126" i="2"/>
  <c r="BC126" i="2" s="1"/>
  <c r="AK126" i="2"/>
  <c r="BB126" i="2" s="1"/>
  <c r="AJ126" i="2"/>
  <c r="BA126" i="2" s="1"/>
  <c r="AI126" i="2"/>
  <c r="AZ126" i="2" s="1"/>
  <c r="AH126" i="2"/>
  <c r="AY126" i="2" s="1"/>
  <c r="AG126" i="2"/>
  <c r="AX126" i="2" s="1"/>
  <c r="AF126" i="2"/>
  <c r="AW126" i="2" s="1"/>
  <c r="AE126" i="2"/>
  <c r="AV126" i="2" s="1"/>
  <c r="AD126" i="2"/>
  <c r="AU126" i="2" s="1"/>
  <c r="AC126" i="2"/>
  <c r="AT126" i="2" s="1"/>
  <c r="AB126" i="2"/>
  <c r="AS126" i="2" s="1"/>
  <c r="AA126" i="2"/>
  <c r="AR126" i="2" s="1"/>
  <c r="Z126" i="2"/>
  <c r="AQ126" i="2" s="1"/>
  <c r="Y126" i="2"/>
  <c r="X126" i="2"/>
  <c r="AM125" i="2"/>
  <c r="BD125" i="2" s="1"/>
  <c r="AL125" i="2"/>
  <c r="BC125" i="2" s="1"/>
  <c r="AK125" i="2"/>
  <c r="BB125" i="2" s="1"/>
  <c r="AJ125" i="2"/>
  <c r="BA125" i="2" s="1"/>
  <c r="AI125" i="2"/>
  <c r="AZ125" i="2" s="1"/>
  <c r="AH125" i="2"/>
  <c r="AY125" i="2" s="1"/>
  <c r="AG125" i="2"/>
  <c r="AX125" i="2" s="1"/>
  <c r="AF125" i="2"/>
  <c r="AW125" i="2" s="1"/>
  <c r="AE125" i="2"/>
  <c r="AV125" i="2" s="1"/>
  <c r="AD125" i="2"/>
  <c r="AU125" i="2" s="1"/>
  <c r="AC125" i="2"/>
  <c r="AT125" i="2" s="1"/>
  <c r="AB125" i="2"/>
  <c r="AS125" i="2" s="1"/>
  <c r="AA125" i="2"/>
  <c r="AR125" i="2" s="1"/>
  <c r="Z125" i="2"/>
  <c r="AQ125" i="2" s="1"/>
  <c r="Y125" i="2"/>
  <c r="X125" i="2"/>
  <c r="AM124" i="2"/>
  <c r="BD124" i="2" s="1"/>
  <c r="AL124" i="2"/>
  <c r="BC124" i="2" s="1"/>
  <c r="AK124" i="2"/>
  <c r="BB124" i="2" s="1"/>
  <c r="AJ124" i="2"/>
  <c r="BA124" i="2" s="1"/>
  <c r="AI124" i="2"/>
  <c r="AZ124" i="2" s="1"/>
  <c r="AH124" i="2"/>
  <c r="AY124" i="2" s="1"/>
  <c r="AG124" i="2"/>
  <c r="AX124" i="2" s="1"/>
  <c r="AF124" i="2"/>
  <c r="AW124" i="2" s="1"/>
  <c r="AE124" i="2"/>
  <c r="AV124" i="2" s="1"/>
  <c r="AD124" i="2"/>
  <c r="AU124" i="2" s="1"/>
  <c r="AC124" i="2"/>
  <c r="AT124" i="2" s="1"/>
  <c r="AB124" i="2"/>
  <c r="AS124" i="2" s="1"/>
  <c r="AA124" i="2"/>
  <c r="AR124" i="2" s="1"/>
  <c r="Z124" i="2"/>
  <c r="AQ124" i="2" s="1"/>
  <c r="Y124" i="2"/>
  <c r="X124" i="2"/>
  <c r="AO124" i="2" s="1"/>
  <c r="BH124" i="2" s="1"/>
  <c r="AM123" i="2"/>
  <c r="BD123" i="2" s="1"/>
  <c r="AL123" i="2"/>
  <c r="BC123" i="2" s="1"/>
  <c r="AK123" i="2"/>
  <c r="BB123" i="2" s="1"/>
  <c r="AJ123" i="2"/>
  <c r="BA123" i="2" s="1"/>
  <c r="AI123" i="2"/>
  <c r="AZ123" i="2" s="1"/>
  <c r="AH123" i="2"/>
  <c r="AY123" i="2" s="1"/>
  <c r="AG123" i="2"/>
  <c r="AX123" i="2" s="1"/>
  <c r="AF123" i="2"/>
  <c r="AW123" i="2" s="1"/>
  <c r="AE123" i="2"/>
  <c r="AV123" i="2" s="1"/>
  <c r="AD123" i="2"/>
  <c r="AU123" i="2" s="1"/>
  <c r="AC123" i="2"/>
  <c r="AT123" i="2" s="1"/>
  <c r="AB123" i="2"/>
  <c r="AS123" i="2" s="1"/>
  <c r="AA123" i="2"/>
  <c r="AR123" i="2" s="1"/>
  <c r="Z123" i="2"/>
  <c r="AQ123" i="2" s="1"/>
  <c r="Y123" i="2"/>
  <c r="X123" i="2"/>
  <c r="AM122" i="2"/>
  <c r="BD122" i="2" s="1"/>
  <c r="AL122" i="2"/>
  <c r="BC122" i="2" s="1"/>
  <c r="AK122" i="2"/>
  <c r="BB122" i="2" s="1"/>
  <c r="AJ122" i="2"/>
  <c r="BA122" i="2" s="1"/>
  <c r="AI122" i="2"/>
  <c r="AZ122" i="2" s="1"/>
  <c r="AH122" i="2"/>
  <c r="AY122" i="2" s="1"/>
  <c r="AG122" i="2"/>
  <c r="AX122" i="2" s="1"/>
  <c r="AF122" i="2"/>
  <c r="AW122" i="2" s="1"/>
  <c r="AE122" i="2"/>
  <c r="AV122" i="2" s="1"/>
  <c r="AD122" i="2"/>
  <c r="AU122" i="2" s="1"/>
  <c r="AC122" i="2"/>
  <c r="AT122" i="2" s="1"/>
  <c r="AB122" i="2"/>
  <c r="AS122" i="2" s="1"/>
  <c r="AA122" i="2"/>
  <c r="AR122" i="2" s="1"/>
  <c r="Z122" i="2"/>
  <c r="AQ122" i="2" s="1"/>
  <c r="Y122" i="2"/>
  <c r="X122" i="2"/>
  <c r="AM121" i="2"/>
  <c r="BD121" i="2" s="1"/>
  <c r="AL121" i="2"/>
  <c r="BC121" i="2" s="1"/>
  <c r="AK121" i="2"/>
  <c r="BB121" i="2" s="1"/>
  <c r="AJ121" i="2"/>
  <c r="BA121" i="2" s="1"/>
  <c r="AI121" i="2"/>
  <c r="AZ121" i="2" s="1"/>
  <c r="AH121" i="2"/>
  <c r="AY121" i="2" s="1"/>
  <c r="AG121" i="2"/>
  <c r="AX121" i="2" s="1"/>
  <c r="AF121" i="2"/>
  <c r="AW121" i="2" s="1"/>
  <c r="AE121" i="2"/>
  <c r="AV121" i="2" s="1"/>
  <c r="AD121" i="2"/>
  <c r="AU121" i="2" s="1"/>
  <c r="AC121" i="2"/>
  <c r="AT121" i="2" s="1"/>
  <c r="AB121" i="2"/>
  <c r="AS121" i="2" s="1"/>
  <c r="AA121" i="2"/>
  <c r="AR121" i="2" s="1"/>
  <c r="Z121" i="2"/>
  <c r="AQ121" i="2" s="1"/>
  <c r="Y121" i="2"/>
  <c r="X121" i="2"/>
  <c r="AO121" i="2" s="1"/>
  <c r="BH121" i="2" s="1"/>
  <c r="AM120" i="2"/>
  <c r="BD120" i="2" s="1"/>
  <c r="AL120" i="2"/>
  <c r="BC120" i="2" s="1"/>
  <c r="AK120" i="2"/>
  <c r="BB120" i="2" s="1"/>
  <c r="AJ120" i="2"/>
  <c r="BA120" i="2" s="1"/>
  <c r="AI120" i="2"/>
  <c r="AZ120" i="2" s="1"/>
  <c r="AH120" i="2"/>
  <c r="AY120" i="2" s="1"/>
  <c r="AG120" i="2"/>
  <c r="AX120" i="2" s="1"/>
  <c r="AF120" i="2"/>
  <c r="AW120" i="2" s="1"/>
  <c r="AE120" i="2"/>
  <c r="AV120" i="2" s="1"/>
  <c r="AD120" i="2"/>
  <c r="AU120" i="2" s="1"/>
  <c r="AC120" i="2"/>
  <c r="AT120" i="2" s="1"/>
  <c r="AB120" i="2"/>
  <c r="AS120" i="2" s="1"/>
  <c r="AA120" i="2"/>
  <c r="AR120" i="2" s="1"/>
  <c r="Z120" i="2"/>
  <c r="AQ120" i="2" s="1"/>
  <c r="Y120" i="2"/>
  <c r="X120" i="2"/>
  <c r="AM119" i="2"/>
  <c r="BD119" i="2" s="1"/>
  <c r="AL119" i="2"/>
  <c r="BC119" i="2" s="1"/>
  <c r="AK119" i="2"/>
  <c r="BB119" i="2" s="1"/>
  <c r="AJ119" i="2"/>
  <c r="BA119" i="2" s="1"/>
  <c r="AI119" i="2"/>
  <c r="AZ119" i="2" s="1"/>
  <c r="AH119" i="2"/>
  <c r="AY119" i="2" s="1"/>
  <c r="AG119" i="2"/>
  <c r="AX119" i="2" s="1"/>
  <c r="AF119" i="2"/>
  <c r="AW119" i="2" s="1"/>
  <c r="AE119" i="2"/>
  <c r="AV119" i="2" s="1"/>
  <c r="AD119" i="2"/>
  <c r="AU119" i="2" s="1"/>
  <c r="AC119" i="2"/>
  <c r="AT119" i="2" s="1"/>
  <c r="AB119" i="2"/>
  <c r="AS119" i="2" s="1"/>
  <c r="AA119" i="2"/>
  <c r="AR119" i="2" s="1"/>
  <c r="Z119" i="2"/>
  <c r="AQ119" i="2" s="1"/>
  <c r="Y119" i="2"/>
  <c r="X119" i="2"/>
  <c r="AM118" i="2"/>
  <c r="BD118" i="2" s="1"/>
  <c r="AL118" i="2"/>
  <c r="BC118" i="2" s="1"/>
  <c r="AK118" i="2"/>
  <c r="BB118" i="2" s="1"/>
  <c r="AJ118" i="2"/>
  <c r="BA118" i="2" s="1"/>
  <c r="AI118" i="2"/>
  <c r="AZ118" i="2" s="1"/>
  <c r="AH118" i="2"/>
  <c r="AY118" i="2" s="1"/>
  <c r="AG118" i="2"/>
  <c r="AX118" i="2" s="1"/>
  <c r="AF118" i="2"/>
  <c r="AW118" i="2" s="1"/>
  <c r="AE118" i="2"/>
  <c r="AV118" i="2" s="1"/>
  <c r="AD118" i="2"/>
  <c r="AU118" i="2" s="1"/>
  <c r="AC118" i="2"/>
  <c r="AT118" i="2" s="1"/>
  <c r="AB118" i="2"/>
  <c r="AS118" i="2" s="1"/>
  <c r="AA118" i="2"/>
  <c r="AR118" i="2" s="1"/>
  <c r="Z118" i="2"/>
  <c r="AQ118" i="2" s="1"/>
  <c r="Y118" i="2"/>
  <c r="X118" i="2"/>
  <c r="AO118" i="2" s="1"/>
  <c r="BH118" i="2" s="1"/>
  <c r="AM117" i="2"/>
  <c r="BD117" i="2" s="1"/>
  <c r="AL117" i="2"/>
  <c r="BC117" i="2" s="1"/>
  <c r="AK117" i="2"/>
  <c r="BB117" i="2" s="1"/>
  <c r="AJ117" i="2"/>
  <c r="BA117" i="2" s="1"/>
  <c r="AI117" i="2"/>
  <c r="AZ117" i="2" s="1"/>
  <c r="AH117" i="2"/>
  <c r="AY117" i="2" s="1"/>
  <c r="AG117" i="2"/>
  <c r="AX117" i="2" s="1"/>
  <c r="AF117" i="2"/>
  <c r="AW117" i="2" s="1"/>
  <c r="AE117" i="2"/>
  <c r="AV117" i="2" s="1"/>
  <c r="AD117" i="2"/>
  <c r="AU117" i="2" s="1"/>
  <c r="AC117" i="2"/>
  <c r="AT117" i="2" s="1"/>
  <c r="AB117" i="2"/>
  <c r="AS117" i="2" s="1"/>
  <c r="AA117" i="2"/>
  <c r="AR117" i="2" s="1"/>
  <c r="Z117" i="2"/>
  <c r="AQ117" i="2" s="1"/>
  <c r="Y117" i="2"/>
  <c r="X117" i="2"/>
  <c r="AO117" i="2" s="1"/>
  <c r="AM116" i="2"/>
  <c r="BD116" i="2" s="1"/>
  <c r="AL116" i="2"/>
  <c r="BC116" i="2" s="1"/>
  <c r="AK116" i="2"/>
  <c r="BB116" i="2" s="1"/>
  <c r="AJ116" i="2"/>
  <c r="BA116" i="2" s="1"/>
  <c r="AI116" i="2"/>
  <c r="AZ116" i="2" s="1"/>
  <c r="AH116" i="2"/>
  <c r="AY116" i="2" s="1"/>
  <c r="AG116" i="2"/>
  <c r="AX116" i="2" s="1"/>
  <c r="AF116" i="2"/>
  <c r="AW116" i="2" s="1"/>
  <c r="AE116" i="2"/>
  <c r="AV116" i="2" s="1"/>
  <c r="AD116" i="2"/>
  <c r="AU116" i="2" s="1"/>
  <c r="AC116" i="2"/>
  <c r="AT116" i="2" s="1"/>
  <c r="AB116" i="2"/>
  <c r="AS116" i="2" s="1"/>
  <c r="AA116" i="2"/>
  <c r="AR116" i="2" s="1"/>
  <c r="Z116" i="2"/>
  <c r="AQ116" i="2" s="1"/>
  <c r="Y116" i="2"/>
  <c r="X116" i="2"/>
  <c r="AM115" i="2"/>
  <c r="BD115" i="2" s="1"/>
  <c r="AL115" i="2"/>
  <c r="BC115" i="2" s="1"/>
  <c r="AK115" i="2"/>
  <c r="BB115" i="2" s="1"/>
  <c r="AJ115" i="2"/>
  <c r="BA115" i="2" s="1"/>
  <c r="AI115" i="2"/>
  <c r="AZ115" i="2" s="1"/>
  <c r="AH115" i="2"/>
  <c r="AY115" i="2" s="1"/>
  <c r="AG115" i="2"/>
  <c r="AX115" i="2" s="1"/>
  <c r="AF115" i="2"/>
  <c r="AW115" i="2" s="1"/>
  <c r="AE115" i="2"/>
  <c r="AV115" i="2" s="1"/>
  <c r="AD115" i="2"/>
  <c r="AU115" i="2" s="1"/>
  <c r="AC115" i="2"/>
  <c r="AT115" i="2" s="1"/>
  <c r="AB115" i="2"/>
  <c r="AS115" i="2" s="1"/>
  <c r="AA115" i="2"/>
  <c r="AR115" i="2" s="1"/>
  <c r="Z115" i="2"/>
  <c r="AQ115" i="2" s="1"/>
  <c r="Y115" i="2"/>
  <c r="X115" i="2"/>
  <c r="AO115" i="2" s="1"/>
  <c r="BH115" i="2" s="1"/>
  <c r="AM114" i="2"/>
  <c r="BD114" i="2" s="1"/>
  <c r="AL114" i="2"/>
  <c r="BC114" i="2" s="1"/>
  <c r="AK114" i="2"/>
  <c r="BB114" i="2" s="1"/>
  <c r="AJ114" i="2"/>
  <c r="BA114" i="2" s="1"/>
  <c r="AI114" i="2"/>
  <c r="AZ114" i="2" s="1"/>
  <c r="AH114" i="2"/>
  <c r="AY114" i="2" s="1"/>
  <c r="AG114" i="2"/>
  <c r="AX114" i="2" s="1"/>
  <c r="AF114" i="2"/>
  <c r="AW114" i="2" s="1"/>
  <c r="AE114" i="2"/>
  <c r="AV114" i="2" s="1"/>
  <c r="AD114" i="2"/>
  <c r="AU114" i="2" s="1"/>
  <c r="AC114" i="2"/>
  <c r="AT114" i="2" s="1"/>
  <c r="AB114" i="2"/>
  <c r="AS114" i="2" s="1"/>
  <c r="AA114" i="2"/>
  <c r="AR114" i="2" s="1"/>
  <c r="Z114" i="2"/>
  <c r="AQ114" i="2" s="1"/>
  <c r="Y114" i="2"/>
  <c r="X114" i="2"/>
  <c r="AO114" i="2" s="1"/>
  <c r="BH114" i="2" s="1"/>
  <c r="AM113" i="2"/>
  <c r="BD113" i="2" s="1"/>
  <c r="AL113" i="2"/>
  <c r="BC113" i="2" s="1"/>
  <c r="AK113" i="2"/>
  <c r="BB113" i="2" s="1"/>
  <c r="AJ113" i="2"/>
  <c r="BA113" i="2" s="1"/>
  <c r="AI113" i="2"/>
  <c r="AZ113" i="2" s="1"/>
  <c r="AH113" i="2"/>
  <c r="AY113" i="2" s="1"/>
  <c r="AG113" i="2"/>
  <c r="AX113" i="2" s="1"/>
  <c r="AF113" i="2"/>
  <c r="AW113" i="2" s="1"/>
  <c r="AE113" i="2"/>
  <c r="AV113" i="2" s="1"/>
  <c r="AD113" i="2"/>
  <c r="AU113" i="2" s="1"/>
  <c r="AC113" i="2"/>
  <c r="AT113" i="2" s="1"/>
  <c r="AB113" i="2"/>
  <c r="AS113" i="2" s="1"/>
  <c r="AA113" i="2"/>
  <c r="AR113" i="2" s="1"/>
  <c r="Z113" i="2"/>
  <c r="AQ113" i="2" s="1"/>
  <c r="Y113" i="2"/>
  <c r="X113" i="2"/>
  <c r="AM112" i="2"/>
  <c r="BD112" i="2" s="1"/>
  <c r="AL112" i="2"/>
  <c r="BC112" i="2" s="1"/>
  <c r="AK112" i="2"/>
  <c r="BB112" i="2" s="1"/>
  <c r="AJ112" i="2"/>
  <c r="BA112" i="2" s="1"/>
  <c r="AI112" i="2"/>
  <c r="AZ112" i="2" s="1"/>
  <c r="AH112" i="2"/>
  <c r="AY112" i="2" s="1"/>
  <c r="AG112" i="2"/>
  <c r="AX112" i="2" s="1"/>
  <c r="AF112" i="2"/>
  <c r="AW112" i="2" s="1"/>
  <c r="AE112" i="2"/>
  <c r="AV112" i="2" s="1"/>
  <c r="AD112" i="2"/>
  <c r="AU112" i="2" s="1"/>
  <c r="AC112" i="2"/>
  <c r="AT112" i="2" s="1"/>
  <c r="AB112" i="2"/>
  <c r="AS112" i="2" s="1"/>
  <c r="AA112" i="2"/>
  <c r="AR112" i="2" s="1"/>
  <c r="Z112" i="2"/>
  <c r="AQ112" i="2" s="1"/>
  <c r="Y112" i="2"/>
  <c r="X112" i="2"/>
  <c r="AM102" i="2"/>
  <c r="BD102" i="2" s="1"/>
  <c r="AL102" i="2"/>
  <c r="BC102" i="2" s="1"/>
  <c r="AK102" i="2"/>
  <c r="BB102" i="2" s="1"/>
  <c r="AJ102" i="2"/>
  <c r="BA102" i="2" s="1"/>
  <c r="AI102" i="2"/>
  <c r="AZ102" i="2" s="1"/>
  <c r="AH102" i="2"/>
  <c r="AY102" i="2" s="1"/>
  <c r="AG102" i="2"/>
  <c r="AX102" i="2" s="1"/>
  <c r="AF102" i="2"/>
  <c r="AW102" i="2" s="1"/>
  <c r="AE102" i="2"/>
  <c r="AV102" i="2" s="1"/>
  <c r="AD102" i="2"/>
  <c r="AU102" i="2" s="1"/>
  <c r="AC102" i="2"/>
  <c r="AT102" i="2" s="1"/>
  <c r="AB102" i="2"/>
  <c r="AS102" i="2" s="1"/>
  <c r="AA102" i="2"/>
  <c r="AR102" i="2" s="1"/>
  <c r="Z102" i="2"/>
  <c r="AQ102" i="2" s="1"/>
  <c r="Y102" i="2"/>
  <c r="X102" i="2"/>
  <c r="AM101" i="2"/>
  <c r="BD101" i="2" s="1"/>
  <c r="AL101" i="2"/>
  <c r="BC101" i="2" s="1"/>
  <c r="AK101" i="2"/>
  <c r="BB101" i="2" s="1"/>
  <c r="AJ101" i="2"/>
  <c r="BA101" i="2" s="1"/>
  <c r="AI101" i="2"/>
  <c r="AZ101" i="2" s="1"/>
  <c r="AH101" i="2"/>
  <c r="AY101" i="2" s="1"/>
  <c r="AG101" i="2"/>
  <c r="AX101" i="2" s="1"/>
  <c r="AF101" i="2"/>
  <c r="AW101" i="2" s="1"/>
  <c r="AE101" i="2"/>
  <c r="AV101" i="2" s="1"/>
  <c r="AD101" i="2"/>
  <c r="AU101" i="2" s="1"/>
  <c r="AC101" i="2"/>
  <c r="AT101" i="2" s="1"/>
  <c r="AB101" i="2"/>
  <c r="AS101" i="2" s="1"/>
  <c r="AA101" i="2"/>
  <c r="AR101" i="2" s="1"/>
  <c r="Z101" i="2"/>
  <c r="AQ101" i="2" s="1"/>
  <c r="Y101" i="2"/>
  <c r="X101" i="2"/>
  <c r="AO101" i="2" s="1"/>
  <c r="AM97" i="2"/>
  <c r="BD97" i="2" s="1"/>
  <c r="AL97" i="2"/>
  <c r="BC97" i="2" s="1"/>
  <c r="AK97" i="2"/>
  <c r="BB97" i="2" s="1"/>
  <c r="AJ97" i="2"/>
  <c r="BA97" i="2" s="1"/>
  <c r="AI97" i="2"/>
  <c r="AZ97" i="2" s="1"/>
  <c r="AH97" i="2"/>
  <c r="AY97" i="2" s="1"/>
  <c r="AG97" i="2"/>
  <c r="AX97" i="2" s="1"/>
  <c r="AF97" i="2"/>
  <c r="AW97" i="2" s="1"/>
  <c r="AE97" i="2"/>
  <c r="AV97" i="2" s="1"/>
  <c r="AD97" i="2"/>
  <c r="AU97" i="2" s="1"/>
  <c r="AC97" i="2"/>
  <c r="AT97" i="2" s="1"/>
  <c r="AB97" i="2"/>
  <c r="AS97" i="2" s="1"/>
  <c r="AA97" i="2"/>
  <c r="AR97" i="2" s="1"/>
  <c r="Z97" i="2"/>
  <c r="AQ97" i="2" s="1"/>
  <c r="Y97" i="2"/>
  <c r="X97" i="2"/>
  <c r="AM96" i="2"/>
  <c r="BD96" i="2" s="1"/>
  <c r="AL96" i="2"/>
  <c r="BC96" i="2" s="1"/>
  <c r="AK96" i="2"/>
  <c r="BB96" i="2" s="1"/>
  <c r="AJ96" i="2"/>
  <c r="BA96" i="2" s="1"/>
  <c r="AI96" i="2"/>
  <c r="AZ96" i="2" s="1"/>
  <c r="AH96" i="2"/>
  <c r="AY96" i="2" s="1"/>
  <c r="AG96" i="2"/>
  <c r="AX96" i="2" s="1"/>
  <c r="AF96" i="2"/>
  <c r="AW96" i="2" s="1"/>
  <c r="AE96" i="2"/>
  <c r="AV96" i="2" s="1"/>
  <c r="AD96" i="2"/>
  <c r="AU96" i="2" s="1"/>
  <c r="AC96" i="2"/>
  <c r="AT96" i="2" s="1"/>
  <c r="AB96" i="2"/>
  <c r="AS96" i="2" s="1"/>
  <c r="AA96" i="2"/>
  <c r="AR96" i="2" s="1"/>
  <c r="Z96" i="2"/>
  <c r="AQ96" i="2" s="1"/>
  <c r="Y96" i="2"/>
  <c r="X96" i="2"/>
  <c r="AM100" i="2"/>
  <c r="BD100" i="2" s="1"/>
  <c r="AL100" i="2"/>
  <c r="BC100" i="2" s="1"/>
  <c r="AK100" i="2"/>
  <c r="BB100" i="2" s="1"/>
  <c r="AJ100" i="2"/>
  <c r="BA100" i="2" s="1"/>
  <c r="AI100" i="2"/>
  <c r="AZ100" i="2" s="1"/>
  <c r="AH100" i="2"/>
  <c r="AY100" i="2" s="1"/>
  <c r="AG100" i="2"/>
  <c r="AX100" i="2" s="1"/>
  <c r="AF100" i="2"/>
  <c r="AW100" i="2" s="1"/>
  <c r="AE100" i="2"/>
  <c r="AV100" i="2" s="1"/>
  <c r="AD100" i="2"/>
  <c r="AU100" i="2" s="1"/>
  <c r="AC100" i="2"/>
  <c r="AT100" i="2" s="1"/>
  <c r="AB100" i="2"/>
  <c r="AS100" i="2" s="1"/>
  <c r="AA100" i="2"/>
  <c r="AR100" i="2" s="1"/>
  <c r="Z100" i="2"/>
  <c r="AQ100" i="2" s="1"/>
  <c r="Y100" i="2"/>
  <c r="X100" i="2"/>
  <c r="AM99" i="2"/>
  <c r="BD99" i="2" s="1"/>
  <c r="AL99" i="2"/>
  <c r="BC99" i="2" s="1"/>
  <c r="AK99" i="2"/>
  <c r="BB99" i="2" s="1"/>
  <c r="AJ99" i="2"/>
  <c r="BA99" i="2" s="1"/>
  <c r="AI99" i="2"/>
  <c r="AZ99" i="2" s="1"/>
  <c r="AH99" i="2"/>
  <c r="AY99" i="2" s="1"/>
  <c r="AG99" i="2"/>
  <c r="AX99" i="2" s="1"/>
  <c r="AF99" i="2"/>
  <c r="AW99" i="2" s="1"/>
  <c r="AE99" i="2"/>
  <c r="AV99" i="2" s="1"/>
  <c r="AD99" i="2"/>
  <c r="AU99" i="2" s="1"/>
  <c r="AC99" i="2"/>
  <c r="AT99" i="2" s="1"/>
  <c r="AB99" i="2"/>
  <c r="AS99" i="2" s="1"/>
  <c r="AA99" i="2"/>
  <c r="AR99" i="2" s="1"/>
  <c r="Z99" i="2"/>
  <c r="AQ99" i="2" s="1"/>
  <c r="Y99" i="2"/>
  <c r="X99" i="2"/>
  <c r="AM98" i="2"/>
  <c r="BD98" i="2" s="1"/>
  <c r="AL98" i="2"/>
  <c r="BC98" i="2" s="1"/>
  <c r="AK98" i="2"/>
  <c r="BB98" i="2" s="1"/>
  <c r="AJ98" i="2"/>
  <c r="BA98" i="2" s="1"/>
  <c r="AI98" i="2"/>
  <c r="AZ98" i="2" s="1"/>
  <c r="AH98" i="2"/>
  <c r="AY98" i="2" s="1"/>
  <c r="AG98" i="2"/>
  <c r="AX98" i="2" s="1"/>
  <c r="AF98" i="2"/>
  <c r="AW98" i="2" s="1"/>
  <c r="AE98" i="2"/>
  <c r="AV98" i="2" s="1"/>
  <c r="AD98" i="2"/>
  <c r="AU98" i="2" s="1"/>
  <c r="AC98" i="2"/>
  <c r="AT98" i="2" s="1"/>
  <c r="AB98" i="2"/>
  <c r="AS98" i="2" s="1"/>
  <c r="AA98" i="2"/>
  <c r="AR98" i="2" s="1"/>
  <c r="Z98" i="2"/>
  <c r="AQ98" i="2" s="1"/>
  <c r="Y98" i="2"/>
  <c r="X98" i="2"/>
  <c r="AO98" i="2" s="1"/>
  <c r="BH98" i="2" s="1"/>
  <c r="AM95" i="2"/>
  <c r="BD95" i="2" s="1"/>
  <c r="AL95" i="2"/>
  <c r="BC95" i="2" s="1"/>
  <c r="AK95" i="2"/>
  <c r="BB95" i="2" s="1"/>
  <c r="AJ95" i="2"/>
  <c r="BA95" i="2" s="1"/>
  <c r="AI95" i="2"/>
  <c r="AZ95" i="2" s="1"/>
  <c r="AH95" i="2"/>
  <c r="AY95" i="2" s="1"/>
  <c r="AG95" i="2"/>
  <c r="AX95" i="2" s="1"/>
  <c r="AF95" i="2"/>
  <c r="AW95" i="2" s="1"/>
  <c r="AE95" i="2"/>
  <c r="AV95" i="2" s="1"/>
  <c r="AD95" i="2"/>
  <c r="AU95" i="2" s="1"/>
  <c r="AC95" i="2"/>
  <c r="AT95" i="2" s="1"/>
  <c r="AB95" i="2"/>
  <c r="AS95" i="2" s="1"/>
  <c r="AA95" i="2"/>
  <c r="AR95" i="2" s="1"/>
  <c r="Z95" i="2"/>
  <c r="AQ95" i="2" s="1"/>
  <c r="Y95" i="2"/>
  <c r="X95" i="2"/>
  <c r="AM94" i="2"/>
  <c r="BD94" i="2" s="1"/>
  <c r="AL94" i="2"/>
  <c r="BC94" i="2" s="1"/>
  <c r="AK94" i="2"/>
  <c r="BB94" i="2" s="1"/>
  <c r="AJ94" i="2"/>
  <c r="BA94" i="2" s="1"/>
  <c r="AI94" i="2"/>
  <c r="AZ94" i="2" s="1"/>
  <c r="AH94" i="2"/>
  <c r="AY94" i="2" s="1"/>
  <c r="AG94" i="2"/>
  <c r="AX94" i="2" s="1"/>
  <c r="AF94" i="2"/>
  <c r="AW94" i="2" s="1"/>
  <c r="AE94" i="2"/>
  <c r="AV94" i="2" s="1"/>
  <c r="AD94" i="2"/>
  <c r="AU94" i="2" s="1"/>
  <c r="AC94" i="2"/>
  <c r="AT94" i="2" s="1"/>
  <c r="AB94" i="2"/>
  <c r="AS94" i="2" s="1"/>
  <c r="AA94" i="2"/>
  <c r="AR94" i="2" s="1"/>
  <c r="Z94" i="2"/>
  <c r="AQ94" i="2" s="1"/>
  <c r="Y94" i="2"/>
  <c r="X94" i="2"/>
  <c r="AM93" i="2"/>
  <c r="BD93" i="2" s="1"/>
  <c r="AL93" i="2"/>
  <c r="BC93" i="2" s="1"/>
  <c r="AK93" i="2"/>
  <c r="BB93" i="2" s="1"/>
  <c r="AJ93" i="2"/>
  <c r="BA93" i="2" s="1"/>
  <c r="AI93" i="2"/>
  <c r="AZ93" i="2" s="1"/>
  <c r="AH93" i="2"/>
  <c r="AY93" i="2" s="1"/>
  <c r="AG93" i="2"/>
  <c r="AX93" i="2" s="1"/>
  <c r="AF93" i="2"/>
  <c r="AW93" i="2" s="1"/>
  <c r="AE93" i="2"/>
  <c r="AV93" i="2" s="1"/>
  <c r="AD93" i="2"/>
  <c r="AU93" i="2" s="1"/>
  <c r="AC93" i="2"/>
  <c r="AT93" i="2" s="1"/>
  <c r="AB93" i="2"/>
  <c r="AS93" i="2" s="1"/>
  <c r="AA93" i="2"/>
  <c r="AR93" i="2" s="1"/>
  <c r="Z93" i="2"/>
  <c r="AQ93" i="2" s="1"/>
  <c r="Y93" i="2"/>
  <c r="X93" i="2"/>
  <c r="AM92" i="2"/>
  <c r="BD92" i="2" s="1"/>
  <c r="AL92" i="2"/>
  <c r="BC92" i="2" s="1"/>
  <c r="AK92" i="2"/>
  <c r="BB92" i="2" s="1"/>
  <c r="AJ92" i="2"/>
  <c r="BA92" i="2" s="1"/>
  <c r="AI92" i="2"/>
  <c r="AZ92" i="2" s="1"/>
  <c r="AH92" i="2"/>
  <c r="AY92" i="2" s="1"/>
  <c r="AG92" i="2"/>
  <c r="AX92" i="2" s="1"/>
  <c r="AF92" i="2"/>
  <c r="AE92" i="2"/>
  <c r="AV92" i="2" s="1"/>
  <c r="AD92" i="2"/>
  <c r="AC92" i="2"/>
  <c r="AB92" i="2"/>
  <c r="AA92" i="2"/>
  <c r="AR92" i="2" s="1"/>
  <c r="Z92" i="2"/>
  <c r="Y92" i="2"/>
  <c r="X92" i="2"/>
  <c r="AO92" i="2" s="1"/>
  <c r="AM91" i="2"/>
  <c r="BD91" i="2" s="1"/>
  <c r="AL91" i="2"/>
  <c r="BC91" i="2" s="1"/>
  <c r="AK91" i="2"/>
  <c r="BB91" i="2" s="1"/>
  <c r="AJ91" i="2"/>
  <c r="BA91" i="2" s="1"/>
  <c r="AI91" i="2"/>
  <c r="AZ91" i="2" s="1"/>
  <c r="AH91" i="2"/>
  <c r="AY91" i="2" s="1"/>
  <c r="AG91" i="2"/>
  <c r="AX91" i="2" s="1"/>
  <c r="AF91" i="2"/>
  <c r="AW91" i="2" s="1"/>
  <c r="AE91" i="2"/>
  <c r="AV91" i="2" s="1"/>
  <c r="AD91" i="2"/>
  <c r="AU91" i="2" s="1"/>
  <c r="AC91" i="2"/>
  <c r="AT91" i="2" s="1"/>
  <c r="AB91" i="2"/>
  <c r="AS91" i="2" s="1"/>
  <c r="AA91" i="2"/>
  <c r="AR91" i="2" s="1"/>
  <c r="Z91" i="2"/>
  <c r="AQ91" i="2" s="1"/>
  <c r="Y91" i="2"/>
  <c r="X91" i="2"/>
  <c r="AM90" i="2"/>
  <c r="BD90" i="2" s="1"/>
  <c r="AL90" i="2"/>
  <c r="BC90" i="2" s="1"/>
  <c r="AK90" i="2"/>
  <c r="BB90" i="2" s="1"/>
  <c r="AJ90" i="2"/>
  <c r="BA90" i="2" s="1"/>
  <c r="AI90" i="2"/>
  <c r="AZ90" i="2" s="1"/>
  <c r="AH90" i="2"/>
  <c r="AY90" i="2" s="1"/>
  <c r="AG90" i="2"/>
  <c r="AX90" i="2" s="1"/>
  <c r="AF90" i="2"/>
  <c r="AW90" i="2" s="1"/>
  <c r="AE90" i="2"/>
  <c r="AV90" i="2" s="1"/>
  <c r="AD90" i="2"/>
  <c r="AU90" i="2" s="1"/>
  <c r="AC90" i="2"/>
  <c r="AT90" i="2" s="1"/>
  <c r="AB90" i="2"/>
  <c r="AS90" i="2" s="1"/>
  <c r="AA90" i="2"/>
  <c r="AR90" i="2" s="1"/>
  <c r="Z90" i="2"/>
  <c r="AQ90" i="2" s="1"/>
  <c r="Y90" i="2"/>
  <c r="X90" i="2"/>
  <c r="AO90" i="2" s="1"/>
  <c r="BH90" i="2" s="1"/>
  <c r="AM89" i="2"/>
  <c r="BD89" i="2" s="1"/>
  <c r="AL89" i="2"/>
  <c r="BC89" i="2" s="1"/>
  <c r="AK89" i="2"/>
  <c r="BB89" i="2" s="1"/>
  <c r="AJ89" i="2"/>
  <c r="BA89" i="2" s="1"/>
  <c r="AI89" i="2"/>
  <c r="AZ89" i="2" s="1"/>
  <c r="AH89" i="2"/>
  <c r="AY89" i="2" s="1"/>
  <c r="AG89" i="2"/>
  <c r="AX89" i="2" s="1"/>
  <c r="AF89" i="2"/>
  <c r="AW89" i="2" s="1"/>
  <c r="AE89" i="2"/>
  <c r="AV89" i="2" s="1"/>
  <c r="AD89" i="2"/>
  <c r="AU89" i="2" s="1"/>
  <c r="AC89" i="2"/>
  <c r="AT89" i="2" s="1"/>
  <c r="AB89" i="2"/>
  <c r="AS89" i="2" s="1"/>
  <c r="AA89" i="2"/>
  <c r="AR89" i="2" s="1"/>
  <c r="Z89" i="2"/>
  <c r="AQ89" i="2" s="1"/>
  <c r="Y89" i="2"/>
  <c r="X89" i="2"/>
  <c r="AM88" i="2"/>
  <c r="BD88" i="2" s="1"/>
  <c r="AL88" i="2"/>
  <c r="BC88" i="2" s="1"/>
  <c r="AK88" i="2"/>
  <c r="BB88" i="2" s="1"/>
  <c r="AJ88" i="2"/>
  <c r="BA88" i="2" s="1"/>
  <c r="AI88" i="2"/>
  <c r="AZ88" i="2" s="1"/>
  <c r="AH88" i="2"/>
  <c r="AY88" i="2" s="1"/>
  <c r="AG88" i="2"/>
  <c r="AX88" i="2" s="1"/>
  <c r="AF88" i="2"/>
  <c r="AW88" i="2" s="1"/>
  <c r="AE88" i="2"/>
  <c r="AV88" i="2" s="1"/>
  <c r="AD88" i="2"/>
  <c r="AU88" i="2" s="1"/>
  <c r="AC88" i="2"/>
  <c r="AT88" i="2" s="1"/>
  <c r="AB88" i="2"/>
  <c r="AS88" i="2" s="1"/>
  <c r="AA88" i="2"/>
  <c r="AR88" i="2" s="1"/>
  <c r="Z88" i="2"/>
  <c r="AQ88" i="2" s="1"/>
  <c r="Y88" i="2"/>
  <c r="X88" i="2"/>
  <c r="AM87" i="2"/>
  <c r="BD87" i="2" s="1"/>
  <c r="AL87" i="2"/>
  <c r="BC87" i="2" s="1"/>
  <c r="AK87" i="2"/>
  <c r="BB87" i="2" s="1"/>
  <c r="AJ87" i="2"/>
  <c r="BA87" i="2" s="1"/>
  <c r="AI87" i="2"/>
  <c r="AZ87" i="2" s="1"/>
  <c r="AH87" i="2"/>
  <c r="AY87" i="2" s="1"/>
  <c r="AG87" i="2"/>
  <c r="AX87" i="2" s="1"/>
  <c r="AF87" i="2"/>
  <c r="AW87" i="2" s="1"/>
  <c r="AE87" i="2"/>
  <c r="AV87" i="2" s="1"/>
  <c r="AD87" i="2"/>
  <c r="AU87" i="2" s="1"/>
  <c r="AC87" i="2"/>
  <c r="AT87" i="2" s="1"/>
  <c r="AB87" i="2"/>
  <c r="AS87" i="2" s="1"/>
  <c r="AA87" i="2"/>
  <c r="AR87" i="2" s="1"/>
  <c r="Z87" i="2"/>
  <c r="AQ87" i="2" s="1"/>
  <c r="Y87" i="2"/>
  <c r="X87" i="2"/>
  <c r="AO87" i="2" s="1"/>
  <c r="BH87" i="2" s="1"/>
  <c r="AM86" i="2"/>
  <c r="BD86" i="2" s="1"/>
  <c r="AL86" i="2"/>
  <c r="BC86" i="2" s="1"/>
  <c r="AK86" i="2"/>
  <c r="BB86" i="2" s="1"/>
  <c r="AJ86" i="2"/>
  <c r="BA86" i="2" s="1"/>
  <c r="AI86" i="2"/>
  <c r="AZ86" i="2" s="1"/>
  <c r="AH86" i="2"/>
  <c r="AY86" i="2" s="1"/>
  <c r="AG86" i="2"/>
  <c r="AX86" i="2" s="1"/>
  <c r="AF86" i="2"/>
  <c r="AW86" i="2" s="1"/>
  <c r="AE86" i="2"/>
  <c r="AV86" i="2" s="1"/>
  <c r="AD86" i="2"/>
  <c r="AU86" i="2" s="1"/>
  <c r="AC86" i="2"/>
  <c r="AT86" i="2" s="1"/>
  <c r="AB86" i="2"/>
  <c r="AS86" i="2" s="1"/>
  <c r="AA86" i="2"/>
  <c r="AR86" i="2" s="1"/>
  <c r="Z86" i="2"/>
  <c r="AQ86" i="2" s="1"/>
  <c r="Y86" i="2"/>
  <c r="X86" i="2"/>
  <c r="AM85" i="2"/>
  <c r="BD85" i="2" s="1"/>
  <c r="AL85" i="2"/>
  <c r="BC85" i="2" s="1"/>
  <c r="AK85" i="2"/>
  <c r="BB85" i="2" s="1"/>
  <c r="AJ85" i="2"/>
  <c r="BA85" i="2" s="1"/>
  <c r="AI85" i="2"/>
  <c r="AZ85" i="2" s="1"/>
  <c r="AH85" i="2"/>
  <c r="AY85" i="2" s="1"/>
  <c r="AG85" i="2"/>
  <c r="AX85" i="2" s="1"/>
  <c r="AF85" i="2"/>
  <c r="AW85" i="2" s="1"/>
  <c r="AE85" i="2"/>
  <c r="AV85" i="2" s="1"/>
  <c r="AD85" i="2"/>
  <c r="AU85" i="2" s="1"/>
  <c r="AC85" i="2"/>
  <c r="AT85" i="2" s="1"/>
  <c r="AB85" i="2"/>
  <c r="AA85" i="2"/>
  <c r="AR85" i="2" s="1"/>
  <c r="Z85" i="2"/>
  <c r="Y85" i="2"/>
  <c r="X85" i="2"/>
  <c r="AM83" i="2"/>
  <c r="BD83" i="2" s="1"/>
  <c r="AL83" i="2"/>
  <c r="BC83" i="2" s="1"/>
  <c r="AK83" i="2"/>
  <c r="BB83" i="2" s="1"/>
  <c r="AJ83" i="2"/>
  <c r="BA83" i="2" s="1"/>
  <c r="AI83" i="2"/>
  <c r="AZ83" i="2" s="1"/>
  <c r="AH83" i="2"/>
  <c r="AY83" i="2" s="1"/>
  <c r="AG83" i="2"/>
  <c r="AX83" i="2" s="1"/>
  <c r="AF83" i="2"/>
  <c r="AW83" i="2" s="1"/>
  <c r="AE83" i="2"/>
  <c r="AV83" i="2" s="1"/>
  <c r="AD83" i="2"/>
  <c r="AU83" i="2" s="1"/>
  <c r="AC83" i="2"/>
  <c r="AT83" i="2" s="1"/>
  <c r="AB83" i="2"/>
  <c r="AA83" i="2"/>
  <c r="AR83" i="2" s="1"/>
  <c r="Z83" i="2"/>
  <c r="Y83" i="2"/>
  <c r="X83" i="2"/>
  <c r="AM82" i="2"/>
  <c r="BD82" i="2" s="1"/>
  <c r="AL82" i="2"/>
  <c r="BC82" i="2" s="1"/>
  <c r="AK82" i="2"/>
  <c r="BB82" i="2" s="1"/>
  <c r="AJ82" i="2"/>
  <c r="BA82" i="2" s="1"/>
  <c r="AI82" i="2"/>
  <c r="AZ82" i="2" s="1"/>
  <c r="AH82" i="2"/>
  <c r="AY82" i="2" s="1"/>
  <c r="AG82" i="2"/>
  <c r="AX82" i="2" s="1"/>
  <c r="AF82" i="2"/>
  <c r="AW82" i="2" s="1"/>
  <c r="AE82" i="2"/>
  <c r="AV82" i="2" s="1"/>
  <c r="AD82" i="2"/>
  <c r="AU82" i="2" s="1"/>
  <c r="AC82" i="2"/>
  <c r="AT82" i="2" s="1"/>
  <c r="AB82" i="2"/>
  <c r="AA82" i="2"/>
  <c r="AR82" i="2" s="1"/>
  <c r="Z82" i="2"/>
  <c r="Y82" i="2"/>
  <c r="X82" i="2"/>
  <c r="AO82" i="2" s="1"/>
  <c r="BH82" i="2" s="1"/>
  <c r="AM78" i="2"/>
  <c r="BD78" i="2" s="1"/>
  <c r="AL78" i="2"/>
  <c r="BC78" i="2" s="1"/>
  <c r="AK78" i="2"/>
  <c r="BB78" i="2" s="1"/>
  <c r="AJ78" i="2"/>
  <c r="BA78" i="2" s="1"/>
  <c r="AI78" i="2"/>
  <c r="AZ78" i="2" s="1"/>
  <c r="AH78" i="2"/>
  <c r="AY78" i="2" s="1"/>
  <c r="AG78" i="2"/>
  <c r="AX78" i="2" s="1"/>
  <c r="AF78" i="2"/>
  <c r="AW78" i="2" s="1"/>
  <c r="AE78" i="2"/>
  <c r="AV78" i="2" s="1"/>
  <c r="AD78" i="2"/>
  <c r="AU78" i="2" s="1"/>
  <c r="AC78" i="2"/>
  <c r="AT78" i="2" s="1"/>
  <c r="AB78" i="2"/>
  <c r="AA78" i="2"/>
  <c r="AR78" i="2" s="1"/>
  <c r="Z78" i="2"/>
  <c r="Y78" i="2"/>
  <c r="X78" i="2"/>
  <c r="AM77" i="2"/>
  <c r="BD77" i="2" s="1"/>
  <c r="AL77" i="2"/>
  <c r="BC77" i="2" s="1"/>
  <c r="AK77" i="2"/>
  <c r="BB77" i="2" s="1"/>
  <c r="AJ77" i="2"/>
  <c r="BA77" i="2" s="1"/>
  <c r="AI77" i="2"/>
  <c r="AZ77" i="2" s="1"/>
  <c r="AH77" i="2"/>
  <c r="AY77" i="2" s="1"/>
  <c r="AG77" i="2"/>
  <c r="AX77" i="2" s="1"/>
  <c r="AF77" i="2"/>
  <c r="AW77" i="2" s="1"/>
  <c r="AE77" i="2"/>
  <c r="AV77" i="2" s="1"/>
  <c r="AD77" i="2"/>
  <c r="AU77" i="2" s="1"/>
  <c r="AC77" i="2"/>
  <c r="AT77" i="2" s="1"/>
  <c r="AB77" i="2"/>
  <c r="AA77" i="2"/>
  <c r="AR77" i="2" s="1"/>
  <c r="Z77" i="2"/>
  <c r="Y77" i="2"/>
  <c r="X77" i="2"/>
  <c r="AM76" i="2"/>
  <c r="BD76" i="2" s="1"/>
  <c r="AL76" i="2"/>
  <c r="BC76" i="2" s="1"/>
  <c r="AK76" i="2"/>
  <c r="BB76" i="2" s="1"/>
  <c r="AJ76" i="2"/>
  <c r="BA76" i="2" s="1"/>
  <c r="AI76" i="2"/>
  <c r="AZ76" i="2" s="1"/>
  <c r="AH76" i="2"/>
  <c r="AY76" i="2" s="1"/>
  <c r="AG76" i="2"/>
  <c r="AX76" i="2" s="1"/>
  <c r="AF76" i="2"/>
  <c r="AW76" i="2" s="1"/>
  <c r="AE76" i="2"/>
  <c r="AV76" i="2" s="1"/>
  <c r="AD76" i="2"/>
  <c r="AU76" i="2" s="1"/>
  <c r="AC76" i="2"/>
  <c r="AT76" i="2" s="1"/>
  <c r="AB76" i="2"/>
  <c r="AS76" i="2" s="1"/>
  <c r="AA76" i="2"/>
  <c r="AR76" i="2" s="1"/>
  <c r="Z76" i="2"/>
  <c r="AQ76" i="2" s="1"/>
  <c r="Y76" i="2"/>
  <c r="X76" i="2"/>
  <c r="AM75" i="2"/>
  <c r="BD75" i="2" s="1"/>
  <c r="AL75" i="2"/>
  <c r="BC75" i="2" s="1"/>
  <c r="AK75" i="2"/>
  <c r="BB75" i="2" s="1"/>
  <c r="AJ75" i="2"/>
  <c r="BA75" i="2" s="1"/>
  <c r="AI75" i="2"/>
  <c r="AZ75" i="2" s="1"/>
  <c r="AH75" i="2"/>
  <c r="AY75" i="2" s="1"/>
  <c r="AG75" i="2"/>
  <c r="AX75" i="2" s="1"/>
  <c r="AF75" i="2"/>
  <c r="AW75" i="2" s="1"/>
  <c r="AE75" i="2"/>
  <c r="AV75" i="2" s="1"/>
  <c r="AD75" i="2"/>
  <c r="AU75" i="2" s="1"/>
  <c r="AC75" i="2"/>
  <c r="AT75" i="2" s="1"/>
  <c r="AB75" i="2"/>
  <c r="AS75" i="2" s="1"/>
  <c r="AA75" i="2"/>
  <c r="AR75" i="2" s="1"/>
  <c r="Z75" i="2"/>
  <c r="AQ75" i="2" s="1"/>
  <c r="Y75" i="2"/>
  <c r="X75" i="2"/>
  <c r="AO75" i="2" s="1"/>
  <c r="BH75" i="2" s="1"/>
  <c r="AM74" i="2"/>
  <c r="BD74" i="2" s="1"/>
  <c r="AL74" i="2"/>
  <c r="BC74" i="2" s="1"/>
  <c r="AJ74" i="2"/>
  <c r="BA74" i="2" s="1"/>
  <c r="AI74" i="2"/>
  <c r="AZ74" i="2" s="1"/>
  <c r="AH74" i="2"/>
  <c r="AY74" i="2" s="1"/>
  <c r="AF74" i="2"/>
  <c r="AW74" i="2" s="1"/>
  <c r="AE74" i="2"/>
  <c r="AV74" i="2" s="1"/>
  <c r="AD74" i="2"/>
  <c r="AU74" i="2" s="1"/>
  <c r="AC74" i="2"/>
  <c r="AT74" i="2" s="1"/>
  <c r="AA74" i="2"/>
  <c r="AR74" i="2" s="1"/>
  <c r="Y74" i="2"/>
  <c r="AM73" i="2"/>
  <c r="BD73" i="2" s="1"/>
  <c r="AL73" i="2"/>
  <c r="BC73" i="2" s="1"/>
  <c r="AK73" i="2"/>
  <c r="BB73" i="2" s="1"/>
  <c r="AJ73" i="2"/>
  <c r="BA73" i="2" s="1"/>
  <c r="AG73" i="2"/>
  <c r="AX73" i="2" s="1"/>
  <c r="AF73" i="2"/>
  <c r="AW73" i="2" s="1"/>
  <c r="AE73" i="2"/>
  <c r="AV73" i="2" s="1"/>
  <c r="AD73" i="2"/>
  <c r="AU73" i="2" s="1"/>
  <c r="AC73" i="2"/>
  <c r="AT73" i="2" s="1"/>
  <c r="AB73" i="2"/>
  <c r="AS73" i="2" s="1"/>
  <c r="AA73" i="2"/>
  <c r="AR73" i="2" s="1"/>
  <c r="Z73" i="2"/>
  <c r="AQ73" i="2" s="1"/>
  <c r="Y73" i="2"/>
  <c r="AM72" i="2"/>
  <c r="BD72" i="2" s="1"/>
  <c r="AL72" i="2"/>
  <c r="BC72" i="2" s="1"/>
  <c r="AK72" i="2"/>
  <c r="BB72" i="2" s="1"/>
  <c r="AJ72" i="2"/>
  <c r="BA72" i="2" s="1"/>
  <c r="AI72" i="2"/>
  <c r="AZ72" i="2" s="1"/>
  <c r="AH72" i="2"/>
  <c r="AY72" i="2" s="1"/>
  <c r="AG72" i="2"/>
  <c r="AX72" i="2" s="1"/>
  <c r="AF72" i="2"/>
  <c r="AW72" i="2" s="1"/>
  <c r="AE72" i="2"/>
  <c r="AV72" i="2" s="1"/>
  <c r="AD72" i="2"/>
  <c r="AU72" i="2" s="1"/>
  <c r="AC72" i="2"/>
  <c r="AT72" i="2" s="1"/>
  <c r="AB72" i="2"/>
  <c r="AA72" i="2"/>
  <c r="AR72" i="2" s="1"/>
  <c r="Z72" i="2"/>
  <c r="AQ72" i="2" s="1"/>
  <c r="Y72" i="2"/>
  <c r="X72" i="2"/>
  <c r="AM71" i="2"/>
  <c r="BD71" i="2" s="1"/>
  <c r="AL71" i="2"/>
  <c r="BC71" i="2" s="1"/>
  <c r="AJ71" i="2"/>
  <c r="BA71" i="2" s="1"/>
  <c r="AI71" i="2"/>
  <c r="AZ71" i="2" s="1"/>
  <c r="AH71" i="2"/>
  <c r="AY71" i="2" s="1"/>
  <c r="AF71" i="2"/>
  <c r="AW71" i="2" s="1"/>
  <c r="AE71" i="2"/>
  <c r="AV71" i="2" s="1"/>
  <c r="AD71" i="2"/>
  <c r="AU71" i="2" s="1"/>
  <c r="AC71" i="2"/>
  <c r="AT71" i="2" s="1"/>
  <c r="AA71" i="2"/>
  <c r="AR71" i="2" s="1"/>
  <c r="Y71" i="2"/>
  <c r="B71" i="2"/>
  <c r="B72" i="2" s="1"/>
  <c r="B73" i="2" s="1"/>
  <c r="B74" i="2" s="1"/>
  <c r="AM70" i="2"/>
  <c r="BD70" i="2" s="1"/>
  <c r="AL70" i="2"/>
  <c r="BC70" i="2" s="1"/>
  <c r="AI70" i="2"/>
  <c r="AZ70" i="2" s="1"/>
  <c r="AH70" i="2"/>
  <c r="AY70" i="2" s="1"/>
  <c r="AG70" i="2"/>
  <c r="AX70" i="2" s="1"/>
  <c r="AF70" i="2"/>
  <c r="AW70" i="2" s="1"/>
  <c r="AE70" i="2"/>
  <c r="AV70" i="2" s="1"/>
  <c r="AD70" i="2"/>
  <c r="AU70" i="2" s="1"/>
  <c r="AC70" i="2"/>
  <c r="AT70" i="2" s="1"/>
  <c r="AA70" i="2"/>
  <c r="AR70" i="2" s="1"/>
  <c r="Y70" i="2"/>
  <c r="AM69" i="2"/>
  <c r="BD69" i="2" s="1"/>
  <c r="AL69" i="2"/>
  <c r="BC69" i="2" s="1"/>
  <c r="AK69" i="2"/>
  <c r="BB69" i="2" s="1"/>
  <c r="AJ69" i="2"/>
  <c r="BA69" i="2" s="1"/>
  <c r="AI69" i="2"/>
  <c r="AZ69" i="2" s="1"/>
  <c r="AH69" i="2"/>
  <c r="AY69" i="2" s="1"/>
  <c r="AG69" i="2"/>
  <c r="AX69" i="2" s="1"/>
  <c r="AF69" i="2"/>
  <c r="AW69" i="2" s="1"/>
  <c r="AE69" i="2"/>
  <c r="AV69" i="2" s="1"/>
  <c r="AD69" i="2"/>
  <c r="AU69" i="2" s="1"/>
  <c r="AC69" i="2"/>
  <c r="AT69" i="2" s="1"/>
  <c r="AB69" i="2"/>
  <c r="AS69" i="2" s="1"/>
  <c r="AA69" i="2"/>
  <c r="AR69" i="2" s="1"/>
  <c r="Z69" i="2"/>
  <c r="AQ69" i="2" s="1"/>
  <c r="Y69" i="2"/>
  <c r="X69" i="2"/>
  <c r="AM68" i="2"/>
  <c r="BD68" i="2" s="1"/>
  <c r="AL68" i="2"/>
  <c r="BC68" i="2" s="1"/>
  <c r="AK68" i="2"/>
  <c r="BB68" i="2" s="1"/>
  <c r="AJ68" i="2"/>
  <c r="BA68" i="2" s="1"/>
  <c r="AI68" i="2"/>
  <c r="AZ68" i="2" s="1"/>
  <c r="AH68" i="2"/>
  <c r="AY68" i="2" s="1"/>
  <c r="AG68" i="2"/>
  <c r="AX68" i="2" s="1"/>
  <c r="AF68" i="2"/>
  <c r="AE68" i="2"/>
  <c r="AD68" i="2"/>
  <c r="AU68" i="2" s="1"/>
  <c r="AC68" i="2"/>
  <c r="AT68" i="2" s="1"/>
  <c r="AB68" i="2"/>
  <c r="AS68" i="2" s="1"/>
  <c r="AA68" i="2"/>
  <c r="AR68" i="2" s="1"/>
  <c r="Z68" i="2"/>
  <c r="Y68" i="2"/>
  <c r="X68" i="2"/>
  <c r="AO68" i="2" s="1"/>
  <c r="AM67" i="2"/>
  <c r="BD67" i="2" s="1"/>
  <c r="AL67" i="2"/>
  <c r="BC67" i="2" s="1"/>
  <c r="AK67" i="2"/>
  <c r="BB67" i="2" s="1"/>
  <c r="AJ67" i="2"/>
  <c r="BA67" i="2" s="1"/>
  <c r="AI67" i="2"/>
  <c r="AZ67" i="2" s="1"/>
  <c r="AH67" i="2"/>
  <c r="AY67" i="2" s="1"/>
  <c r="AG67" i="2"/>
  <c r="AX67" i="2" s="1"/>
  <c r="AF67" i="2"/>
  <c r="AW67" i="2" s="1"/>
  <c r="AE67" i="2"/>
  <c r="AV67" i="2" s="1"/>
  <c r="AD67" i="2"/>
  <c r="AU67" i="2" s="1"/>
  <c r="AC67" i="2"/>
  <c r="AT67" i="2" s="1"/>
  <c r="AB67" i="2"/>
  <c r="AS67" i="2" s="1"/>
  <c r="AA67" i="2"/>
  <c r="AR67" i="2" s="1"/>
  <c r="Z67" i="2"/>
  <c r="AQ67" i="2" s="1"/>
  <c r="Y67" i="2"/>
  <c r="X67" i="2"/>
  <c r="AM66" i="2"/>
  <c r="BD66" i="2" s="1"/>
  <c r="AL66" i="2"/>
  <c r="BC66" i="2" s="1"/>
  <c r="AK66" i="2"/>
  <c r="BB66" i="2" s="1"/>
  <c r="AJ66" i="2"/>
  <c r="BA66" i="2" s="1"/>
  <c r="AI66" i="2"/>
  <c r="AZ66" i="2" s="1"/>
  <c r="AH66" i="2"/>
  <c r="AY66" i="2" s="1"/>
  <c r="AG66" i="2"/>
  <c r="AX66" i="2" s="1"/>
  <c r="AF66" i="2"/>
  <c r="AW66" i="2" s="1"/>
  <c r="AE66" i="2"/>
  <c r="AV66" i="2" s="1"/>
  <c r="AD66" i="2"/>
  <c r="AU66" i="2" s="1"/>
  <c r="AC66" i="2"/>
  <c r="AT66" i="2" s="1"/>
  <c r="AB66" i="2"/>
  <c r="AS66" i="2" s="1"/>
  <c r="AA66" i="2"/>
  <c r="AR66" i="2" s="1"/>
  <c r="Z66" i="2"/>
  <c r="AQ66" i="2" s="1"/>
  <c r="Y66" i="2"/>
  <c r="X66" i="2"/>
  <c r="AO66" i="2" s="1"/>
  <c r="BH66" i="2" s="1"/>
  <c r="AM65" i="2"/>
  <c r="BD65" i="2" s="1"/>
  <c r="AL65" i="2"/>
  <c r="BC65" i="2" s="1"/>
  <c r="AK65" i="2"/>
  <c r="BB65" i="2" s="1"/>
  <c r="AJ65" i="2"/>
  <c r="BA65" i="2" s="1"/>
  <c r="AI65" i="2"/>
  <c r="AZ65" i="2" s="1"/>
  <c r="AH65" i="2"/>
  <c r="AY65" i="2" s="1"/>
  <c r="AG65" i="2"/>
  <c r="AX65" i="2" s="1"/>
  <c r="AF65" i="2"/>
  <c r="AW65" i="2" s="1"/>
  <c r="AE65" i="2"/>
  <c r="AV65" i="2" s="1"/>
  <c r="AD65" i="2"/>
  <c r="AU65" i="2" s="1"/>
  <c r="AC65" i="2"/>
  <c r="AT65" i="2" s="1"/>
  <c r="AB65" i="2"/>
  <c r="AS65" i="2" s="1"/>
  <c r="AA65" i="2"/>
  <c r="AR65" i="2" s="1"/>
  <c r="Z65" i="2"/>
  <c r="AQ65" i="2" s="1"/>
  <c r="Y65" i="2"/>
  <c r="X65" i="2"/>
  <c r="AM64" i="2"/>
  <c r="BD64" i="2" s="1"/>
  <c r="AL64" i="2"/>
  <c r="BC64" i="2" s="1"/>
  <c r="AK64" i="2"/>
  <c r="BB64" i="2" s="1"/>
  <c r="AJ64" i="2"/>
  <c r="BA64" i="2" s="1"/>
  <c r="AI64" i="2"/>
  <c r="AZ64" i="2" s="1"/>
  <c r="AH64" i="2"/>
  <c r="AY64" i="2" s="1"/>
  <c r="AG64" i="2"/>
  <c r="AX64" i="2" s="1"/>
  <c r="AF64" i="2"/>
  <c r="AW64" i="2" s="1"/>
  <c r="AE64" i="2"/>
  <c r="AV64" i="2" s="1"/>
  <c r="AD64" i="2"/>
  <c r="AU64" i="2" s="1"/>
  <c r="AC64" i="2"/>
  <c r="AT64" i="2" s="1"/>
  <c r="AB64" i="2"/>
  <c r="AA64" i="2"/>
  <c r="AR64" i="2" s="1"/>
  <c r="Z64" i="2"/>
  <c r="Y64" i="2"/>
  <c r="X64" i="2"/>
  <c r="AM63" i="2"/>
  <c r="BD63" i="2" s="1"/>
  <c r="AL63" i="2"/>
  <c r="BC63" i="2" s="1"/>
  <c r="AK63" i="2"/>
  <c r="BB63" i="2" s="1"/>
  <c r="AJ63" i="2"/>
  <c r="BA63" i="2" s="1"/>
  <c r="AI63" i="2"/>
  <c r="AZ63" i="2" s="1"/>
  <c r="AH63" i="2"/>
  <c r="AY63" i="2" s="1"/>
  <c r="AG63" i="2"/>
  <c r="AX63" i="2" s="1"/>
  <c r="AF63" i="2"/>
  <c r="AW63" i="2" s="1"/>
  <c r="AE63" i="2"/>
  <c r="AV63" i="2" s="1"/>
  <c r="AD63" i="2"/>
  <c r="AU63" i="2" s="1"/>
  <c r="AC63" i="2"/>
  <c r="AT63" i="2" s="1"/>
  <c r="AB63" i="2"/>
  <c r="AA63" i="2"/>
  <c r="AR63" i="2" s="1"/>
  <c r="Z63" i="2"/>
  <c r="Y63" i="2"/>
  <c r="X63" i="2"/>
  <c r="AM62" i="2"/>
  <c r="BD62" i="2" s="1"/>
  <c r="AL62" i="2"/>
  <c r="BC62" i="2" s="1"/>
  <c r="AK62" i="2"/>
  <c r="BB62" i="2" s="1"/>
  <c r="AJ62" i="2"/>
  <c r="BA62" i="2" s="1"/>
  <c r="AI62" i="2"/>
  <c r="AZ62" i="2" s="1"/>
  <c r="AH62" i="2"/>
  <c r="AY62" i="2" s="1"/>
  <c r="AG62" i="2"/>
  <c r="AX62" i="2" s="1"/>
  <c r="AF62" i="2"/>
  <c r="AW62" i="2" s="1"/>
  <c r="AE62" i="2"/>
  <c r="AV62" i="2" s="1"/>
  <c r="AD62" i="2"/>
  <c r="AU62" i="2" s="1"/>
  <c r="AC62" i="2"/>
  <c r="AT62" i="2" s="1"/>
  <c r="AB62" i="2"/>
  <c r="AA62" i="2"/>
  <c r="AR62" i="2" s="1"/>
  <c r="Z62" i="2"/>
  <c r="Y62" i="2"/>
  <c r="X62" i="2"/>
  <c r="AM61" i="2"/>
  <c r="BD61" i="2" s="1"/>
  <c r="AL61" i="2"/>
  <c r="BC61" i="2" s="1"/>
  <c r="AK61" i="2"/>
  <c r="BB61" i="2" s="1"/>
  <c r="AJ61" i="2"/>
  <c r="BA61" i="2" s="1"/>
  <c r="AI61" i="2"/>
  <c r="AZ61" i="2" s="1"/>
  <c r="AH61" i="2"/>
  <c r="AY61" i="2" s="1"/>
  <c r="AG61" i="2"/>
  <c r="AX61" i="2" s="1"/>
  <c r="AF61" i="2"/>
  <c r="AW61" i="2" s="1"/>
  <c r="AE61" i="2"/>
  <c r="AV61" i="2" s="1"/>
  <c r="AD61" i="2"/>
  <c r="AU61" i="2" s="1"/>
  <c r="AC61" i="2"/>
  <c r="AT61" i="2" s="1"/>
  <c r="AB61" i="2"/>
  <c r="AA61" i="2"/>
  <c r="AR61" i="2" s="1"/>
  <c r="Z61" i="2"/>
  <c r="Y61" i="2"/>
  <c r="X61" i="2"/>
  <c r="AM60" i="2"/>
  <c r="BD60" i="2" s="1"/>
  <c r="AL60" i="2"/>
  <c r="BC60" i="2" s="1"/>
  <c r="AK60" i="2"/>
  <c r="BB60" i="2" s="1"/>
  <c r="AJ60" i="2"/>
  <c r="BA60" i="2" s="1"/>
  <c r="AI60" i="2"/>
  <c r="AZ60" i="2" s="1"/>
  <c r="AH60" i="2"/>
  <c r="AY60" i="2" s="1"/>
  <c r="AG60" i="2"/>
  <c r="AX60" i="2" s="1"/>
  <c r="AF60" i="2"/>
  <c r="AW60" i="2" s="1"/>
  <c r="AE60" i="2"/>
  <c r="AV60" i="2" s="1"/>
  <c r="AD60" i="2"/>
  <c r="AU60" i="2" s="1"/>
  <c r="AC60" i="2"/>
  <c r="AT60" i="2" s="1"/>
  <c r="AB60" i="2"/>
  <c r="AA60" i="2"/>
  <c r="AR60" i="2" s="1"/>
  <c r="Z60" i="2"/>
  <c r="Y60" i="2"/>
  <c r="X60" i="2"/>
  <c r="AM59" i="2"/>
  <c r="BD59" i="2" s="1"/>
  <c r="AL59" i="2"/>
  <c r="BC59" i="2" s="1"/>
  <c r="AK59" i="2"/>
  <c r="BB59" i="2" s="1"/>
  <c r="AJ59" i="2"/>
  <c r="BA59" i="2" s="1"/>
  <c r="AI59" i="2"/>
  <c r="AZ59" i="2" s="1"/>
  <c r="AH59" i="2"/>
  <c r="AY59" i="2" s="1"/>
  <c r="AG59" i="2"/>
  <c r="AX59" i="2" s="1"/>
  <c r="AF59" i="2"/>
  <c r="AW59" i="2" s="1"/>
  <c r="AE59" i="2"/>
  <c r="AV59" i="2" s="1"/>
  <c r="AD59" i="2"/>
  <c r="AU59" i="2" s="1"/>
  <c r="AC59" i="2"/>
  <c r="AT59" i="2" s="1"/>
  <c r="AB59" i="2"/>
  <c r="AA59" i="2"/>
  <c r="AR59" i="2" s="1"/>
  <c r="Z59" i="2"/>
  <c r="Y59" i="2"/>
  <c r="X59" i="2"/>
  <c r="AM57" i="2"/>
  <c r="BD57" i="2" s="1"/>
  <c r="AL57" i="2"/>
  <c r="BC57" i="2" s="1"/>
  <c r="AK57" i="2"/>
  <c r="BB57" i="2" s="1"/>
  <c r="AJ57" i="2"/>
  <c r="BA57" i="2" s="1"/>
  <c r="AI57" i="2"/>
  <c r="AZ57" i="2" s="1"/>
  <c r="AH57" i="2"/>
  <c r="AY57" i="2" s="1"/>
  <c r="AG57" i="2"/>
  <c r="AX57" i="2" s="1"/>
  <c r="AF57" i="2"/>
  <c r="AW57" i="2" s="1"/>
  <c r="AE57" i="2"/>
  <c r="AV57" i="2" s="1"/>
  <c r="AD57" i="2"/>
  <c r="AU57" i="2" s="1"/>
  <c r="AC57" i="2"/>
  <c r="AT57" i="2" s="1"/>
  <c r="AB57" i="2"/>
  <c r="AA57" i="2"/>
  <c r="AR57" i="2" s="1"/>
  <c r="Z57" i="2"/>
  <c r="Y57" i="2"/>
  <c r="X57" i="2"/>
  <c r="AM56" i="2"/>
  <c r="BD56" i="2" s="1"/>
  <c r="AL56" i="2"/>
  <c r="BC56" i="2" s="1"/>
  <c r="AK56" i="2"/>
  <c r="BB56" i="2" s="1"/>
  <c r="AJ56" i="2"/>
  <c r="BA56" i="2" s="1"/>
  <c r="AI56" i="2"/>
  <c r="AZ56" i="2" s="1"/>
  <c r="AH56" i="2"/>
  <c r="AY56" i="2" s="1"/>
  <c r="AG56" i="2"/>
  <c r="AX56" i="2" s="1"/>
  <c r="AF56" i="2"/>
  <c r="AW56" i="2" s="1"/>
  <c r="AE56" i="2"/>
  <c r="AV56" i="2" s="1"/>
  <c r="AD56" i="2"/>
  <c r="AU56" i="2" s="1"/>
  <c r="AC56" i="2"/>
  <c r="AT56" i="2" s="1"/>
  <c r="AB56" i="2"/>
  <c r="AA56" i="2"/>
  <c r="AR56" i="2" s="1"/>
  <c r="Z56" i="2"/>
  <c r="Y56" i="2"/>
  <c r="X56" i="2"/>
  <c r="AM58" i="2"/>
  <c r="BD58" i="2" s="1"/>
  <c r="AL58" i="2"/>
  <c r="BC58" i="2" s="1"/>
  <c r="AK58" i="2"/>
  <c r="BB58" i="2" s="1"/>
  <c r="AJ58" i="2"/>
  <c r="BA58" i="2" s="1"/>
  <c r="AI58" i="2"/>
  <c r="AZ58" i="2" s="1"/>
  <c r="AH58" i="2"/>
  <c r="AY58" i="2" s="1"/>
  <c r="AG58" i="2"/>
  <c r="AX58" i="2" s="1"/>
  <c r="AF58" i="2"/>
  <c r="AW58" i="2" s="1"/>
  <c r="AE58" i="2"/>
  <c r="AV58" i="2" s="1"/>
  <c r="AD58" i="2"/>
  <c r="AU58" i="2" s="1"/>
  <c r="AC58" i="2"/>
  <c r="AT58" i="2" s="1"/>
  <c r="AB58" i="2"/>
  <c r="AA58" i="2"/>
  <c r="AR58" i="2" s="1"/>
  <c r="Z58" i="2"/>
  <c r="Y58" i="2"/>
  <c r="X58" i="2"/>
  <c r="AM55" i="2"/>
  <c r="BD55" i="2" s="1"/>
  <c r="AL55" i="2"/>
  <c r="BC55" i="2" s="1"/>
  <c r="AK55" i="2"/>
  <c r="BB55" i="2" s="1"/>
  <c r="AJ55" i="2"/>
  <c r="BA55" i="2" s="1"/>
  <c r="AI55" i="2"/>
  <c r="AZ55" i="2" s="1"/>
  <c r="AH55" i="2"/>
  <c r="AY55" i="2" s="1"/>
  <c r="AG55" i="2"/>
  <c r="AX55" i="2" s="1"/>
  <c r="AF55" i="2"/>
  <c r="AW55" i="2" s="1"/>
  <c r="AE55" i="2"/>
  <c r="AV55" i="2" s="1"/>
  <c r="AD55" i="2"/>
  <c r="AU55" i="2" s="1"/>
  <c r="AC55" i="2"/>
  <c r="AT55" i="2" s="1"/>
  <c r="AB55" i="2"/>
  <c r="AA55" i="2"/>
  <c r="AR55" i="2" s="1"/>
  <c r="Z55" i="2"/>
  <c r="Y55" i="2"/>
  <c r="X55" i="2"/>
  <c r="AM54" i="2"/>
  <c r="BD54" i="2" s="1"/>
  <c r="AL54" i="2"/>
  <c r="BC54" i="2" s="1"/>
  <c r="AK54" i="2"/>
  <c r="BB54" i="2" s="1"/>
  <c r="AJ54" i="2"/>
  <c r="BA54" i="2" s="1"/>
  <c r="AI54" i="2"/>
  <c r="AZ54" i="2" s="1"/>
  <c r="AH54" i="2"/>
  <c r="AY54" i="2" s="1"/>
  <c r="AG54" i="2"/>
  <c r="AX54" i="2" s="1"/>
  <c r="AF54" i="2"/>
  <c r="AW54" i="2" s="1"/>
  <c r="AE54" i="2"/>
  <c r="AV54" i="2" s="1"/>
  <c r="AD54" i="2"/>
  <c r="AU54" i="2" s="1"/>
  <c r="AC54" i="2"/>
  <c r="AT54" i="2" s="1"/>
  <c r="AB54" i="2"/>
  <c r="AA54" i="2"/>
  <c r="AR54" i="2" s="1"/>
  <c r="Z54" i="2"/>
  <c r="Y54" i="2"/>
  <c r="X54" i="2"/>
  <c r="AM53" i="2"/>
  <c r="BD53" i="2" s="1"/>
  <c r="AL53" i="2"/>
  <c r="BC53" i="2" s="1"/>
  <c r="AK53" i="2"/>
  <c r="BB53" i="2" s="1"/>
  <c r="AJ53" i="2"/>
  <c r="BA53" i="2" s="1"/>
  <c r="AI53" i="2"/>
  <c r="AZ53" i="2" s="1"/>
  <c r="AH53" i="2"/>
  <c r="AY53" i="2" s="1"/>
  <c r="AG53" i="2"/>
  <c r="AX53" i="2" s="1"/>
  <c r="AF53" i="2"/>
  <c r="AW53" i="2" s="1"/>
  <c r="AE53" i="2"/>
  <c r="AV53" i="2" s="1"/>
  <c r="AD53" i="2"/>
  <c r="AU53" i="2" s="1"/>
  <c r="AC53" i="2"/>
  <c r="AT53" i="2" s="1"/>
  <c r="AB53" i="2"/>
  <c r="AA53" i="2"/>
  <c r="AR53" i="2" s="1"/>
  <c r="Z53" i="2"/>
  <c r="Y53" i="2"/>
  <c r="X53" i="2"/>
  <c r="AM52" i="2"/>
  <c r="BD52" i="2" s="1"/>
  <c r="AL52" i="2"/>
  <c r="BC52" i="2" s="1"/>
  <c r="AK52" i="2"/>
  <c r="BB52" i="2" s="1"/>
  <c r="AJ52" i="2"/>
  <c r="BA52" i="2" s="1"/>
  <c r="AI52" i="2"/>
  <c r="AZ52" i="2" s="1"/>
  <c r="AH52" i="2"/>
  <c r="AY52" i="2" s="1"/>
  <c r="AG52" i="2"/>
  <c r="AX52" i="2" s="1"/>
  <c r="AF52" i="2"/>
  <c r="AW52" i="2" s="1"/>
  <c r="AE52" i="2"/>
  <c r="AV52" i="2" s="1"/>
  <c r="AD52" i="2"/>
  <c r="AU52" i="2" s="1"/>
  <c r="AC52" i="2"/>
  <c r="AT52" i="2" s="1"/>
  <c r="AB52" i="2"/>
  <c r="AS52" i="2" s="1"/>
  <c r="AA52" i="2"/>
  <c r="AR52" i="2" s="1"/>
  <c r="Z52" i="2"/>
  <c r="AQ52" i="2" s="1"/>
  <c r="Y52" i="2"/>
  <c r="X52" i="2"/>
  <c r="AM51" i="2"/>
  <c r="BD51" i="2" s="1"/>
  <c r="AL51" i="2"/>
  <c r="BC51" i="2" s="1"/>
  <c r="AK51" i="2"/>
  <c r="BB51" i="2" s="1"/>
  <c r="AJ51" i="2"/>
  <c r="BA51" i="2" s="1"/>
  <c r="AI51" i="2"/>
  <c r="AZ51" i="2" s="1"/>
  <c r="AH51" i="2"/>
  <c r="AY51" i="2" s="1"/>
  <c r="AG51" i="2"/>
  <c r="AX51" i="2" s="1"/>
  <c r="AF51" i="2"/>
  <c r="AW51" i="2" s="1"/>
  <c r="AE51" i="2"/>
  <c r="AV51" i="2" s="1"/>
  <c r="AD51" i="2"/>
  <c r="AU51" i="2" s="1"/>
  <c r="AC51" i="2"/>
  <c r="AT51" i="2" s="1"/>
  <c r="AB51" i="2"/>
  <c r="AA51" i="2"/>
  <c r="AR51" i="2" s="1"/>
  <c r="Z51" i="2"/>
  <c r="Y51" i="2"/>
  <c r="AM50" i="2"/>
  <c r="BD50" i="2" s="1"/>
  <c r="AL50" i="2"/>
  <c r="BC50" i="2" s="1"/>
  <c r="AK50" i="2"/>
  <c r="BB50" i="2" s="1"/>
  <c r="AJ50" i="2"/>
  <c r="BA50" i="2" s="1"/>
  <c r="AG50" i="2"/>
  <c r="AX50" i="2" s="1"/>
  <c r="AF50" i="2"/>
  <c r="AW50" i="2" s="1"/>
  <c r="AE50" i="2"/>
  <c r="AV50" i="2" s="1"/>
  <c r="AD50" i="2"/>
  <c r="AU50" i="2" s="1"/>
  <c r="AC50" i="2"/>
  <c r="AT50" i="2" s="1"/>
  <c r="AB50" i="2"/>
  <c r="AS50" i="2" s="1"/>
  <c r="AA50" i="2"/>
  <c r="AR50" i="2" s="1"/>
  <c r="Z50" i="2"/>
  <c r="AQ50" i="2" s="1"/>
  <c r="Y50" i="2"/>
  <c r="AM49" i="2"/>
  <c r="BD49" i="2" s="1"/>
  <c r="AL49" i="2"/>
  <c r="BC49" i="2" s="1"/>
  <c r="AK49" i="2"/>
  <c r="BB49" i="2" s="1"/>
  <c r="AJ49" i="2"/>
  <c r="BA49" i="2" s="1"/>
  <c r="AI49" i="2"/>
  <c r="AZ49" i="2" s="1"/>
  <c r="AH49" i="2"/>
  <c r="AY49" i="2" s="1"/>
  <c r="AG49" i="2"/>
  <c r="AX49" i="2" s="1"/>
  <c r="AF49" i="2"/>
  <c r="AW49" i="2" s="1"/>
  <c r="AE49" i="2"/>
  <c r="AV49" i="2" s="1"/>
  <c r="AD49" i="2"/>
  <c r="AU49" i="2" s="1"/>
  <c r="AC49" i="2"/>
  <c r="AT49" i="2" s="1"/>
  <c r="AB49" i="2"/>
  <c r="AS49" i="2" s="1"/>
  <c r="AA49" i="2"/>
  <c r="AR49" i="2" s="1"/>
  <c r="Z49" i="2"/>
  <c r="AQ49" i="2" s="1"/>
  <c r="Y49" i="2"/>
  <c r="X49" i="2"/>
  <c r="AM48" i="2"/>
  <c r="BD48" i="2" s="1"/>
  <c r="AL48" i="2"/>
  <c r="BC48" i="2" s="1"/>
  <c r="AJ48" i="2"/>
  <c r="BA48" i="2" s="1"/>
  <c r="AI48" i="2"/>
  <c r="AZ48" i="2" s="1"/>
  <c r="AH48" i="2"/>
  <c r="AY48" i="2" s="1"/>
  <c r="AF48" i="2"/>
  <c r="AW48" i="2" s="1"/>
  <c r="AE48" i="2"/>
  <c r="AV48" i="2" s="1"/>
  <c r="AD48" i="2"/>
  <c r="AU48" i="2" s="1"/>
  <c r="AC48" i="2"/>
  <c r="AT48" i="2" s="1"/>
  <c r="AA48" i="2"/>
  <c r="AR48" i="2" s="1"/>
  <c r="Y48" i="2"/>
  <c r="AM47" i="2"/>
  <c r="BD47" i="2" s="1"/>
  <c r="AL47" i="2"/>
  <c r="BC47" i="2" s="1"/>
  <c r="AI47" i="2"/>
  <c r="AZ47" i="2" s="1"/>
  <c r="AH47" i="2"/>
  <c r="AY47" i="2" s="1"/>
  <c r="AG47" i="2"/>
  <c r="AX47" i="2" s="1"/>
  <c r="AF47" i="2"/>
  <c r="AW47" i="2" s="1"/>
  <c r="AE47" i="2"/>
  <c r="AV47" i="2" s="1"/>
  <c r="AD47" i="2"/>
  <c r="AU47" i="2" s="1"/>
  <c r="AC47" i="2"/>
  <c r="AT47" i="2" s="1"/>
  <c r="AB47" i="2"/>
  <c r="AA47" i="2"/>
  <c r="AR47" i="2" s="1"/>
  <c r="Z47" i="2"/>
  <c r="Y47" i="2"/>
  <c r="AM46" i="2"/>
  <c r="BD46" i="2" s="1"/>
  <c r="AL46" i="2"/>
  <c r="BC46" i="2" s="1"/>
  <c r="AK46" i="2"/>
  <c r="BB46" i="2" s="1"/>
  <c r="AJ46" i="2"/>
  <c r="BA46" i="2" s="1"/>
  <c r="AI46" i="2"/>
  <c r="AZ46" i="2" s="1"/>
  <c r="AH46" i="2"/>
  <c r="AY46" i="2" s="1"/>
  <c r="AG46" i="2"/>
  <c r="AX46" i="2" s="1"/>
  <c r="AF46" i="2"/>
  <c r="AW46" i="2" s="1"/>
  <c r="AE46" i="2"/>
  <c r="AV46" i="2" s="1"/>
  <c r="AD46" i="2"/>
  <c r="AU46" i="2" s="1"/>
  <c r="AC46" i="2"/>
  <c r="AT46" i="2" s="1"/>
  <c r="AB46" i="2"/>
  <c r="AS46" i="2" s="1"/>
  <c r="AA46" i="2"/>
  <c r="AR46" i="2" s="1"/>
  <c r="Z46" i="2"/>
  <c r="AQ46" i="2" s="1"/>
  <c r="Y46" i="2"/>
  <c r="X46" i="2"/>
  <c r="AM45" i="2"/>
  <c r="BD45" i="2" s="1"/>
  <c r="AL45" i="2"/>
  <c r="BC45" i="2" s="1"/>
  <c r="AK45" i="2"/>
  <c r="BB45" i="2" s="1"/>
  <c r="AJ45" i="2"/>
  <c r="BA45" i="2" s="1"/>
  <c r="AI45" i="2"/>
  <c r="AZ45" i="2" s="1"/>
  <c r="AH45" i="2"/>
  <c r="AY45" i="2" s="1"/>
  <c r="AG45" i="2"/>
  <c r="AX45" i="2" s="1"/>
  <c r="AF45" i="2"/>
  <c r="AW45" i="2" s="1"/>
  <c r="AE45" i="2"/>
  <c r="AV45" i="2" s="1"/>
  <c r="AD45" i="2"/>
  <c r="AU45" i="2" s="1"/>
  <c r="AC45" i="2"/>
  <c r="AB45" i="2"/>
  <c r="AA45" i="2"/>
  <c r="AR45" i="2" s="1"/>
  <c r="Z45" i="2"/>
  <c r="Y45" i="2"/>
  <c r="X45" i="2"/>
  <c r="D45" i="2"/>
  <c r="AM44" i="2"/>
  <c r="BD44" i="2" s="1"/>
  <c r="AL44" i="2"/>
  <c r="BC44" i="2" s="1"/>
  <c r="AK44" i="2"/>
  <c r="BB44" i="2" s="1"/>
  <c r="AJ44" i="2"/>
  <c r="BA44" i="2" s="1"/>
  <c r="AI44" i="2"/>
  <c r="AZ44" i="2" s="1"/>
  <c r="AH44" i="2"/>
  <c r="AY44" i="2" s="1"/>
  <c r="AG44" i="2"/>
  <c r="AX44" i="2" s="1"/>
  <c r="AF44" i="2"/>
  <c r="AW44" i="2" s="1"/>
  <c r="AE44" i="2"/>
  <c r="AV44" i="2" s="1"/>
  <c r="AD44" i="2"/>
  <c r="AU44" i="2" s="1"/>
  <c r="AC44" i="2"/>
  <c r="AT44" i="2" s="1"/>
  <c r="AB44" i="2"/>
  <c r="AA44" i="2"/>
  <c r="AR44" i="2" s="1"/>
  <c r="Z44" i="2"/>
  <c r="Y44" i="2"/>
  <c r="X44" i="2"/>
  <c r="D44" i="2"/>
  <c r="AM43" i="2"/>
  <c r="BD43" i="2" s="1"/>
  <c r="AL43" i="2"/>
  <c r="BC43" i="2" s="1"/>
  <c r="AK43" i="2"/>
  <c r="BB43" i="2" s="1"/>
  <c r="AJ43" i="2"/>
  <c r="BA43" i="2" s="1"/>
  <c r="AI43" i="2"/>
  <c r="AZ43" i="2" s="1"/>
  <c r="AH43" i="2"/>
  <c r="AY43" i="2" s="1"/>
  <c r="AG43" i="2"/>
  <c r="AX43" i="2" s="1"/>
  <c r="AF43" i="2"/>
  <c r="AW43" i="2" s="1"/>
  <c r="AE43" i="2"/>
  <c r="AV43" i="2" s="1"/>
  <c r="AD43" i="2"/>
  <c r="AU43" i="2" s="1"/>
  <c r="AC43" i="2"/>
  <c r="AB43" i="2"/>
  <c r="AS43" i="2" s="1"/>
  <c r="AA43" i="2"/>
  <c r="AR43" i="2" s="1"/>
  <c r="Z43" i="2"/>
  <c r="AQ43" i="2" s="1"/>
  <c r="Y43" i="2"/>
  <c r="X43" i="2"/>
  <c r="D43" i="2"/>
  <c r="AM42" i="2"/>
  <c r="BD42" i="2" s="1"/>
  <c r="AL42" i="2"/>
  <c r="BC42" i="2" s="1"/>
  <c r="AK42" i="2"/>
  <c r="BB42" i="2" s="1"/>
  <c r="AJ42" i="2"/>
  <c r="BA42" i="2" s="1"/>
  <c r="AI42" i="2"/>
  <c r="AZ42" i="2" s="1"/>
  <c r="AH42" i="2"/>
  <c r="AY42" i="2" s="1"/>
  <c r="AG42" i="2"/>
  <c r="AX42" i="2" s="1"/>
  <c r="AF42" i="2"/>
  <c r="AW42" i="2" s="1"/>
  <c r="AE42" i="2"/>
  <c r="AV42" i="2" s="1"/>
  <c r="AD42" i="2"/>
  <c r="AU42" i="2" s="1"/>
  <c r="AC42" i="2"/>
  <c r="AT42" i="2" s="1"/>
  <c r="AB42" i="2"/>
  <c r="AS42" i="2" s="1"/>
  <c r="AA42" i="2"/>
  <c r="AR42" i="2" s="1"/>
  <c r="Z42" i="2"/>
  <c r="AQ42" i="2" s="1"/>
  <c r="Y42" i="2"/>
  <c r="X42" i="2"/>
  <c r="D42" i="2"/>
  <c r="B42" i="2"/>
  <c r="B43" i="2" s="1"/>
  <c r="B44" i="2" s="1"/>
  <c r="B45" i="2" s="1"/>
  <c r="B47" i="2" s="1"/>
  <c r="B48" i="2" s="1"/>
  <c r="B49" i="2" s="1"/>
  <c r="B50" i="2" s="1"/>
  <c r="AM41" i="2"/>
  <c r="BD41" i="2" s="1"/>
  <c r="AL41" i="2"/>
  <c r="BC41" i="2" s="1"/>
  <c r="AK41" i="2"/>
  <c r="BB41" i="2" s="1"/>
  <c r="AJ41" i="2"/>
  <c r="BA41" i="2" s="1"/>
  <c r="AI41" i="2"/>
  <c r="AZ41" i="2" s="1"/>
  <c r="AH41" i="2"/>
  <c r="AY41" i="2" s="1"/>
  <c r="AG41" i="2"/>
  <c r="AX41" i="2" s="1"/>
  <c r="AF41" i="2"/>
  <c r="AW41" i="2" s="1"/>
  <c r="AE41" i="2"/>
  <c r="AV41" i="2" s="1"/>
  <c r="AD41" i="2"/>
  <c r="AU41" i="2" s="1"/>
  <c r="AC41" i="2"/>
  <c r="AT41" i="2" s="1"/>
  <c r="AB41" i="2"/>
  <c r="AS41" i="2" s="1"/>
  <c r="AA41" i="2"/>
  <c r="AR41" i="2" s="1"/>
  <c r="Z41" i="2"/>
  <c r="AQ41" i="2" s="1"/>
  <c r="Y41" i="2"/>
  <c r="X41" i="2"/>
  <c r="AM40" i="2"/>
  <c r="BD40" i="2" s="1"/>
  <c r="AL40" i="2"/>
  <c r="BC40" i="2" s="1"/>
  <c r="AK40" i="2"/>
  <c r="BB40" i="2" s="1"/>
  <c r="AJ40" i="2"/>
  <c r="BA40" i="2" s="1"/>
  <c r="AI40" i="2"/>
  <c r="AZ40" i="2" s="1"/>
  <c r="AH40" i="2"/>
  <c r="AY40" i="2" s="1"/>
  <c r="AG40" i="2"/>
  <c r="AX40" i="2" s="1"/>
  <c r="AF40" i="2"/>
  <c r="AE40" i="2"/>
  <c r="AD40" i="2"/>
  <c r="AU40" i="2" s="1"/>
  <c r="AC40" i="2"/>
  <c r="AB40" i="2"/>
  <c r="AA40" i="2"/>
  <c r="Z40" i="2"/>
  <c r="AQ40" i="2" s="1"/>
  <c r="Y40" i="2"/>
  <c r="X40" i="2"/>
  <c r="AO40" i="2" s="1"/>
  <c r="AM39" i="2"/>
  <c r="BD39" i="2" s="1"/>
  <c r="AL39" i="2"/>
  <c r="BC39" i="2" s="1"/>
  <c r="AK39" i="2"/>
  <c r="BB39" i="2" s="1"/>
  <c r="AJ39" i="2"/>
  <c r="BA39" i="2" s="1"/>
  <c r="AG39" i="2"/>
  <c r="AX39" i="2" s="1"/>
  <c r="AF39" i="2"/>
  <c r="AW39" i="2" s="1"/>
  <c r="AE39" i="2"/>
  <c r="AV39" i="2" s="1"/>
  <c r="AD39" i="2"/>
  <c r="AU39" i="2" s="1"/>
  <c r="AC39" i="2"/>
  <c r="AT39" i="2" s="1"/>
  <c r="AB39" i="2"/>
  <c r="AS39" i="2" s="1"/>
  <c r="AA39" i="2"/>
  <c r="AR39" i="2" s="1"/>
  <c r="Z39" i="2"/>
  <c r="AQ39" i="2" s="1"/>
  <c r="Y39" i="2"/>
  <c r="D39" i="2"/>
  <c r="AM38" i="2"/>
  <c r="BD38" i="2" s="1"/>
  <c r="AL38" i="2"/>
  <c r="BC38" i="2" s="1"/>
  <c r="AJ38" i="2"/>
  <c r="BA38" i="2" s="1"/>
  <c r="AI38" i="2"/>
  <c r="AZ38" i="2" s="1"/>
  <c r="AH38" i="2"/>
  <c r="AY38" i="2" s="1"/>
  <c r="AG38" i="2"/>
  <c r="AX38" i="2" s="1"/>
  <c r="AF38" i="2"/>
  <c r="AW38" i="2" s="1"/>
  <c r="AE38" i="2"/>
  <c r="AV38" i="2" s="1"/>
  <c r="AD38" i="2"/>
  <c r="AU38" i="2" s="1"/>
  <c r="AC38" i="2"/>
  <c r="AT38" i="2" s="1"/>
  <c r="AB38" i="2"/>
  <c r="AA38" i="2"/>
  <c r="Z38" i="2"/>
  <c r="Y38" i="2"/>
  <c r="D38" i="2"/>
  <c r="AM37" i="2"/>
  <c r="BD37" i="2" s="1"/>
  <c r="AL37" i="2"/>
  <c r="BC37" i="2" s="1"/>
  <c r="AK37" i="2"/>
  <c r="BB37" i="2" s="1"/>
  <c r="AJ37" i="2"/>
  <c r="BA37" i="2" s="1"/>
  <c r="AI37" i="2"/>
  <c r="AZ37" i="2" s="1"/>
  <c r="AH37" i="2"/>
  <c r="AY37" i="2" s="1"/>
  <c r="AG37" i="2"/>
  <c r="AX37" i="2" s="1"/>
  <c r="AF37" i="2"/>
  <c r="AE37" i="2"/>
  <c r="AV37" i="2" s="1"/>
  <c r="AD37" i="2"/>
  <c r="AU37" i="2" s="1"/>
  <c r="AC37" i="2"/>
  <c r="AT37" i="2" s="1"/>
  <c r="AB37" i="2"/>
  <c r="AA37" i="2"/>
  <c r="Z37" i="2"/>
  <c r="Y37" i="2"/>
  <c r="D37" i="2"/>
  <c r="AM36" i="2"/>
  <c r="BD36" i="2" s="1"/>
  <c r="AL36" i="2"/>
  <c r="BC36" i="2" s="1"/>
  <c r="AK36" i="2"/>
  <c r="BB36" i="2" s="1"/>
  <c r="AJ36" i="2"/>
  <c r="BA36" i="2" s="1"/>
  <c r="AI36" i="2"/>
  <c r="AZ36" i="2" s="1"/>
  <c r="AH36" i="2"/>
  <c r="AY36" i="2" s="1"/>
  <c r="AG36" i="2"/>
  <c r="AX36" i="2" s="1"/>
  <c r="AF36" i="2"/>
  <c r="AW36" i="2" s="1"/>
  <c r="AE36" i="2"/>
  <c r="AV36" i="2" s="1"/>
  <c r="AD36" i="2"/>
  <c r="AU36" i="2" s="1"/>
  <c r="AC36" i="2"/>
  <c r="AT36" i="2" s="1"/>
  <c r="AB36" i="2"/>
  <c r="AS36" i="2" s="1"/>
  <c r="AA36" i="2"/>
  <c r="AR36" i="2" s="1"/>
  <c r="Z36" i="2"/>
  <c r="AQ36" i="2" s="1"/>
  <c r="Y36" i="2"/>
  <c r="X36" i="2"/>
  <c r="AM35" i="2"/>
  <c r="BD35" i="2" s="1"/>
  <c r="AL35" i="2"/>
  <c r="BC35" i="2" s="1"/>
  <c r="AK35" i="2"/>
  <c r="BB35" i="2" s="1"/>
  <c r="AJ35" i="2"/>
  <c r="BA35" i="2" s="1"/>
  <c r="AI35" i="2"/>
  <c r="AZ35" i="2" s="1"/>
  <c r="AH35" i="2"/>
  <c r="AY35" i="2" s="1"/>
  <c r="AG35" i="2"/>
  <c r="AX35" i="2" s="1"/>
  <c r="AF35" i="2"/>
  <c r="AW35" i="2" s="1"/>
  <c r="AE35" i="2"/>
  <c r="AV35" i="2" s="1"/>
  <c r="AD35" i="2"/>
  <c r="AU35" i="2" s="1"/>
  <c r="AC35" i="2"/>
  <c r="AB35" i="2"/>
  <c r="AS35" i="2" s="1"/>
  <c r="AA35" i="2"/>
  <c r="AR35" i="2" s="1"/>
  <c r="Z35" i="2"/>
  <c r="AQ35" i="2" s="1"/>
  <c r="Y35" i="2"/>
  <c r="X35" i="2"/>
  <c r="D35" i="2"/>
  <c r="AM34" i="2"/>
  <c r="BD34" i="2" s="1"/>
  <c r="AL34" i="2"/>
  <c r="BC34" i="2" s="1"/>
  <c r="AK34" i="2"/>
  <c r="BB34" i="2" s="1"/>
  <c r="AJ34" i="2"/>
  <c r="BA34" i="2" s="1"/>
  <c r="AI34" i="2"/>
  <c r="AZ34" i="2" s="1"/>
  <c r="AH34" i="2"/>
  <c r="AY34" i="2" s="1"/>
  <c r="AG34" i="2"/>
  <c r="AX34" i="2" s="1"/>
  <c r="AF34" i="2"/>
  <c r="AW34" i="2" s="1"/>
  <c r="AE34" i="2"/>
  <c r="AV34" i="2" s="1"/>
  <c r="AD34" i="2"/>
  <c r="AU34" i="2" s="1"/>
  <c r="AC34" i="2"/>
  <c r="AB34" i="2"/>
  <c r="AA34" i="2"/>
  <c r="AR34" i="2" s="1"/>
  <c r="Z34" i="2"/>
  <c r="Y34" i="2"/>
  <c r="X34" i="2"/>
  <c r="D34" i="2"/>
  <c r="AM33" i="2"/>
  <c r="BD33" i="2" s="1"/>
  <c r="AL33" i="2"/>
  <c r="BC33" i="2" s="1"/>
  <c r="AK33" i="2"/>
  <c r="BB33" i="2" s="1"/>
  <c r="AJ33" i="2"/>
  <c r="BA33" i="2" s="1"/>
  <c r="AI33" i="2"/>
  <c r="AZ33" i="2" s="1"/>
  <c r="AH33" i="2"/>
  <c r="AY33" i="2" s="1"/>
  <c r="AG33" i="2"/>
  <c r="AX33" i="2" s="1"/>
  <c r="AF33" i="2"/>
  <c r="AW33" i="2" s="1"/>
  <c r="AE33" i="2"/>
  <c r="AV33" i="2" s="1"/>
  <c r="AD33" i="2"/>
  <c r="AU33" i="2" s="1"/>
  <c r="AC33" i="2"/>
  <c r="AT33" i="2" s="1"/>
  <c r="AB33" i="2"/>
  <c r="AA33" i="2"/>
  <c r="AR33" i="2" s="1"/>
  <c r="Z33" i="2"/>
  <c r="Y33" i="2"/>
  <c r="D33" i="2"/>
  <c r="AM32" i="2"/>
  <c r="BD32" i="2" s="1"/>
  <c r="AL32" i="2"/>
  <c r="BC32" i="2" s="1"/>
  <c r="AK32" i="2"/>
  <c r="BB32" i="2" s="1"/>
  <c r="AJ32" i="2"/>
  <c r="BA32" i="2" s="1"/>
  <c r="AI32" i="2"/>
  <c r="AZ32" i="2" s="1"/>
  <c r="AH32" i="2"/>
  <c r="AY32" i="2" s="1"/>
  <c r="AG32" i="2"/>
  <c r="AX32" i="2" s="1"/>
  <c r="AF32" i="2"/>
  <c r="AW32" i="2" s="1"/>
  <c r="AE32" i="2"/>
  <c r="AV32" i="2" s="1"/>
  <c r="AD32" i="2"/>
  <c r="AU32" i="2" s="1"/>
  <c r="AC32" i="2"/>
  <c r="AB32" i="2"/>
  <c r="AS32" i="2" s="1"/>
  <c r="AA32" i="2"/>
  <c r="AR32" i="2" s="1"/>
  <c r="Z32" i="2"/>
  <c r="AQ32" i="2" s="1"/>
  <c r="Y32" i="2"/>
  <c r="X32" i="2"/>
  <c r="D32" i="2"/>
  <c r="AM31" i="2"/>
  <c r="BD31" i="2" s="1"/>
  <c r="AL31" i="2"/>
  <c r="BC31" i="2" s="1"/>
  <c r="AK31" i="2"/>
  <c r="BB31" i="2" s="1"/>
  <c r="AJ31" i="2"/>
  <c r="BA31" i="2" s="1"/>
  <c r="AI31" i="2"/>
  <c r="AZ31" i="2" s="1"/>
  <c r="AH31" i="2"/>
  <c r="AY31" i="2" s="1"/>
  <c r="AG31" i="2"/>
  <c r="AX31" i="2" s="1"/>
  <c r="AF31" i="2"/>
  <c r="AW31" i="2" s="1"/>
  <c r="AE31" i="2"/>
  <c r="AV31" i="2" s="1"/>
  <c r="AD31" i="2"/>
  <c r="AU31" i="2" s="1"/>
  <c r="AC31" i="2"/>
  <c r="AT31" i="2" s="1"/>
  <c r="AB31" i="2"/>
  <c r="AS31" i="2" s="1"/>
  <c r="AA31" i="2"/>
  <c r="AR31" i="2" s="1"/>
  <c r="Z31" i="2"/>
  <c r="AQ31" i="2" s="1"/>
  <c r="Y31" i="2"/>
  <c r="D31" i="2"/>
  <c r="AM30" i="2"/>
  <c r="BD30" i="2" s="1"/>
  <c r="AL30" i="2"/>
  <c r="BC30" i="2" s="1"/>
  <c r="AK30" i="2"/>
  <c r="BB30" i="2" s="1"/>
  <c r="AJ30" i="2"/>
  <c r="BA30" i="2" s="1"/>
  <c r="AI30" i="2"/>
  <c r="AZ30" i="2" s="1"/>
  <c r="AH30" i="2"/>
  <c r="AY30" i="2" s="1"/>
  <c r="AG30" i="2"/>
  <c r="AX30" i="2" s="1"/>
  <c r="AF30" i="2"/>
  <c r="AW30" i="2" s="1"/>
  <c r="AE30" i="2"/>
  <c r="AV30" i="2" s="1"/>
  <c r="AD30" i="2"/>
  <c r="AU30" i="2" s="1"/>
  <c r="AC30" i="2"/>
  <c r="AT30" i="2" s="1"/>
  <c r="AB30" i="2"/>
  <c r="AS30" i="2" s="1"/>
  <c r="AA30" i="2"/>
  <c r="AR30" i="2" s="1"/>
  <c r="Z30" i="2"/>
  <c r="AQ30" i="2" s="1"/>
  <c r="Y30" i="2"/>
  <c r="X30" i="2"/>
  <c r="AM29" i="2"/>
  <c r="BD29" i="2" s="1"/>
  <c r="AL29" i="2"/>
  <c r="BC29" i="2" s="1"/>
  <c r="AK29" i="2"/>
  <c r="BB29" i="2" s="1"/>
  <c r="AJ29" i="2"/>
  <c r="BA29" i="2" s="1"/>
  <c r="AI29" i="2"/>
  <c r="AZ29" i="2" s="1"/>
  <c r="AH29" i="2"/>
  <c r="AY29" i="2" s="1"/>
  <c r="AG29" i="2"/>
  <c r="AX29" i="2" s="1"/>
  <c r="AF29" i="2"/>
  <c r="AW29" i="2" s="1"/>
  <c r="AE29" i="2"/>
  <c r="AV29" i="2" s="1"/>
  <c r="AD29" i="2"/>
  <c r="AU29" i="2" s="1"/>
  <c r="AC29" i="2"/>
  <c r="AT29" i="2" s="1"/>
  <c r="AB29" i="2"/>
  <c r="AS29" i="2" s="1"/>
  <c r="AA29" i="2"/>
  <c r="AR29" i="2" s="1"/>
  <c r="Z29" i="2"/>
  <c r="AQ29" i="2" s="1"/>
  <c r="Y29" i="2"/>
  <c r="X29" i="2"/>
  <c r="D29" i="2"/>
  <c r="B29" i="2"/>
  <c r="B31" i="2" s="1"/>
  <c r="B32" i="2" s="1"/>
  <c r="B33" i="2" s="1"/>
  <c r="B34" i="2" s="1"/>
  <c r="B35" i="2" s="1"/>
  <c r="B37" i="2" s="1"/>
  <c r="B38" i="2" s="1"/>
  <c r="B39" i="2" s="1"/>
  <c r="AM28" i="2"/>
  <c r="BD28" i="2" s="1"/>
  <c r="AL28" i="2"/>
  <c r="BC28" i="2" s="1"/>
  <c r="AK28" i="2"/>
  <c r="BB28" i="2" s="1"/>
  <c r="AJ28" i="2"/>
  <c r="BA28" i="2" s="1"/>
  <c r="AI28" i="2"/>
  <c r="AZ28" i="2" s="1"/>
  <c r="AH28" i="2"/>
  <c r="AY28" i="2" s="1"/>
  <c r="AG28" i="2"/>
  <c r="AX28" i="2" s="1"/>
  <c r="AF28" i="2"/>
  <c r="AW28" i="2" s="1"/>
  <c r="AE28" i="2"/>
  <c r="AV28" i="2" s="1"/>
  <c r="AD28" i="2"/>
  <c r="AU28" i="2" s="1"/>
  <c r="AC28" i="2"/>
  <c r="AT28" i="2" s="1"/>
  <c r="AB28" i="2"/>
  <c r="AS28" i="2" s="1"/>
  <c r="AA28" i="2"/>
  <c r="AR28" i="2" s="1"/>
  <c r="Z28" i="2"/>
  <c r="AQ28" i="2" s="1"/>
  <c r="Y28" i="2"/>
  <c r="X28" i="2"/>
  <c r="D28" i="2"/>
  <c r="AM27" i="2"/>
  <c r="BD27" i="2" s="1"/>
  <c r="AL27" i="2"/>
  <c r="BC27" i="2" s="1"/>
  <c r="AK27" i="2"/>
  <c r="BB27" i="2" s="1"/>
  <c r="AJ27" i="2"/>
  <c r="BA27" i="2" s="1"/>
  <c r="AI27" i="2"/>
  <c r="AZ27" i="2" s="1"/>
  <c r="AH27" i="2"/>
  <c r="AY27" i="2" s="1"/>
  <c r="AG27" i="2"/>
  <c r="AX27" i="2" s="1"/>
  <c r="AF27" i="2"/>
  <c r="AW27" i="2" s="1"/>
  <c r="AE27" i="2"/>
  <c r="AV27" i="2" s="1"/>
  <c r="AD27" i="2"/>
  <c r="AU27" i="2" s="1"/>
  <c r="AC27" i="2"/>
  <c r="AT27" i="2" s="1"/>
  <c r="AB27" i="2"/>
  <c r="AS27" i="2" s="1"/>
  <c r="AA27" i="2"/>
  <c r="AR27" i="2" s="1"/>
  <c r="Z27" i="2"/>
  <c r="AQ27" i="2" s="1"/>
  <c r="Y27" i="2"/>
  <c r="X27" i="2"/>
  <c r="AM26" i="2"/>
  <c r="BD26" i="2" s="1"/>
  <c r="AL26" i="2"/>
  <c r="BC26" i="2" s="1"/>
  <c r="AK26" i="2"/>
  <c r="BB26" i="2" s="1"/>
  <c r="AJ26" i="2"/>
  <c r="BA26" i="2" s="1"/>
  <c r="AI26" i="2"/>
  <c r="AZ26" i="2" s="1"/>
  <c r="AH26" i="2"/>
  <c r="AY26" i="2" s="1"/>
  <c r="AG26" i="2"/>
  <c r="AX26" i="2" s="1"/>
  <c r="AF26" i="2"/>
  <c r="AW26" i="2" s="1"/>
  <c r="AE26" i="2"/>
  <c r="AD26" i="2"/>
  <c r="AC26" i="2"/>
  <c r="AB26" i="2"/>
  <c r="AS26" i="2" s="1"/>
  <c r="AA26" i="2"/>
  <c r="Z26" i="2"/>
  <c r="Y26" i="2"/>
  <c r="X26" i="2"/>
  <c r="AO26" i="2" s="1"/>
  <c r="AM25" i="2"/>
  <c r="BD25" i="2" s="1"/>
  <c r="AL25" i="2"/>
  <c r="AK25" i="2"/>
  <c r="BB25" i="2" s="1"/>
  <c r="AJ25" i="2"/>
  <c r="BA25" i="2" s="1"/>
  <c r="AI25" i="2"/>
  <c r="AZ25" i="2" s="1"/>
  <c r="AH25" i="2"/>
  <c r="AY25" i="2" s="1"/>
  <c r="AG25" i="2"/>
  <c r="AX25" i="2" s="1"/>
  <c r="AF25" i="2"/>
  <c r="AE25" i="2"/>
  <c r="AD25" i="2"/>
  <c r="AC25" i="2"/>
  <c r="AT25" i="2" s="1"/>
  <c r="AB25" i="2"/>
  <c r="AA25" i="2"/>
  <c r="Z25" i="2"/>
  <c r="Y25" i="2"/>
  <c r="X25" i="2"/>
  <c r="D25" i="2"/>
  <c r="AM24" i="2"/>
  <c r="BD24" i="2" s="1"/>
  <c r="AK24" i="2"/>
  <c r="BB24" i="2" s="1"/>
  <c r="AJ24" i="2"/>
  <c r="BA24" i="2" s="1"/>
  <c r="AI24" i="2"/>
  <c r="AZ24" i="2" s="1"/>
  <c r="AH24" i="2"/>
  <c r="AY24" i="2" s="1"/>
  <c r="AG24" i="2"/>
  <c r="AX24" i="2" s="1"/>
  <c r="AF24" i="2"/>
  <c r="AW24" i="2" s="1"/>
  <c r="AE24" i="2"/>
  <c r="AV24" i="2" s="1"/>
  <c r="AD24" i="2"/>
  <c r="AU24" i="2" s="1"/>
  <c r="AC24" i="2"/>
  <c r="AT24" i="2" s="1"/>
  <c r="AB24" i="2"/>
  <c r="AA24" i="2"/>
  <c r="Z24" i="2"/>
  <c r="Y24" i="2"/>
  <c r="D24" i="2"/>
  <c r="AM23" i="2"/>
  <c r="BD23" i="2" s="1"/>
  <c r="AL23" i="2"/>
  <c r="BC23" i="2" s="1"/>
  <c r="AK23" i="2"/>
  <c r="BB23" i="2" s="1"/>
  <c r="AJ23" i="2"/>
  <c r="BA23" i="2" s="1"/>
  <c r="AI23" i="2"/>
  <c r="AZ23" i="2" s="1"/>
  <c r="AH23" i="2"/>
  <c r="AY23" i="2" s="1"/>
  <c r="AG23" i="2"/>
  <c r="AX23" i="2" s="1"/>
  <c r="AF23" i="2"/>
  <c r="AE23" i="2"/>
  <c r="AD23" i="2"/>
  <c r="AC23" i="2"/>
  <c r="AT23" i="2" s="1"/>
  <c r="AB23" i="2"/>
  <c r="AA23" i="2"/>
  <c r="Z23" i="2"/>
  <c r="Y23" i="2"/>
  <c r="X23" i="2"/>
  <c r="D23" i="2"/>
  <c r="AM22" i="2"/>
  <c r="BD22" i="2" s="1"/>
  <c r="AL22" i="2"/>
  <c r="BC22" i="2" s="1"/>
  <c r="AK22" i="2"/>
  <c r="BB22" i="2" s="1"/>
  <c r="AJ22" i="2"/>
  <c r="BA22" i="2" s="1"/>
  <c r="AI22" i="2"/>
  <c r="AZ22" i="2" s="1"/>
  <c r="AH22" i="2"/>
  <c r="AY22" i="2" s="1"/>
  <c r="AG22" i="2"/>
  <c r="AX22" i="2" s="1"/>
  <c r="AF22" i="2"/>
  <c r="AW22" i="2" s="1"/>
  <c r="AE22" i="2"/>
  <c r="AV22" i="2" s="1"/>
  <c r="AD22" i="2"/>
  <c r="AU22" i="2" s="1"/>
  <c r="AC22" i="2"/>
  <c r="AT22" i="2" s="1"/>
  <c r="AB22" i="2"/>
  <c r="AA22" i="2"/>
  <c r="Z22" i="2"/>
  <c r="Y22" i="2"/>
  <c r="D22" i="2"/>
  <c r="AM20" i="2"/>
  <c r="BD20" i="2" s="1"/>
  <c r="AL20" i="2"/>
  <c r="BC20" i="2" s="1"/>
  <c r="AK20" i="2"/>
  <c r="BB20" i="2" s="1"/>
  <c r="AJ20" i="2"/>
  <c r="BA20" i="2" s="1"/>
  <c r="AI20" i="2"/>
  <c r="AZ20" i="2" s="1"/>
  <c r="AH20" i="2"/>
  <c r="AY20" i="2" s="1"/>
  <c r="AG20" i="2"/>
  <c r="AX20" i="2" s="1"/>
  <c r="AF20" i="2"/>
  <c r="AW20" i="2" s="1"/>
  <c r="AE20" i="2"/>
  <c r="AV20" i="2" s="1"/>
  <c r="AD20" i="2"/>
  <c r="AU20" i="2" s="1"/>
  <c r="AC20" i="2"/>
  <c r="AT20" i="2" s="1"/>
  <c r="AB20" i="2"/>
  <c r="AS20" i="2" s="1"/>
  <c r="AA20" i="2"/>
  <c r="AR20" i="2" s="1"/>
  <c r="Z20" i="2"/>
  <c r="AQ20" i="2" s="1"/>
  <c r="Y20" i="2"/>
  <c r="X20" i="2"/>
  <c r="AM19" i="2"/>
  <c r="BD19" i="2" s="1"/>
  <c r="AL19" i="2"/>
  <c r="BC19" i="2" s="1"/>
  <c r="AK19" i="2"/>
  <c r="BB19" i="2" s="1"/>
  <c r="AJ19" i="2"/>
  <c r="BA19" i="2" s="1"/>
  <c r="AI19" i="2"/>
  <c r="AZ19" i="2" s="1"/>
  <c r="AH19" i="2"/>
  <c r="AY19" i="2" s="1"/>
  <c r="AG19" i="2"/>
  <c r="AX19" i="2" s="1"/>
  <c r="AF19" i="2"/>
  <c r="AW19" i="2" s="1"/>
  <c r="AE19" i="2"/>
  <c r="AV19" i="2" s="1"/>
  <c r="AD19" i="2"/>
  <c r="AU19" i="2" s="1"/>
  <c r="AC19" i="2"/>
  <c r="AB19" i="2"/>
  <c r="AS19" i="2" s="1"/>
  <c r="AA19" i="2"/>
  <c r="AR19" i="2" s="1"/>
  <c r="Z19" i="2"/>
  <c r="AQ19" i="2" s="1"/>
  <c r="Y19" i="2"/>
  <c r="X19" i="2"/>
  <c r="AO19" i="2" s="1"/>
  <c r="BH19" i="2" s="1"/>
  <c r="D19" i="2"/>
  <c r="B19" i="2"/>
  <c r="AM18" i="2"/>
  <c r="BD18" i="2" s="1"/>
  <c r="AL18" i="2"/>
  <c r="BC18" i="2" s="1"/>
  <c r="AK18" i="2"/>
  <c r="BB18" i="2" s="1"/>
  <c r="AJ18" i="2"/>
  <c r="BA18" i="2" s="1"/>
  <c r="AI18" i="2"/>
  <c r="AZ18" i="2" s="1"/>
  <c r="AH18" i="2"/>
  <c r="AY18" i="2" s="1"/>
  <c r="AG18" i="2"/>
  <c r="AX18" i="2" s="1"/>
  <c r="AF18" i="2"/>
  <c r="AW18" i="2" s="1"/>
  <c r="AE18" i="2"/>
  <c r="AV18" i="2" s="1"/>
  <c r="AD18" i="2"/>
  <c r="AU18" i="2" s="1"/>
  <c r="AC18" i="2"/>
  <c r="AT18" i="2" s="1"/>
  <c r="AB18" i="2"/>
  <c r="AS18" i="2" s="1"/>
  <c r="AA18" i="2"/>
  <c r="AR18" i="2" s="1"/>
  <c r="Z18" i="2"/>
  <c r="AQ18" i="2" s="1"/>
  <c r="D18" i="2"/>
  <c r="AM17" i="2"/>
  <c r="BD17" i="2" s="1"/>
  <c r="AL17" i="2"/>
  <c r="BC17" i="2" s="1"/>
  <c r="AK17" i="2"/>
  <c r="BB17" i="2" s="1"/>
  <c r="AJ17" i="2"/>
  <c r="BA17" i="2" s="1"/>
  <c r="AI17" i="2"/>
  <c r="AZ17" i="2" s="1"/>
  <c r="AH17" i="2"/>
  <c r="AY17" i="2" s="1"/>
  <c r="AG17" i="2"/>
  <c r="AX17" i="2" s="1"/>
  <c r="AF17" i="2"/>
  <c r="AW17" i="2" s="1"/>
  <c r="AE17" i="2"/>
  <c r="AV17" i="2" s="1"/>
  <c r="AD17" i="2"/>
  <c r="AU17" i="2" s="1"/>
  <c r="AC17" i="2"/>
  <c r="AT17" i="2" s="1"/>
  <c r="AB17" i="2"/>
  <c r="AS17" i="2" s="1"/>
  <c r="AA17" i="2"/>
  <c r="AR17" i="2" s="1"/>
  <c r="Z17" i="2"/>
  <c r="AQ17" i="2" s="1"/>
  <c r="Y17" i="2"/>
  <c r="X17" i="2"/>
  <c r="AM16" i="2"/>
  <c r="BD16" i="2" s="1"/>
  <c r="AL16" i="2"/>
  <c r="BC16" i="2" s="1"/>
  <c r="AK16" i="2"/>
  <c r="BB16" i="2" s="1"/>
  <c r="AJ16" i="2"/>
  <c r="BA16" i="2" s="1"/>
  <c r="AI16" i="2"/>
  <c r="AZ16" i="2" s="1"/>
  <c r="AH16" i="2"/>
  <c r="AY16" i="2" s="1"/>
  <c r="AG16" i="2"/>
  <c r="AX16" i="2" s="1"/>
  <c r="AF16" i="2"/>
  <c r="AE16" i="2"/>
  <c r="AD16" i="2"/>
  <c r="AC16" i="2"/>
  <c r="AB16" i="2"/>
  <c r="AA16" i="2"/>
  <c r="AR16" i="2" s="1"/>
  <c r="Z16" i="2"/>
  <c r="Y16" i="2"/>
  <c r="AP16" i="2" s="1"/>
  <c r="X16" i="2"/>
  <c r="B75" i="2" l="1"/>
  <c r="B76" i="2" s="1"/>
  <c r="B77" i="2" s="1"/>
  <c r="B78" i="2" s="1"/>
  <c r="B79" i="2" s="1"/>
  <c r="B80" i="2" s="1"/>
  <c r="B81" i="2" s="1"/>
  <c r="B82" i="2" s="1"/>
  <c r="B83" i="2" s="1"/>
  <c r="B84" i="2" s="1"/>
  <c r="B85" i="2" s="1"/>
  <c r="B86" i="2" s="1"/>
  <c r="B75" i="3"/>
  <c r="B76" i="3" s="1"/>
  <c r="B77" i="3" s="1"/>
  <c r="B78" i="3" s="1"/>
  <c r="B79" i="3" s="1"/>
  <c r="B80" i="3" s="1"/>
  <c r="B81" i="3" s="1"/>
  <c r="B82" i="3" s="1"/>
  <c r="B83" i="3" s="1"/>
  <c r="B84" i="3" s="1"/>
  <c r="B85" i="3" s="1"/>
  <c r="B86" i="3" s="1"/>
  <c r="M133" i="3"/>
  <c r="B51" i="2"/>
  <c r="B52" i="2" s="1"/>
  <c r="B53" i="2" s="1"/>
  <c r="B54" i="2" s="1"/>
  <c r="B55" i="2" s="1"/>
  <c r="B56" i="2" s="1"/>
  <c r="B57" i="2" s="1"/>
  <c r="B58" i="2" s="1"/>
  <c r="B59" i="2" s="1"/>
  <c r="B60" i="2" s="1"/>
  <c r="B61" i="2" s="1"/>
  <c r="B62" i="2" s="1"/>
  <c r="B63" i="2" s="1"/>
  <c r="B64" i="2" s="1"/>
  <c r="B65" i="2" s="1"/>
  <c r="B66" i="2" s="1"/>
  <c r="B67" i="2" s="1"/>
  <c r="B51" i="3"/>
  <c r="B52" i="3" s="1"/>
  <c r="B53" i="3" s="1"/>
  <c r="B54" i="3" s="1"/>
  <c r="B55" i="3" s="1"/>
  <c r="B56" i="3" s="1"/>
  <c r="B57" i="3" s="1"/>
  <c r="B58" i="3" s="1"/>
  <c r="B59" i="3" s="1"/>
  <c r="B60" i="3" s="1"/>
  <c r="B61" i="3" s="1"/>
  <c r="B62" i="3" s="1"/>
  <c r="B63" i="3" s="1"/>
  <c r="B64" i="3" s="1"/>
  <c r="B65" i="3" s="1"/>
  <c r="B66" i="3" s="1"/>
  <c r="B67" i="3" s="1"/>
  <c r="O133" i="3"/>
  <c r="B21" i="2"/>
  <c r="B22" i="2" s="1"/>
  <c r="B23" i="2" s="1"/>
  <c r="B24" i="2" s="1"/>
  <c r="B25" i="2" s="1"/>
  <c r="BL35" i="2"/>
  <c r="BL47" i="2"/>
  <c r="BL95" i="2"/>
  <c r="BL99" i="2"/>
  <c r="BL100" i="2"/>
  <c r="BL96" i="2"/>
  <c r="BL97" i="2"/>
  <c r="BL113" i="2"/>
  <c r="BL114" i="2"/>
  <c r="BL115" i="2"/>
  <c r="BL116" i="2"/>
  <c r="BL118" i="2"/>
  <c r="BL119" i="2"/>
  <c r="BL120" i="2"/>
  <c r="BL122" i="2"/>
  <c r="BL123" i="2"/>
  <c r="BL124" i="2"/>
  <c r="BL126" i="2"/>
  <c r="BK116" i="2"/>
  <c r="BK124" i="2"/>
  <c r="BJ18" i="2"/>
  <c r="BK22" i="2"/>
  <c r="BL22" i="2"/>
  <c r="BK24" i="2"/>
  <c r="BL28" i="2"/>
  <c r="BK31" i="2"/>
  <c r="BL32" i="2"/>
  <c r="BJ33" i="2"/>
  <c r="BK33" i="2"/>
  <c r="BL37" i="2"/>
  <c r="BJ38" i="2"/>
  <c r="BK42" i="2"/>
  <c r="BL42" i="2"/>
  <c r="BK43" i="2"/>
  <c r="BK44" i="2"/>
  <c r="BK53" i="2"/>
  <c r="BK56" i="2"/>
  <c r="BL71" i="2"/>
  <c r="BL72" i="2"/>
  <c r="BL74" i="2"/>
  <c r="BL75" i="2"/>
  <c r="BL76" i="2"/>
  <c r="BL77" i="2"/>
  <c r="BK78" i="2"/>
  <c r="BL78" i="2"/>
  <c r="BK82" i="2"/>
  <c r="BL82" i="2"/>
  <c r="BL85" i="2"/>
  <c r="BK86" i="2"/>
  <c r="BL86" i="2"/>
  <c r="BL88" i="2"/>
  <c r="BL89" i="2"/>
  <c r="BK90" i="2"/>
  <c r="BL90" i="2"/>
  <c r="BK94" i="2"/>
  <c r="BL94" i="2"/>
  <c r="BJ95" i="2"/>
  <c r="BK95" i="2"/>
  <c r="BJ98" i="2"/>
  <c r="BJ99" i="2"/>
  <c r="BK99" i="2"/>
  <c r="BJ100" i="2"/>
  <c r="BK100" i="2"/>
  <c r="BJ96" i="2"/>
  <c r="BK96" i="2"/>
  <c r="BJ97" i="2"/>
  <c r="BJ102" i="2"/>
  <c r="BJ101" i="2" s="1"/>
  <c r="BJ113" i="2"/>
  <c r="BJ114" i="2"/>
  <c r="BK114" i="2"/>
  <c r="BJ115" i="2"/>
  <c r="BK115" i="2"/>
  <c r="BJ116" i="2"/>
  <c r="BJ121" i="2"/>
  <c r="BJ122" i="2"/>
  <c r="BL23" i="2"/>
  <c r="BL43" i="2"/>
  <c r="BL39" i="2"/>
  <c r="BL61" i="2"/>
  <c r="BL62" i="2"/>
  <c r="BL63" i="2"/>
  <c r="BK64" i="2"/>
  <c r="BL64" i="2"/>
  <c r="BL66" i="2"/>
  <c r="BL67" i="2"/>
  <c r="BL70" i="2"/>
  <c r="BJ72" i="2"/>
  <c r="BJ73" i="2"/>
  <c r="BJ74" i="2"/>
  <c r="BE29" i="2"/>
  <c r="AO29" i="2"/>
  <c r="BH29" i="2" s="1"/>
  <c r="BE30" i="2"/>
  <c r="AO30" i="2"/>
  <c r="BE34" i="2"/>
  <c r="AO34" i="2"/>
  <c r="BH34" i="2" s="1"/>
  <c r="BE41" i="2"/>
  <c r="AO41" i="2"/>
  <c r="BE44" i="2"/>
  <c r="AO44" i="2"/>
  <c r="BH44" i="2" s="1"/>
  <c r="BK61" i="2"/>
  <c r="BL65" i="2"/>
  <c r="BK72" i="2"/>
  <c r="BJ118" i="2"/>
  <c r="BK118" i="2"/>
  <c r="BJ119" i="2"/>
  <c r="BK119" i="2"/>
  <c r="BJ120" i="2"/>
  <c r="BK122" i="2"/>
  <c r="BJ123" i="2"/>
  <c r="BK123" i="2"/>
  <c r="BJ124" i="2"/>
  <c r="BJ125" i="2"/>
  <c r="BJ126" i="2"/>
  <c r="BL18" i="2"/>
  <c r="BE20" i="2"/>
  <c r="AO20" i="2"/>
  <c r="BJ24" i="2"/>
  <c r="BE25" i="2"/>
  <c r="AO25" i="2"/>
  <c r="BH25" i="2" s="1"/>
  <c r="BE27" i="2"/>
  <c r="AO27" i="2"/>
  <c r="BJ29" i="2"/>
  <c r="BK29" i="2"/>
  <c r="BL33" i="2"/>
  <c r="BK34" i="2"/>
  <c r="BE35" i="2"/>
  <c r="AO35" i="2"/>
  <c r="BH35" i="2" s="1"/>
  <c r="BE36" i="2"/>
  <c r="AO36" i="2"/>
  <c r="BL38" i="2"/>
  <c r="BJ39" i="2"/>
  <c r="BJ44" i="2"/>
  <c r="BE45" i="2"/>
  <c r="AO45" i="2"/>
  <c r="BH45" i="2" s="1"/>
  <c r="BE46" i="2"/>
  <c r="AO46" i="2"/>
  <c r="BE49" i="2"/>
  <c r="AO49" i="2"/>
  <c r="BH49" i="2" s="1"/>
  <c r="BE52" i="2"/>
  <c r="AO52" i="2"/>
  <c r="BH52" i="2" s="1"/>
  <c r="BE53" i="2"/>
  <c r="AO53" i="2"/>
  <c r="BH53" i="2" s="1"/>
  <c r="BE54" i="2"/>
  <c r="AO54" i="2"/>
  <c r="BH54" i="2" s="1"/>
  <c r="BE55" i="2"/>
  <c r="AO55" i="2"/>
  <c r="BH55" i="2" s="1"/>
  <c r="BE58" i="2"/>
  <c r="AO58" i="2"/>
  <c r="BH58" i="2" s="1"/>
  <c r="BE56" i="2"/>
  <c r="AO56" i="2"/>
  <c r="BH56" i="2" s="1"/>
  <c r="BE57" i="2"/>
  <c r="AO57" i="2"/>
  <c r="BH57" i="2" s="1"/>
  <c r="BE59" i="2"/>
  <c r="AO59" i="2"/>
  <c r="BH59" i="2" s="1"/>
  <c r="BE60" i="2"/>
  <c r="AO60" i="2"/>
  <c r="BH60" i="2" s="1"/>
  <c r="BE61" i="2"/>
  <c r="AO61" i="2"/>
  <c r="BH61" i="2" s="1"/>
  <c r="BE62" i="2"/>
  <c r="AO62" i="2"/>
  <c r="BH62" i="2" s="1"/>
  <c r="BE63" i="2"/>
  <c r="AO63" i="2"/>
  <c r="BH63" i="2" s="1"/>
  <c r="BE64" i="2"/>
  <c r="AO64" i="2"/>
  <c r="BH64" i="2" s="1"/>
  <c r="BE65" i="2"/>
  <c r="AO65" i="2"/>
  <c r="BH65" i="2" s="1"/>
  <c r="BK66" i="2"/>
  <c r="BE67" i="2"/>
  <c r="AO67" i="2"/>
  <c r="BH67" i="2" s="1"/>
  <c r="BE69" i="2"/>
  <c r="AO69" i="2"/>
  <c r="BL73" i="2"/>
  <c r="BK75" i="2"/>
  <c r="BK83" i="2"/>
  <c r="BL83" i="2"/>
  <c r="BL87" i="2"/>
  <c r="BK97" i="2"/>
  <c r="BK113" i="2"/>
  <c r="BK120" i="2"/>
  <c r="BE16" i="2"/>
  <c r="AO16" i="2"/>
  <c r="BE17" i="2"/>
  <c r="AO17" i="2"/>
  <c r="BK18" i="2"/>
  <c r="BK19" i="2"/>
  <c r="BK23" i="2"/>
  <c r="BK25" i="2"/>
  <c r="BE28" i="2"/>
  <c r="AO28" i="2"/>
  <c r="BH28" i="2" s="1"/>
  <c r="BL29" i="2"/>
  <c r="BJ31" i="2"/>
  <c r="BE32" i="2"/>
  <c r="AO32" i="2"/>
  <c r="BH32" i="2" s="1"/>
  <c r="BL34" i="2"/>
  <c r="BK35" i="2"/>
  <c r="BE42" i="2"/>
  <c r="AO42" i="2"/>
  <c r="BH42" i="2" s="1"/>
  <c r="BL44" i="2"/>
  <c r="BK45" i="2"/>
  <c r="BJ47" i="2"/>
  <c r="BJ48" i="2"/>
  <c r="BJ49" i="2"/>
  <c r="BK49" i="2"/>
  <c r="BJ50" i="2"/>
  <c r="BJ51" i="2"/>
  <c r="BK51" i="2"/>
  <c r="BJ52" i="2"/>
  <c r="BJ53" i="2"/>
  <c r="BJ54" i="2"/>
  <c r="BK54" i="2"/>
  <c r="BJ55" i="2"/>
  <c r="BK55" i="2"/>
  <c r="BJ58" i="2"/>
  <c r="BJ56" i="2"/>
  <c r="BJ57" i="2"/>
  <c r="BK57" i="2"/>
  <c r="BJ59" i="2"/>
  <c r="BK59" i="2"/>
  <c r="BJ60" i="2"/>
  <c r="BJ61" i="2"/>
  <c r="BJ62" i="2"/>
  <c r="BK62" i="2"/>
  <c r="BJ63" i="2"/>
  <c r="BK63" i="2"/>
  <c r="BJ64" i="2"/>
  <c r="BJ65" i="2"/>
  <c r="BK65" i="2"/>
  <c r="BJ66" i="2"/>
  <c r="BJ67" i="2"/>
  <c r="BK67" i="2"/>
  <c r="BJ70" i="2"/>
  <c r="BE72" i="2"/>
  <c r="AO72" i="2"/>
  <c r="BH72" i="2" s="1"/>
  <c r="BE76" i="2"/>
  <c r="AO76" i="2"/>
  <c r="BH76" i="2" s="1"/>
  <c r="BE77" i="2"/>
  <c r="AO77" i="2"/>
  <c r="BH77" i="2" s="1"/>
  <c r="BE78" i="2"/>
  <c r="AO78" i="2"/>
  <c r="BH78" i="2" s="1"/>
  <c r="BE83" i="2"/>
  <c r="AO83" i="2"/>
  <c r="BH83" i="2" s="1"/>
  <c r="BE85" i="2"/>
  <c r="AO85" i="2"/>
  <c r="BH85" i="2" s="1"/>
  <c r="BE86" i="2"/>
  <c r="AO86" i="2"/>
  <c r="BH86" i="2" s="1"/>
  <c r="BE88" i="2"/>
  <c r="AO88" i="2"/>
  <c r="BH88" i="2" s="1"/>
  <c r="BK88" i="2"/>
  <c r="BE89" i="2"/>
  <c r="AO89" i="2"/>
  <c r="BH89" i="2" s="1"/>
  <c r="BE91" i="2"/>
  <c r="AO91" i="2"/>
  <c r="BH91" i="2" s="1"/>
  <c r="BE93" i="2"/>
  <c r="AO93" i="2"/>
  <c r="BE94" i="2"/>
  <c r="AO94" i="2"/>
  <c r="BH94" i="2" s="1"/>
  <c r="BK98" i="2"/>
  <c r="BL98" i="2"/>
  <c r="BK102" i="2"/>
  <c r="BK101" i="2" s="1"/>
  <c r="BL102" i="2"/>
  <c r="BL101" i="2" s="1"/>
  <c r="BK121" i="2"/>
  <c r="BL121" i="2"/>
  <c r="BK125" i="2"/>
  <c r="BL125" i="2"/>
  <c r="BL19" i="2"/>
  <c r="BJ22" i="2"/>
  <c r="BE23" i="2"/>
  <c r="AO23" i="2"/>
  <c r="BH23" i="2" s="1"/>
  <c r="BC25" i="2"/>
  <c r="BL25" i="2" s="1"/>
  <c r="BJ28" i="2"/>
  <c r="BK28" i="2"/>
  <c r="BL31" i="2"/>
  <c r="BK32" i="2"/>
  <c r="BK37" i="2"/>
  <c r="BJ42" i="2"/>
  <c r="BE43" i="2"/>
  <c r="AO43" i="2"/>
  <c r="BH43" i="2" s="1"/>
  <c r="BL45" i="2"/>
  <c r="BL48" i="2"/>
  <c r="BL49" i="2"/>
  <c r="BL50" i="2"/>
  <c r="BL51" i="2"/>
  <c r="BK52" i="2"/>
  <c r="BL52" i="2"/>
  <c r="BL53" i="2"/>
  <c r="BL54" i="2"/>
  <c r="BL55" i="2"/>
  <c r="BK58" i="2"/>
  <c r="BL58" i="2"/>
  <c r="BL56" i="2"/>
  <c r="BL57" i="2"/>
  <c r="BL59" i="2"/>
  <c r="BK60" i="2"/>
  <c r="BL60" i="2"/>
  <c r="BJ71" i="2"/>
  <c r="BJ75" i="2"/>
  <c r="BJ76" i="2"/>
  <c r="BK76" i="2"/>
  <c r="BJ77" i="2"/>
  <c r="BK77" i="2"/>
  <c r="BJ78" i="2"/>
  <c r="BJ82" i="2"/>
  <c r="BJ83" i="2"/>
  <c r="BJ85" i="2"/>
  <c r="BK85" i="2"/>
  <c r="BJ86" i="2"/>
  <c r="BJ87" i="2"/>
  <c r="BK87" i="2"/>
  <c r="BJ88" i="2"/>
  <c r="BJ89" i="2"/>
  <c r="BK89" i="2"/>
  <c r="BJ90" i="2"/>
  <c r="BF92" i="2"/>
  <c r="BO92" i="2" s="1"/>
  <c r="BJ94" i="2"/>
  <c r="BE95" i="2"/>
  <c r="AO95" i="2"/>
  <c r="BH95" i="2" s="1"/>
  <c r="BE99" i="2"/>
  <c r="AO99" i="2"/>
  <c r="BH99" i="2" s="1"/>
  <c r="BE100" i="2"/>
  <c r="AO100" i="2"/>
  <c r="BH100" i="2" s="1"/>
  <c r="BE96" i="2"/>
  <c r="AO96" i="2"/>
  <c r="BH96" i="2" s="1"/>
  <c r="BE97" i="2"/>
  <c r="AO97" i="2"/>
  <c r="BH97" i="2" s="1"/>
  <c r="BE102" i="2"/>
  <c r="AO102" i="2"/>
  <c r="BH102" i="2" s="1"/>
  <c r="BE112" i="2"/>
  <c r="AO112" i="2"/>
  <c r="BE113" i="2"/>
  <c r="AO113" i="2"/>
  <c r="BH113" i="2" s="1"/>
  <c r="BE116" i="2"/>
  <c r="AO116" i="2"/>
  <c r="BH116" i="2" s="1"/>
  <c r="BE119" i="2"/>
  <c r="AO119" i="2"/>
  <c r="BH119" i="2" s="1"/>
  <c r="BE120" i="2"/>
  <c r="AO120" i="2"/>
  <c r="BH120" i="2" s="1"/>
  <c r="BE122" i="2"/>
  <c r="AO122" i="2"/>
  <c r="BH122" i="2" s="1"/>
  <c r="BE123" i="2"/>
  <c r="AO123" i="2"/>
  <c r="BH123" i="2" s="1"/>
  <c r="BE125" i="2"/>
  <c r="AO125" i="2"/>
  <c r="BH125" i="2" s="1"/>
  <c r="BE126" i="2"/>
  <c r="AO126" i="2"/>
  <c r="BH126" i="2" s="1"/>
  <c r="BK126" i="2"/>
  <c r="BF19" i="2"/>
  <c r="AP20" i="2"/>
  <c r="BF20" i="2"/>
  <c r="BO20" i="2" s="1"/>
  <c r="AP25" i="2"/>
  <c r="BF25" i="2"/>
  <c r="BO25" i="2" s="1"/>
  <c r="BF26" i="2"/>
  <c r="BO26" i="2" s="1"/>
  <c r="AP27" i="2"/>
  <c r="BF27" i="2"/>
  <c r="BO27" i="2" s="1"/>
  <c r="BF31" i="2"/>
  <c r="AP35" i="2"/>
  <c r="BI35" i="2" s="1"/>
  <c r="BF35" i="2"/>
  <c r="AP36" i="2"/>
  <c r="BF36" i="2"/>
  <c r="BO36" i="2" s="1"/>
  <c r="AP45" i="2"/>
  <c r="BF45" i="2"/>
  <c r="BO45" i="2" s="1"/>
  <c r="AP46" i="2"/>
  <c r="BF46" i="2"/>
  <c r="BO46" i="2" s="1"/>
  <c r="AP47" i="2"/>
  <c r="BF47" i="2"/>
  <c r="AP48" i="2"/>
  <c r="AP49" i="2"/>
  <c r="BI49" i="2" s="1"/>
  <c r="BF49" i="2"/>
  <c r="BO49" i="2" s="1"/>
  <c r="BF50" i="2"/>
  <c r="AP51" i="2"/>
  <c r="BF51" i="2"/>
  <c r="AP52" i="2"/>
  <c r="BI52" i="2" s="1"/>
  <c r="BF52" i="2"/>
  <c r="BO52" i="2" s="1"/>
  <c r="AP53" i="2"/>
  <c r="BF53" i="2"/>
  <c r="BO53" i="2" s="1"/>
  <c r="AP54" i="2"/>
  <c r="BF54" i="2"/>
  <c r="BO54" i="2" s="1"/>
  <c r="AP55" i="2"/>
  <c r="BF55" i="2"/>
  <c r="BO55" i="2" s="1"/>
  <c r="AP58" i="2"/>
  <c r="BF58" i="2"/>
  <c r="AP56" i="2"/>
  <c r="BF56" i="2"/>
  <c r="BO56" i="2" s="1"/>
  <c r="AP57" i="2"/>
  <c r="BF57" i="2"/>
  <c r="AP59" i="2"/>
  <c r="BF59" i="2"/>
  <c r="BO59" i="2" s="1"/>
  <c r="AP60" i="2"/>
  <c r="BF60" i="2"/>
  <c r="BO60" i="2" s="1"/>
  <c r="AP61" i="2"/>
  <c r="BF61" i="2"/>
  <c r="BO61" i="2" s="1"/>
  <c r="AP62" i="2"/>
  <c r="BF62" i="2"/>
  <c r="BO62" i="2" s="1"/>
  <c r="AP63" i="2"/>
  <c r="BF63" i="2"/>
  <c r="AP64" i="2"/>
  <c r="BF64" i="2"/>
  <c r="AP65" i="2"/>
  <c r="BI65" i="2" s="1"/>
  <c r="BF65" i="2"/>
  <c r="BO65" i="2" s="1"/>
  <c r="AP66" i="2"/>
  <c r="BI66" i="2" s="1"/>
  <c r="BF66" i="2"/>
  <c r="BO66" i="2" s="1"/>
  <c r="AP67" i="2"/>
  <c r="BI67" i="2" s="1"/>
  <c r="BF67" i="2"/>
  <c r="BO67" i="2" s="1"/>
  <c r="AP68" i="2"/>
  <c r="BF68" i="2"/>
  <c r="BO68" i="2" s="1"/>
  <c r="AP69" i="2"/>
  <c r="BF69" i="2"/>
  <c r="BO69" i="2" s="1"/>
  <c r="AP70" i="2"/>
  <c r="BF32" i="2"/>
  <c r="AP37" i="2"/>
  <c r="BF37" i="2"/>
  <c r="BF42" i="2"/>
  <c r="AP71" i="2"/>
  <c r="AP72" i="2"/>
  <c r="BF72" i="2"/>
  <c r="BO72" i="2" s="1"/>
  <c r="BF73" i="2"/>
  <c r="AP74" i="2"/>
  <c r="AP75" i="2"/>
  <c r="BI75" i="2" s="1"/>
  <c r="BF75" i="2"/>
  <c r="BO75" i="2" s="1"/>
  <c r="AP76" i="2"/>
  <c r="BI76" i="2" s="1"/>
  <c r="BF76" i="2"/>
  <c r="BO76" i="2" s="1"/>
  <c r="AP77" i="2"/>
  <c r="BF77" i="2"/>
  <c r="AP78" i="2"/>
  <c r="BF78" i="2"/>
  <c r="AP82" i="2"/>
  <c r="BF82" i="2"/>
  <c r="AP83" i="2"/>
  <c r="BF83" i="2"/>
  <c r="AP85" i="2"/>
  <c r="BF85" i="2"/>
  <c r="AP86" i="2"/>
  <c r="BI86" i="2" s="1"/>
  <c r="BF86" i="2"/>
  <c r="BO86" i="2" s="1"/>
  <c r="AP87" i="2"/>
  <c r="BI87" i="2" s="1"/>
  <c r="BF87" i="2"/>
  <c r="BO87" i="2" s="1"/>
  <c r="AP88" i="2"/>
  <c r="BI88" i="2" s="1"/>
  <c r="BF88" i="2"/>
  <c r="BO88" i="2" s="1"/>
  <c r="AP89" i="2"/>
  <c r="BI89" i="2" s="1"/>
  <c r="BF89" i="2"/>
  <c r="BO89" i="2" s="1"/>
  <c r="AP90" i="2"/>
  <c r="BI90" i="2" s="1"/>
  <c r="BF90" i="2"/>
  <c r="BO90" i="2" s="1"/>
  <c r="AP91" i="2"/>
  <c r="BI91" i="2" s="1"/>
  <c r="BF91" i="2"/>
  <c r="BO91" i="2" s="1"/>
  <c r="AP93" i="2"/>
  <c r="BF93" i="2"/>
  <c r="BO93" i="2" s="1"/>
  <c r="BF94" i="2"/>
  <c r="BO94" i="2" s="1"/>
  <c r="AP17" i="2"/>
  <c r="BF17" i="2"/>
  <c r="BO17" i="2" s="1"/>
  <c r="BF28" i="2"/>
  <c r="BF43" i="2"/>
  <c r="BO43" i="2" s="1"/>
  <c r="BF95" i="2"/>
  <c r="BF98" i="2"/>
  <c r="BF99" i="2"/>
  <c r="BF100" i="2"/>
  <c r="BF96" i="2"/>
  <c r="BF97" i="2"/>
  <c r="AP101" i="2"/>
  <c r="BF101" i="2"/>
  <c r="BO101" i="2" s="1"/>
  <c r="BF102" i="2"/>
  <c r="AP112" i="2"/>
  <c r="BF112" i="2"/>
  <c r="BO112" i="2" s="1"/>
  <c r="BF113" i="2"/>
  <c r="BO113" i="2" s="1"/>
  <c r="BF114" i="2"/>
  <c r="BF115" i="2"/>
  <c r="BF116" i="2"/>
  <c r="AP117" i="2"/>
  <c r="BF117" i="2"/>
  <c r="BO117" i="2" s="1"/>
  <c r="BF118" i="2"/>
  <c r="BF119" i="2"/>
  <c r="BF120" i="2"/>
  <c r="BF121" i="2"/>
  <c r="BF122" i="2"/>
  <c r="BF123" i="2"/>
  <c r="BF124" i="2"/>
  <c r="BF125" i="2"/>
  <c r="BF126" i="2"/>
  <c r="AT16" i="2"/>
  <c r="BF136" i="2"/>
  <c r="AP22" i="2"/>
  <c r="BF22" i="2"/>
  <c r="AP23" i="2"/>
  <c r="BF23" i="2"/>
  <c r="AP33" i="2"/>
  <c r="BF33" i="2"/>
  <c r="AP38" i="2"/>
  <c r="BF38" i="2"/>
  <c r="AP24" i="2"/>
  <c r="BF24" i="2"/>
  <c r="BF29" i="2"/>
  <c r="AP30" i="2"/>
  <c r="BF30" i="2"/>
  <c r="BO30" i="2" s="1"/>
  <c r="AP34" i="2"/>
  <c r="BF34" i="2"/>
  <c r="BF39" i="2"/>
  <c r="AP40" i="2"/>
  <c r="BF40" i="2"/>
  <c r="BO40" i="2" s="1"/>
  <c r="AP41" i="2"/>
  <c r="BF41" i="2"/>
  <c r="BO41" i="2" s="1"/>
  <c r="AP44" i="2"/>
  <c r="BF44" i="2"/>
  <c r="B96" i="2"/>
  <c r="B97" i="2" s="1"/>
  <c r="B98" i="2" s="1"/>
  <c r="B99" i="2" s="1"/>
  <c r="B100" i="2" s="1"/>
  <c r="B102" i="2" s="1"/>
  <c r="B103" i="2" s="1"/>
  <c r="B104" i="2" s="1"/>
  <c r="B105" i="2" s="1"/>
  <c r="B106" i="2" s="1"/>
  <c r="B107" i="2" s="1"/>
  <c r="B108" i="2" s="1"/>
  <c r="B109" i="2" s="1"/>
  <c r="B110" i="2" s="1"/>
  <c r="B111" i="2" s="1"/>
  <c r="B113" i="3"/>
  <c r="J133" i="3"/>
  <c r="V133" i="3"/>
  <c r="BJ91" i="2"/>
  <c r="BK91" i="2"/>
  <c r="BL91" i="2"/>
  <c r="BE90" i="2"/>
  <c r="BB128" i="2"/>
  <c r="BE101" i="2"/>
  <c r="Y129" i="2"/>
  <c r="AC129" i="2"/>
  <c r="AG129" i="2"/>
  <c r="BE121" i="2"/>
  <c r="AU130" i="2"/>
  <c r="Z128" i="2"/>
  <c r="AD128" i="2"/>
  <c r="AH128" i="2"/>
  <c r="AF129" i="2"/>
  <c r="BE66" i="2"/>
  <c r="AZ132" i="2"/>
  <c r="BD131" i="2"/>
  <c r="AU131" i="2"/>
  <c r="BC131" i="2"/>
  <c r="BE87" i="2"/>
  <c r="BE114" i="2"/>
  <c r="BE115" i="2"/>
  <c r="BE124" i="2"/>
  <c r="BE98" i="2"/>
  <c r="BE117" i="2"/>
  <c r="BE118" i="2"/>
  <c r="S11" i="2"/>
  <c r="AC11" i="2"/>
  <c r="AO11" i="2"/>
  <c r="BA11" i="2"/>
  <c r="S11" i="3"/>
  <c r="H11" i="2"/>
  <c r="U11" i="2"/>
  <c r="AG11" i="2"/>
  <c r="AP11" i="2"/>
  <c r="BC11" i="2"/>
  <c r="H11" i="3"/>
  <c r="U11" i="3"/>
  <c r="L11" i="2"/>
  <c r="X11" i="2"/>
  <c r="AJ11" i="2"/>
  <c r="AT11" i="2"/>
  <c r="L11" i="3"/>
  <c r="P11" i="2"/>
  <c r="Y11" i="2"/>
  <c r="AL11" i="2"/>
  <c r="AW37" i="2"/>
  <c r="AW129" i="2" s="1"/>
  <c r="BC130" i="2"/>
  <c r="AU16" i="2"/>
  <c r="BE19" i="2"/>
  <c r="AP26" i="2"/>
  <c r="AZ128" i="2"/>
  <c r="BA129" i="2"/>
  <c r="AX129" i="2"/>
  <c r="AQ92" i="2"/>
  <c r="AQ132" i="2" s="1"/>
  <c r="Z132" i="2"/>
  <c r="AD132" i="2"/>
  <c r="AU92" i="2"/>
  <c r="AU132" i="2" s="1"/>
  <c r="AH132" i="2"/>
  <c r="AY132" i="2"/>
  <c r="AL132" i="2"/>
  <c r="BC132" i="2"/>
  <c r="AX128" i="2"/>
  <c r="AT26" i="2"/>
  <c r="Y130" i="2"/>
  <c r="AC130" i="2"/>
  <c r="AC128" i="2"/>
  <c r="AG128" i="2"/>
  <c r="AK128" i="2"/>
  <c r="AQ16" i="2"/>
  <c r="AY128" i="2"/>
  <c r="AB129" i="2"/>
  <c r="AJ129" i="2"/>
  <c r="BE26" i="2"/>
  <c r="AD130" i="2"/>
  <c r="AL130" i="2"/>
  <c r="AT40" i="2"/>
  <c r="AX132" i="2"/>
  <c r="AE128" i="2"/>
  <c r="AM128" i="2"/>
  <c r="AB128" i="2"/>
  <c r="AF128" i="2"/>
  <c r="AJ128" i="2"/>
  <c r="AS16" i="2"/>
  <c r="AW16" i="2"/>
  <c r="BA128" i="2"/>
  <c r="AA129" i="2"/>
  <c r="AE129" i="2"/>
  <c r="AM129" i="2"/>
  <c r="AR26" i="2"/>
  <c r="AV26" i="2"/>
  <c r="AV129" i="2" s="1"/>
  <c r="BD129" i="2"/>
  <c r="AF130" i="2"/>
  <c r="AS40" i="2"/>
  <c r="AW40" i="2"/>
  <c r="AW130" i="2" s="1"/>
  <c r="BE40" i="2"/>
  <c r="AA131" i="2"/>
  <c r="AE131" i="2"/>
  <c r="AV68" i="2"/>
  <c r="AV131" i="2" s="1"/>
  <c r="AM131" i="2"/>
  <c r="AS72" i="2"/>
  <c r="BE75" i="2"/>
  <c r="BE82" i="2"/>
  <c r="Y132" i="2"/>
  <c r="AP92" i="2"/>
  <c r="AC132" i="2"/>
  <c r="AT92" i="2"/>
  <c r="AT132" i="2" s="1"/>
  <c r="AG132" i="2"/>
  <c r="AK132" i="2"/>
  <c r="BB132" i="2"/>
  <c r="AR132" i="2"/>
  <c r="AR131" i="2"/>
  <c r="AA128" i="2"/>
  <c r="AI128" i="2"/>
  <c r="AV16" i="2"/>
  <c r="BD128" i="2"/>
  <c r="Z129" i="2"/>
  <c r="AD129" i="2"/>
  <c r="AL129" i="2"/>
  <c r="AQ26" i="2"/>
  <c r="AU26" i="2"/>
  <c r="AU129" i="2" s="1"/>
  <c r="BC129" i="2"/>
  <c r="AA130" i="2"/>
  <c r="AE130" i="2"/>
  <c r="AM130" i="2"/>
  <c r="AR40" i="2"/>
  <c r="AR130" i="2" s="1"/>
  <c r="AV40" i="2"/>
  <c r="AV130" i="2" s="1"/>
  <c r="BD130" i="2"/>
  <c r="AQ68" i="2"/>
  <c r="AD131" i="2"/>
  <c r="AL131" i="2"/>
  <c r="AT131" i="2"/>
  <c r="AJ132" i="2"/>
  <c r="AV132" i="2"/>
  <c r="W132" i="3"/>
  <c r="Y131" i="2"/>
  <c r="AC131" i="2"/>
  <c r="AF131" i="2"/>
  <c r="AW68" i="2"/>
  <c r="AW131" i="2" s="1"/>
  <c r="BE68" i="2"/>
  <c r="AA132" i="2"/>
  <c r="AE132" i="2"/>
  <c r="AI132" i="2"/>
  <c r="AM132" i="2"/>
  <c r="BD132" i="2"/>
  <c r="X132" i="2"/>
  <c r="AB132" i="2"/>
  <c r="AF132" i="2"/>
  <c r="AS92" i="2"/>
  <c r="AS132" i="2" s="1"/>
  <c r="AW92" i="2"/>
  <c r="AW132" i="2" s="1"/>
  <c r="BA132" i="2"/>
  <c r="BE92" i="2"/>
  <c r="X132" i="3"/>
  <c r="X129" i="3"/>
  <c r="N133" i="3"/>
  <c r="L133" i="3"/>
  <c r="B114" i="3" l="1"/>
  <c r="B115" i="3" s="1"/>
  <c r="B116" i="3" s="1"/>
  <c r="B118" i="3" s="1"/>
  <c r="B119" i="3" s="1"/>
  <c r="B120" i="3" s="1"/>
  <c r="B121" i="3" s="1"/>
  <c r="B122" i="3" s="1"/>
  <c r="B123" i="3" s="1"/>
  <c r="B124" i="3" s="1"/>
  <c r="B125" i="3" s="1"/>
  <c r="B126" i="3" s="1"/>
  <c r="BK20" i="2"/>
  <c r="BL17" i="2"/>
  <c r="B88" i="3"/>
  <c r="B90" i="3" s="1"/>
  <c r="B87" i="3"/>
  <c r="B89" i="3" s="1"/>
  <c r="B91" i="3" s="1"/>
  <c r="B88" i="2"/>
  <c r="B90" i="2" s="1"/>
  <c r="B87" i="2"/>
  <c r="B89" i="2" s="1"/>
  <c r="B91" i="2" s="1"/>
  <c r="BL27" i="2"/>
  <c r="BI72" i="2"/>
  <c r="BJ37" i="2"/>
  <c r="BJ36" i="2" s="1"/>
  <c r="G145" i="2"/>
  <c r="G159" i="2"/>
  <c r="BH101" i="2"/>
  <c r="G157" i="2"/>
  <c r="BH93" i="2"/>
  <c r="G156" i="2"/>
  <c r="G158" i="2"/>
  <c r="BH117" i="2"/>
  <c r="BM66" i="2"/>
  <c r="BL112" i="2"/>
  <c r="BL117" i="2"/>
  <c r="BM52" i="2"/>
  <c r="BM67" i="2"/>
  <c r="BK17" i="2"/>
  <c r="BL36" i="2"/>
  <c r="BL93" i="2"/>
  <c r="B113" i="2"/>
  <c r="BK30" i="2"/>
  <c r="BL41" i="2"/>
  <c r="BL69" i="2"/>
  <c r="BL68" i="2" s="1"/>
  <c r="BL131" i="2" s="1"/>
  <c r="BJ46" i="2"/>
  <c r="BM49" i="2"/>
  <c r="BM89" i="2"/>
  <c r="BM76" i="2"/>
  <c r="BM88" i="2"/>
  <c r="BM87" i="2"/>
  <c r="BM86" i="2"/>
  <c r="BM65" i="2"/>
  <c r="BM91" i="2"/>
  <c r="BM90" i="2"/>
  <c r="BM75" i="2"/>
  <c r="BK117" i="2"/>
  <c r="BH41" i="2"/>
  <c r="BJ117" i="2"/>
  <c r="BJ112" i="2"/>
  <c r="BJ69" i="2"/>
  <c r="BJ68" i="2" s="1"/>
  <c r="BJ131" i="2" s="1"/>
  <c r="BK41" i="2"/>
  <c r="BK27" i="2"/>
  <c r="BJ27" i="2"/>
  <c r="BL46" i="2"/>
  <c r="BH27" i="2"/>
  <c r="BJ93" i="2"/>
  <c r="BL30" i="2"/>
  <c r="BF16" i="2"/>
  <c r="BO16" i="2" s="1"/>
  <c r="BK112" i="2"/>
  <c r="BH112" i="2"/>
  <c r="BK93" i="2"/>
  <c r="BE132" i="2"/>
  <c r="AC133" i="2"/>
  <c r="AD133" i="2"/>
  <c r="AA133" i="2"/>
  <c r="BF132" i="2"/>
  <c r="AF133" i="2"/>
  <c r="AE133" i="2"/>
  <c r="BD133" i="2"/>
  <c r="AO132" i="2"/>
  <c r="AM133" i="2"/>
  <c r="B114" i="2" l="1"/>
  <c r="B115" i="2" s="1"/>
  <c r="B116" i="2" s="1"/>
  <c r="B118" i="2" s="1"/>
  <c r="B119" i="2" s="1"/>
  <c r="B120" i="2" s="1"/>
  <c r="B121" i="2" s="1"/>
  <c r="B122" i="2" s="1"/>
  <c r="B123" i="2" s="1"/>
  <c r="B124" i="2" s="1"/>
  <c r="B125" i="2" s="1"/>
  <c r="B126" i="2" s="1"/>
  <c r="BL40" i="2"/>
  <c r="BL130" i="2" s="1"/>
  <c r="BL92" i="2"/>
  <c r="BL132" i="2" s="1"/>
  <c r="BL26" i="2"/>
  <c r="BL129" i="2" s="1"/>
  <c r="BK16" i="2"/>
  <c r="BK128" i="2" s="1"/>
  <c r="BK135" i="2" s="1"/>
  <c r="BJ92" i="2"/>
  <c r="BJ132" i="2" s="1"/>
  <c r="BF129" i="2"/>
  <c r="BM72" i="2"/>
  <c r="BK92" i="2"/>
  <c r="BK132" i="2" s="1"/>
  <c r="BH92" i="2"/>
  <c r="C37" i="4"/>
  <c r="J16" i="4" s="1"/>
  <c r="J14" i="4" l="1"/>
  <c r="BH132" i="2"/>
  <c r="C15" i="4"/>
  <c r="C18" i="4" s="1"/>
  <c r="I34" i="18" l="1"/>
  <c r="I37" i="18" s="1"/>
  <c r="H169" i="17" l="1"/>
  <c r="T169" i="17" s="1"/>
  <c r="I84" i="9" s="1"/>
  <c r="G111" i="11"/>
  <c r="F111" i="11"/>
  <c r="H111" i="11"/>
  <c r="G124" i="11"/>
  <c r="F124" i="11"/>
  <c r="H123" i="11"/>
  <c r="G123" i="11"/>
  <c r="AS51" i="9"/>
  <c r="AQ51" i="8"/>
  <c r="AU23" i="20"/>
  <c r="O21" i="9"/>
  <c r="P71" i="16" l="1"/>
  <c r="AA16" i="20"/>
  <c r="I24" i="16"/>
  <c r="AC16" i="20"/>
  <c r="AC27" i="20"/>
  <c r="Z59" i="20"/>
  <c r="AA27" i="20"/>
  <c r="AB16" i="20"/>
  <c r="AB26" i="20"/>
  <c r="AB27" i="20"/>
  <c r="AM15" i="20"/>
  <c r="N21" i="2"/>
  <c r="CB14" i="20"/>
  <c r="AW21" i="9"/>
  <c r="AQ84" i="9"/>
  <c r="BO69" i="20"/>
  <c r="H112" i="11"/>
  <c r="F112" i="11"/>
  <c r="AS22" i="8"/>
  <c r="AW15" i="20"/>
  <c r="AQ24" i="9"/>
  <c r="BO16" i="20"/>
  <c r="AQ37" i="8"/>
  <c r="AU26" i="20"/>
  <c r="AQ47" i="9"/>
  <c r="BO34" i="20"/>
  <c r="AS47" i="8"/>
  <c r="AW34" i="20"/>
  <c r="BO57" i="20"/>
  <c r="AW23" i="9"/>
  <c r="CB15" i="20"/>
  <c r="AA32" i="20"/>
  <c r="AA23" i="20"/>
  <c r="AR37" i="8"/>
  <c r="AV26" i="20"/>
  <c r="AS47" i="9"/>
  <c r="BQ34" i="20"/>
  <c r="BO60" i="20"/>
  <c r="AR22" i="9"/>
  <c r="BP15" i="20"/>
  <c r="AQ24" i="8"/>
  <c r="AU16" i="20"/>
  <c r="AT19" i="9"/>
  <c r="BY13" i="20"/>
  <c r="AQ38" i="8"/>
  <c r="AU27" i="20"/>
  <c r="I45" i="2"/>
  <c r="F85" i="11"/>
  <c r="AQ44" i="2"/>
  <c r="AQ33" i="8"/>
  <c r="AU32" i="20"/>
  <c r="AQ51" i="9"/>
  <c r="BI51" i="9" s="1"/>
  <c r="AS51" i="2"/>
  <c r="H86" i="17"/>
  <c r="T86" i="17" s="1"/>
  <c r="K62" i="9" s="1"/>
  <c r="BQ47" i="20" s="1"/>
  <c r="H78" i="17"/>
  <c r="T78" i="17" s="1"/>
  <c r="K61" i="9" s="1"/>
  <c r="BQ46" i="20" s="1"/>
  <c r="H62" i="17"/>
  <c r="T62" i="17" s="1"/>
  <c r="K59" i="9" s="1"/>
  <c r="BQ44" i="20" s="1"/>
  <c r="H38" i="17"/>
  <c r="T38" i="17" s="1"/>
  <c r="K56" i="9" s="1"/>
  <c r="BQ42" i="20" s="1"/>
  <c r="H14" i="17"/>
  <c r="T14" i="17" s="1"/>
  <c r="K53" i="9" s="1"/>
  <c r="BQ38" i="20" s="1"/>
  <c r="H46" i="17"/>
  <c r="T46" i="17" s="1"/>
  <c r="K57" i="9" s="1"/>
  <c r="BQ43" i="20" s="1"/>
  <c r="H22" i="17"/>
  <c r="T22" i="17" s="1"/>
  <c r="K54" i="9" s="1"/>
  <c r="BQ39" i="20" s="1"/>
  <c r="H94" i="17"/>
  <c r="T94" i="17" s="1"/>
  <c r="K63" i="9" s="1"/>
  <c r="BQ48" i="20" s="1"/>
  <c r="H70" i="17"/>
  <c r="T70" i="17" s="1"/>
  <c r="K60" i="9" s="1"/>
  <c r="BQ45" i="20" s="1"/>
  <c r="H54" i="17"/>
  <c r="T54" i="17" s="1"/>
  <c r="K58" i="9" s="1"/>
  <c r="BQ41" i="20" s="1"/>
  <c r="H30" i="17"/>
  <c r="T30" i="17" s="1"/>
  <c r="K55" i="9" s="1"/>
  <c r="BQ40" i="20" s="1"/>
  <c r="H68" i="11"/>
  <c r="G15" i="11"/>
  <c r="I25" i="8"/>
  <c r="AQ25" i="8" s="1"/>
  <c r="I34" i="8"/>
  <c r="AQ34" i="8" s="1"/>
  <c r="G31" i="11"/>
  <c r="H21" i="17"/>
  <c r="T21" i="17" s="1"/>
  <c r="I54" i="9" s="1"/>
  <c r="BO39" i="20" s="1"/>
  <c r="H93" i="17"/>
  <c r="T93" i="17" s="1"/>
  <c r="I63" i="9" s="1"/>
  <c r="BO48" i="20" s="1"/>
  <c r="H85" i="17"/>
  <c r="T85" i="17" s="1"/>
  <c r="I62" i="9" s="1"/>
  <c r="BO47" i="20" s="1"/>
  <c r="H69" i="17"/>
  <c r="T69" i="17" s="1"/>
  <c r="I60" i="9" s="1"/>
  <c r="BO45" i="20" s="1"/>
  <c r="H13" i="17"/>
  <c r="T13" i="17" s="1"/>
  <c r="I53" i="9" s="1"/>
  <c r="BO38" i="20" s="1"/>
  <c r="H37" i="17"/>
  <c r="T37" i="17" s="1"/>
  <c r="I56" i="9" s="1"/>
  <c r="BO42" i="20" s="1"/>
  <c r="H53" i="17"/>
  <c r="T53" i="17" s="1"/>
  <c r="I58" i="9" s="1"/>
  <c r="BO41" i="20" s="1"/>
  <c r="H29" i="17"/>
  <c r="T29" i="17" s="1"/>
  <c r="I55" i="9" s="1"/>
  <c r="BO40" i="20" s="1"/>
  <c r="T101" i="17"/>
  <c r="I64" i="9" s="1"/>
  <c r="BO49" i="20" s="1"/>
  <c r="H77" i="17"/>
  <c r="T77" i="17" s="1"/>
  <c r="I61" i="9" s="1"/>
  <c r="BO46" i="20" s="1"/>
  <c r="H61" i="17"/>
  <c r="T61" i="17" s="1"/>
  <c r="I59" i="9" s="1"/>
  <c r="BO44" i="20" s="1"/>
  <c r="H45" i="17"/>
  <c r="T45" i="17" s="1"/>
  <c r="I57" i="9" s="1"/>
  <c r="BO43" i="20" s="1"/>
  <c r="H67" i="11"/>
  <c r="H15" i="11"/>
  <c r="I25" i="9"/>
  <c r="AQ25" i="9" s="1"/>
  <c r="F42" i="11"/>
  <c r="AR38" i="2"/>
  <c r="K51" i="16"/>
  <c r="J23" i="9"/>
  <c r="AR23" i="9" s="1"/>
  <c r="H11" i="11"/>
  <c r="N25" i="2"/>
  <c r="F23" i="11"/>
  <c r="AV23" i="2"/>
  <c r="G35" i="11"/>
  <c r="F43" i="11"/>
  <c r="AS38" i="2"/>
  <c r="J25" i="2"/>
  <c r="F16" i="11"/>
  <c r="AR24" i="2"/>
  <c r="M21" i="8"/>
  <c r="AT22" i="20"/>
  <c r="G64" i="19" s="1"/>
  <c r="G41" i="11"/>
  <c r="I51" i="16"/>
  <c r="H102" i="17"/>
  <c r="T102" i="17" s="1"/>
  <c r="K64" i="9" s="1"/>
  <c r="BQ49" i="20" s="1"/>
  <c r="G12" i="11"/>
  <c r="K23" i="8"/>
  <c r="AS23" i="8" s="1"/>
  <c r="F17" i="11"/>
  <c r="K25" i="2"/>
  <c r="AS24" i="2"/>
  <c r="G36" i="11"/>
  <c r="F15" i="11"/>
  <c r="I25" i="2"/>
  <c r="AQ24" i="2"/>
  <c r="H20" i="11"/>
  <c r="H50" i="11" s="1"/>
  <c r="M21" i="9"/>
  <c r="O25" i="9"/>
  <c r="H24" i="11"/>
  <c r="I34" i="2"/>
  <c r="F31" i="11"/>
  <c r="AQ33" i="2"/>
  <c r="F36" i="11"/>
  <c r="AR37" i="2"/>
  <c r="F41" i="11"/>
  <c r="AQ38" i="2"/>
  <c r="G102" i="17"/>
  <c r="S102" i="17" s="1"/>
  <c r="K64" i="8" s="1"/>
  <c r="AW49" i="20" s="1"/>
  <c r="G54" i="17"/>
  <c r="S54" i="17" s="1"/>
  <c r="K58" i="8" s="1"/>
  <c r="AW41" i="20" s="1"/>
  <c r="G30" i="17"/>
  <c r="S30" i="17" s="1"/>
  <c r="K55" i="8" s="1"/>
  <c r="AW40" i="20" s="1"/>
  <c r="G14" i="17"/>
  <c r="S14" i="17" s="1"/>
  <c r="K53" i="8" s="1"/>
  <c r="AW38" i="20" s="1"/>
  <c r="G86" i="17"/>
  <c r="S86" i="17" s="1"/>
  <c r="K62" i="8" s="1"/>
  <c r="AW47" i="20" s="1"/>
  <c r="G78" i="17"/>
  <c r="S78" i="17" s="1"/>
  <c r="K61" i="8" s="1"/>
  <c r="AW46" i="20" s="1"/>
  <c r="G62" i="17"/>
  <c r="S62" i="17" s="1"/>
  <c r="K59" i="8" s="1"/>
  <c r="AW44" i="20" s="1"/>
  <c r="G38" i="17"/>
  <c r="S38" i="17" s="1"/>
  <c r="K56" i="8" s="1"/>
  <c r="AW42" i="20" s="1"/>
  <c r="G46" i="17"/>
  <c r="S46" i="17" s="1"/>
  <c r="K57" i="8" s="1"/>
  <c r="AW43" i="20" s="1"/>
  <c r="G22" i="17"/>
  <c r="S22" i="17" s="1"/>
  <c r="K54" i="8" s="1"/>
  <c r="AW39" i="20" s="1"/>
  <c r="G94" i="17"/>
  <c r="S94" i="17" s="1"/>
  <c r="K63" i="8" s="1"/>
  <c r="AW48" i="20" s="1"/>
  <c r="G70" i="17"/>
  <c r="S70" i="17" s="1"/>
  <c r="K60" i="8" s="1"/>
  <c r="AW45" i="20" s="1"/>
  <c r="G68" i="11"/>
  <c r="F125" i="11"/>
  <c r="AP73" i="2"/>
  <c r="H129" i="17"/>
  <c r="T129" i="17" s="1"/>
  <c r="I79" i="9" s="1"/>
  <c r="H177" i="17"/>
  <c r="T177" i="17" s="1"/>
  <c r="I85" i="9" s="1"/>
  <c r="BO70" i="20" s="1"/>
  <c r="H161" i="17"/>
  <c r="T161" i="17" s="1"/>
  <c r="I83" i="9" s="1"/>
  <c r="BO68" i="20" s="1"/>
  <c r="H153" i="17"/>
  <c r="T153" i="17" s="1"/>
  <c r="I82" i="9" s="1"/>
  <c r="BO67" i="20" s="1"/>
  <c r="H145" i="17"/>
  <c r="T145" i="17" s="1"/>
  <c r="I81" i="9" s="1"/>
  <c r="BO66" i="20" s="1"/>
  <c r="H137" i="17"/>
  <c r="T137" i="17" s="1"/>
  <c r="I80" i="9" s="1"/>
  <c r="BO65" i="20" s="1"/>
  <c r="H121" i="17"/>
  <c r="T121" i="17" s="1"/>
  <c r="I78" i="9" s="1"/>
  <c r="BO63" i="20" s="1"/>
  <c r="H113" i="17"/>
  <c r="T113" i="17" s="1"/>
  <c r="I77" i="9" s="1"/>
  <c r="BO62" i="20" s="1"/>
  <c r="H107" i="11"/>
  <c r="H119" i="11"/>
  <c r="BS58" i="20"/>
  <c r="AE58" i="20"/>
  <c r="BT58" i="20"/>
  <c r="AZ58" i="20"/>
  <c r="AF58" i="20"/>
  <c r="BU59" i="20"/>
  <c r="BA59" i="20"/>
  <c r="BB59" i="20"/>
  <c r="AH59" i="20"/>
  <c r="AU60" i="20"/>
  <c r="H170" i="17"/>
  <c r="T170" i="17" s="1"/>
  <c r="K84" i="9" s="1"/>
  <c r="AU34" i="20"/>
  <c r="BE22" i="20"/>
  <c r="AW23" i="20"/>
  <c r="N21" i="8"/>
  <c r="N21" i="9"/>
  <c r="O21" i="8"/>
  <c r="Q73" i="16" l="1"/>
  <c r="F123" i="11"/>
  <c r="I123" i="11" s="1"/>
  <c r="K24" i="16"/>
  <c r="J24" i="16"/>
  <c r="H73" i="16"/>
  <c r="O23" i="16"/>
  <c r="AB15" i="20"/>
  <c r="J22" i="16"/>
  <c r="AA26" i="20"/>
  <c r="N21" i="16"/>
  <c r="AC15" i="20"/>
  <c r="K22" i="16"/>
  <c r="AM16" i="20"/>
  <c r="Z92" i="20"/>
  <c r="AK13" i="20"/>
  <c r="L19" i="16"/>
  <c r="N23" i="16"/>
  <c r="Z36" i="20"/>
  <c r="H50" i="16"/>
  <c r="Z28" i="20"/>
  <c r="Z73" i="20"/>
  <c r="I25" i="16"/>
  <c r="AC26" i="20"/>
  <c r="M23" i="16"/>
  <c r="AA15" i="20"/>
  <c r="I22" i="16"/>
  <c r="BG14" i="20"/>
  <c r="AV21" i="8"/>
  <c r="AN15" i="20"/>
  <c r="O21" i="2"/>
  <c r="O21" i="16" s="1"/>
  <c r="AL15" i="20"/>
  <c r="M21" i="2"/>
  <c r="M21" i="16" s="1"/>
  <c r="BF14" i="20"/>
  <c r="AU21" i="8"/>
  <c r="AM14" i="20"/>
  <c r="AV21" i="2"/>
  <c r="AV21" i="9"/>
  <c r="CA14" i="20"/>
  <c r="AW21" i="8"/>
  <c r="BH14" i="20"/>
  <c r="BZ14" i="20"/>
  <c r="AU21" i="9"/>
  <c r="AS84" i="9"/>
  <c r="BI84" i="9" s="1"/>
  <c r="BM84" i="9" s="1"/>
  <c r="BO84" i="9" s="1"/>
  <c r="BQ69" i="20"/>
  <c r="I111" i="11"/>
  <c r="AR24" i="9"/>
  <c r="BP16" i="20"/>
  <c r="AS38" i="8"/>
  <c r="AW27" i="20"/>
  <c r="AS24" i="8"/>
  <c r="AW16" i="20"/>
  <c r="AW23" i="8"/>
  <c r="BH15" i="20"/>
  <c r="AS37" i="8"/>
  <c r="BI37" i="8" s="1"/>
  <c r="AW26" i="20"/>
  <c r="AP50" i="8"/>
  <c r="AT36" i="20"/>
  <c r="AC32" i="20"/>
  <c r="AC23" i="20"/>
  <c r="AR22" i="8"/>
  <c r="AV15" i="20"/>
  <c r="L43" i="2"/>
  <c r="AK22" i="20"/>
  <c r="BQ58" i="20"/>
  <c r="BQ35" i="20"/>
  <c r="AR38" i="8"/>
  <c r="AV27" i="20"/>
  <c r="AW60" i="20"/>
  <c r="Z31" i="20"/>
  <c r="Z22" i="20"/>
  <c r="G63" i="19" s="1"/>
  <c r="AQ22" i="9"/>
  <c r="BO15" i="20"/>
  <c r="AV23" i="9"/>
  <c r="CA15" i="20"/>
  <c r="AP73" i="9"/>
  <c r="BN59" i="20"/>
  <c r="AP50" i="9"/>
  <c r="BN36" i="20"/>
  <c r="AQ22" i="8"/>
  <c r="AU15" i="20"/>
  <c r="AR24" i="8"/>
  <c r="AV16" i="20"/>
  <c r="AV23" i="8"/>
  <c r="BG15" i="20"/>
  <c r="AP39" i="8"/>
  <c r="AT28" i="20"/>
  <c r="AP73" i="8"/>
  <c r="AT59" i="20"/>
  <c r="AW35" i="20"/>
  <c r="AW25" i="9"/>
  <c r="AW128" i="9" s="1"/>
  <c r="AW133" i="9" s="1"/>
  <c r="CB16" i="20"/>
  <c r="AQ24" i="16"/>
  <c r="G16" i="20"/>
  <c r="G55" i="19" s="1"/>
  <c r="AS22" i="9"/>
  <c r="BQ15" i="20"/>
  <c r="AT19" i="8"/>
  <c r="BE13" i="20"/>
  <c r="BQ57" i="20"/>
  <c r="AU23" i="9"/>
  <c r="BZ15" i="20"/>
  <c r="BQ60" i="20"/>
  <c r="AU23" i="8"/>
  <c r="BF15" i="20"/>
  <c r="AS24" i="9"/>
  <c r="BQ16" i="20"/>
  <c r="AT32" i="8"/>
  <c r="L43" i="8"/>
  <c r="BE31" i="20" s="1"/>
  <c r="AS33" i="8"/>
  <c r="BI33" i="8" s="1"/>
  <c r="AW32" i="20"/>
  <c r="K45" i="2"/>
  <c r="F86" i="11"/>
  <c r="AS44" i="2"/>
  <c r="BI44" i="2" s="1"/>
  <c r="BM44" i="2" s="1"/>
  <c r="BO44" i="2" s="1"/>
  <c r="I45" i="8"/>
  <c r="AQ45" i="8" s="1"/>
  <c r="G85" i="11"/>
  <c r="AQ44" i="8"/>
  <c r="AP31" i="8"/>
  <c r="AT31" i="20"/>
  <c r="H43" i="2"/>
  <c r="F82" i="11"/>
  <c r="AP42" i="2"/>
  <c r="BI42" i="2" s="1"/>
  <c r="AQ45" i="2"/>
  <c r="I15" i="11"/>
  <c r="AR129" i="2"/>
  <c r="AS51" i="8"/>
  <c r="BI51" i="8" s="1"/>
  <c r="AQ47" i="8"/>
  <c r="I23" i="9"/>
  <c r="AQ23" i="9" s="1"/>
  <c r="H10" i="11"/>
  <c r="L34" i="8"/>
  <c r="BE23" i="20" s="1"/>
  <c r="L35" i="8"/>
  <c r="BI38" i="2"/>
  <c r="H148" i="2"/>
  <c r="AS25" i="2"/>
  <c r="F35" i="11"/>
  <c r="AQ37" i="2"/>
  <c r="I23" i="8"/>
  <c r="AQ23" i="8" s="1"/>
  <c r="G10" i="11"/>
  <c r="K34" i="8"/>
  <c r="AS34" i="8" s="1"/>
  <c r="BI34" i="8" s="1"/>
  <c r="G32" i="11"/>
  <c r="L34" i="2"/>
  <c r="L35" i="2"/>
  <c r="AT32" i="2"/>
  <c r="H125" i="11"/>
  <c r="G74" i="11"/>
  <c r="M25" i="9"/>
  <c r="H22" i="11"/>
  <c r="BI24" i="2"/>
  <c r="K34" i="2"/>
  <c r="F32" i="11"/>
  <c r="AS33" i="2"/>
  <c r="BI33" i="2" s="1"/>
  <c r="F20" i="11"/>
  <c r="AT19" i="2"/>
  <c r="G120" i="11"/>
  <c r="H32" i="2"/>
  <c r="F28" i="11"/>
  <c r="AP31" i="2"/>
  <c r="I23" i="2"/>
  <c r="F10" i="11"/>
  <c r="AQ22" i="2"/>
  <c r="BI47" i="9"/>
  <c r="N25" i="9"/>
  <c r="H23" i="11"/>
  <c r="AQ51" i="16"/>
  <c r="AQ51" i="2"/>
  <c r="BI51" i="2" s="1"/>
  <c r="M25" i="8"/>
  <c r="G22" i="11"/>
  <c r="N25" i="8"/>
  <c r="G23" i="11"/>
  <c r="G17" i="11"/>
  <c r="K25" i="8"/>
  <c r="AS25" i="8" s="1"/>
  <c r="G20" i="11"/>
  <c r="G50" i="11" s="1"/>
  <c r="G37" i="11"/>
  <c r="G48" i="11"/>
  <c r="H130" i="17"/>
  <c r="T130" i="17" s="1"/>
  <c r="K79" i="9" s="1"/>
  <c r="H178" i="17"/>
  <c r="T178" i="17" s="1"/>
  <c r="K85" i="9" s="1"/>
  <c r="BQ70" i="20" s="1"/>
  <c r="H162" i="17"/>
  <c r="T162" i="17" s="1"/>
  <c r="K83" i="9" s="1"/>
  <c r="BQ68" i="20" s="1"/>
  <c r="H154" i="17"/>
  <c r="T154" i="17" s="1"/>
  <c r="K82" i="9" s="1"/>
  <c r="BQ67" i="20" s="1"/>
  <c r="H146" i="17"/>
  <c r="T146" i="17" s="1"/>
  <c r="K81" i="9" s="1"/>
  <c r="BQ66" i="20" s="1"/>
  <c r="H138" i="17"/>
  <c r="T138" i="17" s="1"/>
  <c r="K80" i="9" s="1"/>
  <c r="BQ65" i="20" s="1"/>
  <c r="H122" i="17"/>
  <c r="T122" i="17" s="1"/>
  <c r="K78" i="9" s="1"/>
  <c r="BQ63" i="20" s="1"/>
  <c r="H114" i="17"/>
  <c r="T114" i="17" s="1"/>
  <c r="K77" i="9" s="1"/>
  <c r="BQ62" i="20" s="1"/>
  <c r="H108" i="11"/>
  <c r="G119" i="11"/>
  <c r="H114" i="11"/>
  <c r="BJ19" i="9"/>
  <c r="BJ17" i="9" s="1"/>
  <c r="AT128" i="9"/>
  <c r="F11" i="11"/>
  <c r="J23" i="2"/>
  <c r="AR22" i="2"/>
  <c r="G79" i="11"/>
  <c r="H32" i="8"/>
  <c r="G28" i="11"/>
  <c r="H80" i="19" s="1"/>
  <c r="J80" i="19" s="1"/>
  <c r="AR25" i="2"/>
  <c r="M25" i="2"/>
  <c r="F22" i="11"/>
  <c r="AU23" i="2"/>
  <c r="G43" i="11"/>
  <c r="F390" i="17"/>
  <c r="F383" i="17"/>
  <c r="F376" i="17"/>
  <c r="F369" i="17"/>
  <c r="F362" i="17"/>
  <c r="F355" i="17"/>
  <c r="F348" i="17"/>
  <c r="F341" i="17"/>
  <c r="F334" i="17"/>
  <c r="F323" i="17"/>
  <c r="F316" i="17"/>
  <c r="F309" i="17"/>
  <c r="F142" i="11"/>
  <c r="AP113" i="2"/>
  <c r="J25" i="8"/>
  <c r="AR25" i="8" s="1"/>
  <c r="G16" i="11"/>
  <c r="H12" i="11"/>
  <c r="K23" i="9"/>
  <c r="AS23" i="9" s="1"/>
  <c r="H16" i="11"/>
  <c r="J25" i="9"/>
  <c r="AR25" i="9" s="1"/>
  <c r="O25" i="8"/>
  <c r="G24" i="11"/>
  <c r="F48" i="11"/>
  <c r="AP39" i="2"/>
  <c r="S101" i="17"/>
  <c r="I64" i="8" s="1"/>
  <c r="AU49" i="20" s="1"/>
  <c r="G77" i="17"/>
  <c r="S77" i="17" s="1"/>
  <c r="I61" i="8" s="1"/>
  <c r="AU46" i="20" s="1"/>
  <c r="G61" i="17"/>
  <c r="S61" i="17" s="1"/>
  <c r="I59" i="8" s="1"/>
  <c r="AU44" i="20" s="1"/>
  <c r="G45" i="17"/>
  <c r="S45" i="17" s="1"/>
  <c r="I57" i="8" s="1"/>
  <c r="AU43" i="20" s="1"/>
  <c r="G21" i="17"/>
  <c r="S21" i="17" s="1"/>
  <c r="I54" i="8" s="1"/>
  <c r="AU39" i="20" s="1"/>
  <c r="G13" i="17"/>
  <c r="S13" i="17" s="1"/>
  <c r="I53" i="8" s="1"/>
  <c r="AU38" i="20" s="1"/>
  <c r="G93" i="17"/>
  <c r="S93" i="17" s="1"/>
  <c r="I63" i="8" s="1"/>
  <c r="AU48" i="20" s="1"/>
  <c r="G85" i="17"/>
  <c r="S85" i="17" s="1"/>
  <c r="I62" i="8" s="1"/>
  <c r="AU47" i="20" s="1"/>
  <c r="G69" i="17"/>
  <c r="S69" i="17" s="1"/>
  <c r="I60" i="8" s="1"/>
  <c r="AU45" i="20" s="1"/>
  <c r="G37" i="17"/>
  <c r="S37" i="17" s="1"/>
  <c r="I56" i="8" s="1"/>
  <c r="AU42" i="20" s="1"/>
  <c r="G53" i="17"/>
  <c r="S53" i="17" s="1"/>
  <c r="I58" i="8" s="1"/>
  <c r="AU41" i="20" s="1"/>
  <c r="G29" i="17"/>
  <c r="S29" i="17" s="1"/>
  <c r="I55" i="8" s="1"/>
  <c r="AU40" i="20" s="1"/>
  <c r="G67" i="11"/>
  <c r="G125" i="11"/>
  <c r="F263" i="17"/>
  <c r="F270" i="17"/>
  <c r="F298" i="17"/>
  <c r="F277" i="17"/>
  <c r="F189" i="17"/>
  <c r="F291" i="17"/>
  <c r="F284" i="17"/>
  <c r="F256" i="17"/>
  <c r="F249" i="17"/>
  <c r="F242" i="17"/>
  <c r="F235" i="17"/>
  <c r="F137" i="11"/>
  <c r="F203" i="17"/>
  <c r="F196" i="17"/>
  <c r="F224" i="17"/>
  <c r="F217" i="17"/>
  <c r="F210" i="17"/>
  <c r="AP94" i="2"/>
  <c r="BI73" i="2"/>
  <c r="H155" i="2"/>
  <c r="AP131" i="2"/>
  <c r="H79" i="11"/>
  <c r="AQ34" i="2"/>
  <c r="AQ25" i="16"/>
  <c r="AQ25" i="2"/>
  <c r="F12" i="11"/>
  <c r="K23" i="2"/>
  <c r="AS22" i="2"/>
  <c r="H120" i="11"/>
  <c r="H74" i="11"/>
  <c r="G42" i="11"/>
  <c r="F37" i="11"/>
  <c r="AS37" i="2"/>
  <c r="O25" i="2"/>
  <c r="F24" i="11"/>
  <c r="AW23" i="2"/>
  <c r="J23" i="8"/>
  <c r="AR23" i="8" s="1"/>
  <c r="G11" i="11"/>
  <c r="AV25" i="2"/>
  <c r="AV128" i="2" s="1"/>
  <c r="AV133" i="2" s="1"/>
  <c r="F79" i="11"/>
  <c r="AP50" i="2"/>
  <c r="H17" i="11"/>
  <c r="K25" i="9"/>
  <c r="AS25" i="9" s="1"/>
  <c r="AQ129" i="8"/>
  <c r="AS51" i="16"/>
  <c r="T71" i="16"/>
  <c r="L58" i="20"/>
  <c r="H138" i="19" s="1"/>
  <c r="AG59" i="20"/>
  <c r="N25" i="16" l="1"/>
  <c r="R73" i="16"/>
  <c r="H124" i="11"/>
  <c r="I124" i="11" s="1"/>
  <c r="BI38" i="8"/>
  <c r="BJ21" i="8"/>
  <c r="K23" i="16"/>
  <c r="AS23" i="16" s="1"/>
  <c r="I23" i="16"/>
  <c r="AQ23" i="16" s="1"/>
  <c r="AL16" i="20"/>
  <c r="M25" i="16"/>
  <c r="AK24" i="20"/>
  <c r="J23" i="16"/>
  <c r="AR23" i="16" s="1"/>
  <c r="J25" i="16"/>
  <c r="AR25" i="16" s="1"/>
  <c r="K25" i="16"/>
  <c r="AS25" i="16" s="1"/>
  <c r="AN16" i="20"/>
  <c r="O25" i="16"/>
  <c r="AK31" i="20"/>
  <c r="BJ21" i="9"/>
  <c r="AN14" i="20"/>
  <c r="AW21" i="2"/>
  <c r="AL14" i="20"/>
  <c r="AU21" i="2"/>
  <c r="BI24" i="9"/>
  <c r="R14" i="20"/>
  <c r="AU21" i="16"/>
  <c r="T14" i="20"/>
  <c r="AW21" i="16"/>
  <c r="S15" i="20"/>
  <c r="AQ129" i="2"/>
  <c r="I22" i="11"/>
  <c r="AT43" i="2"/>
  <c r="BJ43" i="2" s="1"/>
  <c r="I79" i="11"/>
  <c r="AR128" i="8"/>
  <c r="I24" i="11"/>
  <c r="AS128" i="8"/>
  <c r="H145" i="19"/>
  <c r="J145" i="19" s="1"/>
  <c r="H140" i="19"/>
  <c r="G145" i="19"/>
  <c r="G112" i="11"/>
  <c r="I112" i="11" s="1"/>
  <c r="AR24" i="16"/>
  <c r="H16" i="20"/>
  <c r="AS24" i="16"/>
  <c r="I16" i="20"/>
  <c r="AS22" i="16"/>
  <c r="I15" i="20"/>
  <c r="G53" i="19" s="1"/>
  <c r="G54" i="19" s="1"/>
  <c r="AU23" i="16"/>
  <c r="R15" i="20"/>
  <c r="AU25" i="9"/>
  <c r="BZ16" i="20"/>
  <c r="AT35" i="8"/>
  <c r="BJ35" i="8" s="1"/>
  <c r="BM35" i="8" s="1"/>
  <c r="BO35" i="8" s="1"/>
  <c r="BE24" i="20"/>
  <c r="AW25" i="8"/>
  <c r="AW128" i="8" s="1"/>
  <c r="AW133" i="8" s="1"/>
  <c r="BH16" i="20"/>
  <c r="AR22" i="16"/>
  <c r="H15" i="20"/>
  <c r="G51" i="19" s="1"/>
  <c r="G52" i="19" s="1"/>
  <c r="AU25" i="8"/>
  <c r="AU128" i="8" s="1"/>
  <c r="AU133" i="8" s="1"/>
  <c r="BF16" i="20"/>
  <c r="AV25" i="9"/>
  <c r="CA16" i="20"/>
  <c r="L45" i="2"/>
  <c r="AT45" i="2" s="1"/>
  <c r="BJ45" i="2" s="1"/>
  <c r="AK23" i="20"/>
  <c r="AP50" i="16"/>
  <c r="F36" i="20"/>
  <c r="G106" i="19" s="1"/>
  <c r="H106" i="19" s="1"/>
  <c r="J106" i="19" s="1"/>
  <c r="AW23" i="16"/>
  <c r="T15" i="20"/>
  <c r="AQ22" i="16"/>
  <c r="G15" i="20"/>
  <c r="G49" i="19" s="1"/>
  <c r="G50" i="19" s="1"/>
  <c r="H55" i="19" s="1"/>
  <c r="J55" i="19" s="1"/>
  <c r="AT19" i="16"/>
  <c r="Q13" i="20"/>
  <c r="AP73" i="16"/>
  <c r="BI73" i="16" s="1"/>
  <c r="F59" i="20"/>
  <c r="G107" i="19" s="1"/>
  <c r="H107" i="19" s="1"/>
  <c r="J107" i="19" s="1"/>
  <c r="AV25" i="8"/>
  <c r="AV128" i="8" s="1"/>
  <c r="AV133" i="8" s="1"/>
  <c r="BG16" i="20"/>
  <c r="AT34" i="8"/>
  <c r="BJ34" i="8" s="1"/>
  <c r="BM34" i="8" s="1"/>
  <c r="BO34" i="8" s="1"/>
  <c r="L45" i="8"/>
  <c r="BE32" i="20" s="1"/>
  <c r="H43" i="8"/>
  <c r="AP43" i="8" s="1"/>
  <c r="BI43" i="8" s="1"/>
  <c r="G82" i="11"/>
  <c r="AP42" i="8"/>
  <c r="BI42" i="8" s="1"/>
  <c r="AS45" i="2"/>
  <c r="BI45" i="2" s="1"/>
  <c r="AP43" i="2"/>
  <c r="BI43" i="2" s="1"/>
  <c r="AT43" i="8"/>
  <c r="BM42" i="2"/>
  <c r="BO42" i="2" s="1"/>
  <c r="K45" i="8"/>
  <c r="AS45" i="8" s="1"/>
  <c r="BI45" i="8" s="1"/>
  <c r="G86" i="11"/>
  <c r="AS44" i="8"/>
  <c r="BI44" i="8" s="1"/>
  <c r="BM44" i="8" s="1"/>
  <c r="BO44" i="8" s="1"/>
  <c r="I23" i="11"/>
  <c r="BI25" i="2"/>
  <c r="I10" i="11"/>
  <c r="AP32" i="8"/>
  <c r="BI32" i="8" s="1"/>
  <c r="AV23" i="16"/>
  <c r="AR129" i="8"/>
  <c r="H148" i="8"/>
  <c r="BI24" i="8"/>
  <c r="H143" i="8"/>
  <c r="I125" i="11"/>
  <c r="AR128" i="9"/>
  <c r="I17" i="11"/>
  <c r="BI25" i="9"/>
  <c r="I16" i="11"/>
  <c r="BI25" i="8"/>
  <c r="BI50" i="9"/>
  <c r="H153" i="9"/>
  <c r="AQ57" i="9"/>
  <c r="AQ57" i="8"/>
  <c r="R277" i="17"/>
  <c r="AQ62" i="8"/>
  <c r="AQ62" i="9"/>
  <c r="R362" i="17"/>
  <c r="AR23" i="2"/>
  <c r="AR128" i="2" s="1"/>
  <c r="AR133" i="2" s="1"/>
  <c r="AQ54" i="8"/>
  <c r="AQ54" i="9"/>
  <c r="BI31" i="2"/>
  <c r="F50" i="11"/>
  <c r="I50" i="11" s="1"/>
  <c r="I20" i="11"/>
  <c r="AS54" i="8"/>
  <c r="AS54" i="9"/>
  <c r="AT35" i="2"/>
  <c r="BJ35" i="2" s="1"/>
  <c r="BM35" i="2" s="1"/>
  <c r="BO35" i="2" s="1"/>
  <c r="BI22" i="9"/>
  <c r="H142" i="9"/>
  <c r="AQ128" i="9"/>
  <c r="AW25" i="2"/>
  <c r="AQ82" i="9"/>
  <c r="AS53" i="9"/>
  <c r="AS53" i="8"/>
  <c r="AS23" i="2"/>
  <c r="AS128" i="2" s="1"/>
  <c r="BI94" i="2"/>
  <c r="R224" i="17"/>
  <c r="R235" i="17"/>
  <c r="R284" i="17"/>
  <c r="R298" i="17"/>
  <c r="AS128" i="9"/>
  <c r="H143" i="9"/>
  <c r="H149" i="8"/>
  <c r="R309" i="17"/>
  <c r="R341" i="17"/>
  <c r="R369" i="17"/>
  <c r="BI39" i="8"/>
  <c r="H150" i="8"/>
  <c r="AQ78" i="9"/>
  <c r="AQ80" i="9"/>
  <c r="AT34" i="2"/>
  <c r="BJ34" i="2" s="1"/>
  <c r="BJ32" i="8"/>
  <c r="AS62" i="9"/>
  <c r="AS62" i="8"/>
  <c r="AS64" i="8"/>
  <c r="AS64" i="9"/>
  <c r="R334" i="17"/>
  <c r="R390" i="17"/>
  <c r="AQ81" i="9"/>
  <c r="AS61" i="9"/>
  <c r="AS61" i="8"/>
  <c r="AS59" i="8"/>
  <c r="AS59" i="9"/>
  <c r="AQ77" i="9"/>
  <c r="AS60" i="9"/>
  <c r="AS60" i="8"/>
  <c r="I12" i="11"/>
  <c r="AQ55" i="8"/>
  <c r="AQ55" i="9"/>
  <c r="R196" i="17"/>
  <c r="R242" i="17"/>
  <c r="R291" i="17"/>
  <c r="R270" i="17"/>
  <c r="BI39" i="2"/>
  <c r="H149" i="2"/>
  <c r="AQ58" i="8"/>
  <c r="AQ58" i="9"/>
  <c r="BI113" i="2"/>
  <c r="R316" i="17"/>
  <c r="R348" i="17"/>
  <c r="R376" i="17"/>
  <c r="BJ23" i="2"/>
  <c r="AU25" i="2"/>
  <c r="BI31" i="8"/>
  <c r="BI50" i="8"/>
  <c r="H153" i="8"/>
  <c r="AQ79" i="9"/>
  <c r="AS58" i="9"/>
  <c r="AS58" i="8"/>
  <c r="I11" i="11"/>
  <c r="AQ64" i="8"/>
  <c r="AQ64" i="9"/>
  <c r="BJ19" i="8"/>
  <c r="BJ17" i="8" s="1"/>
  <c r="AT128" i="8"/>
  <c r="BJ23" i="8"/>
  <c r="BI22" i="2"/>
  <c r="AQ23" i="2"/>
  <c r="BJ19" i="2"/>
  <c r="BJ17" i="2" s="1"/>
  <c r="AT128" i="2"/>
  <c r="AS34" i="2"/>
  <c r="BI34" i="2" s="1"/>
  <c r="AS55" i="9"/>
  <c r="AS55" i="8"/>
  <c r="BJ23" i="9"/>
  <c r="AQ63" i="8"/>
  <c r="AQ63" i="9"/>
  <c r="AQ61" i="8"/>
  <c r="AQ61" i="9"/>
  <c r="BJ32" i="2"/>
  <c r="BI23" i="8"/>
  <c r="BI37" i="2"/>
  <c r="H147" i="2"/>
  <c r="AQ83" i="9"/>
  <c r="AS63" i="8"/>
  <c r="AS63" i="9"/>
  <c r="BI50" i="2"/>
  <c r="H152" i="2"/>
  <c r="AQ60" i="9"/>
  <c r="AQ60" i="8"/>
  <c r="R217" i="17"/>
  <c r="R256" i="17"/>
  <c r="BI73" i="8"/>
  <c r="H156" i="8"/>
  <c r="AP131" i="8"/>
  <c r="AS57" i="9"/>
  <c r="AS57" i="8"/>
  <c r="AQ53" i="9"/>
  <c r="AQ53" i="8"/>
  <c r="AS56" i="9"/>
  <c r="AS56" i="8"/>
  <c r="AP32" i="2"/>
  <c r="BI32" i="2" s="1"/>
  <c r="H142" i="2"/>
  <c r="AQ56" i="9"/>
  <c r="AQ56" i="8"/>
  <c r="R210" i="17"/>
  <c r="R203" i="17"/>
  <c r="R249" i="17"/>
  <c r="R189" i="17"/>
  <c r="R263" i="17"/>
  <c r="BI47" i="8"/>
  <c r="R323" i="17"/>
  <c r="R355" i="17"/>
  <c r="R383" i="17"/>
  <c r="BI51" i="16"/>
  <c r="AQ85" i="9"/>
  <c r="BI73" i="9"/>
  <c r="H156" i="9"/>
  <c r="AP131" i="9"/>
  <c r="AS129" i="8"/>
  <c r="BI22" i="8"/>
  <c r="H142" i="8"/>
  <c r="AQ128" i="8"/>
  <c r="AQ59" i="9"/>
  <c r="AQ59" i="8"/>
  <c r="BI23" i="9"/>
  <c r="AY58" i="20"/>
  <c r="BV59" i="20"/>
  <c r="M59" i="20"/>
  <c r="AK32" i="20" l="1"/>
  <c r="H156" i="16"/>
  <c r="AW128" i="2"/>
  <c r="AW133" i="2" s="1"/>
  <c r="BJ21" i="2"/>
  <c r="S14" i="20"/>
  <c r="AV21" i="16"/>
  <c r="BJ21" i="16" s="1"/>
  <c r="BI23" i="2"/>
  <c r="BM23" i="2" s="1"/>
  <c r="BO23" i="2" s="1"/>
  <c r="AR133" i="8"/>
  <c r="BM43" i="2"/>
  <c r="AP130" i="2"/>
  <c r="AP130" i="8"/>
  <c r="AP131" i="16"/>
  <c r="H145" i="9"/>
  <c r="I145" i="9" s="1"/>
  <c r="AV128" i="9"/>
  <c r="AV133" i="9" s="1"/>
  <c r="G102" i="19"/>
  <c r="H102" i="19" s="1"/>
  <c r="J102" i="19" s="1"/>
  <c r="H147" i="8"/>
  <c r="AT130" i="2"/>
  <c r="BM45" i="2"/>
  <c r="BI41" i="2"/>
  <c r="AW25" i="16"/>
  <c r="AW128" i="16" s="1"/>
  <c r="AW133" i="16" s="1"/>
  <c r="T16" i="20"/>
  <c r="AV25" i="16"/>
  <c r="S16" i="20"/>
  <c r="AU25" i="16"/>
  <c r="R16" i="20"/>
  <c r="AP129" i="8"/>
  <c r="BI41" i="8"/>
  <c r="BM42" i="8"/>
  <c r="BO42" i="8" s="1"/>
  <c r="AT45" i="8"/>
  <c r="BJ45" i="8" s="1"/>
  <c r="BM45" i="8" s="1"/>
  <c r="BJ41" i="2"/>
  <c r="BJ40" i="2" s="1"/>
  <c r="BJ130" i="2" s="1"/>
  <c r="BJ43" i="8"/>
  <c r="BM43" i="8" s="1"/>
  <c r="AQ128" i="2"/>
  <c r="BI25" i="16"/>
  <c r="H143" i="16"/>
  <c r="AT129" i="2"/>
  <c r="BM34" i="2"/>
  <c r="BO34" i="2" s="1"/>
  <c r="H144" i="2"/>
  <c r="I144" i="2" s="1"/>
  <c r="AS129" i="2"/>
  <c r="BJ25" i="2"/>
  <c r="BM25" i="2" s="1"/>
  <c r="BI24" i="16"/>
  <c r="BJ30" i="8"/>
  <c r="BJ26" i="8" s="1"/>
  <c r="BJ129" i="8" s="1"/>
  <c r="BM32" i="2"/>
  <c r="BO32" i="2" s="1"/>
  <c r="AS128" i="16"/>
  <c r="AR128" i="16"/>
  <c r="BJ19" i="16"/>
  <c r="BJ17" i="16" s="1"/>
  <c r="AT128" i="16"/>
  <c r="H125" i="2"/>
  <c r="BM113" i="2"/>
  <c r="H107" i="2"/>
  <c r="H121" i="2"/>
  <c r="AS78" i="9"/>
  <c r="H106" i="2"/>
  <c r="H104" i="2"/>
  <c r="H98" i="2"/>
  <c r="AS80" i="9"/>
  <c r="H99" i="2"/>
  <c r="BM23" i="8"/>
  <c r="BO23" i="8" s="1"/>
  <c r="BI23" i="16"/>
  <c r="AU128" i="2"/>
  <c r="AU133" i="2" s="1"/>
  <c r="H118" i="2"/>
  <c r="AT129" i="8"/>
  <c r="H119" i="2"/>
  <c r="BI30" i="2"/>
  <c r="H122" i="2"/>
  <c r="BI36" i="8"/>
  <c r="H120" i="2"/>
  <c r="H103" i="2"/>
  <c r="BJ25" i="9"/>
  <c r="BM25" i="9" s="1"/>
  <c r="BJ25" i="8"/>
  <c r="BM32" i="8"/>
  <c r="BO32" i="8" s="1"/>
  <c r="H111" i="2"/>
  <c r="H102" i="2"/>
  <c r="BI59" i="9"/>
  <c r="BM59" i="9" s="1"/>
  <c r="AS83" i="9"/>
  <c r="BJ23" i="16"/>
  <c r="H95" i="2"/>
  <c r="H97" i="2"/>
  <c r="H105" i="2"/>
  <c r="BJ30" i="2"/>
  <c r="BJ26" i="2" s="1"/>
  <c r="BJ129" i="2" s="1"/>
  <c r="AS77" i="9"/>
  <c r="H78" i="19"/>
  <c r="J78" i="19" s="1"/>
  <c r="H141" i="2"/>
  <c r="H145" i="8"/>
  <c r="H126" i="2"/>
  <c r="H123" i="2"/>
  <c r="H114" i="2"/>
  <c r="BM94" i="2"/>
  <c r="AS85" i="9"/>
  <c r="H108" i="2"/>
  <c r="BI59" i="8"/>
  <c r="BM59" i="8" s="1"/>
  <c r="H116" i="2"/>
  <c r="AS81" i="9"/>
  <c r="BM23" i="9"/>
  <c r="BO23" i="9" s="1"/>
  <c r="BI22" i="16"/>
  <c r="H142" i="16"/>
  <c r="AQ128" i="16"/>
  <c r="BI36" i="2"/>
  <c r="AS82" i="9"/>
  <c r="AU128" i="9"/>
  <c r="AU133" i="9" s="1"/>
  <c r="BI30" i="8"/>
  <c r="H124" i="2"/>
  <c r="H115" i="2"/>
  <c r="H110" i="2"/>
  <c r="H96" i="2"/>
  <c r="H109" i="2"/>
  <c r="H100" i="2"/>
  <c r="BI50" i="16"/>
  <c r="H153" i="16"/>
  <c r="H146" i="2"/>
  <c r="BI54" i="8"/>
  <c r="BM54" i="8" s="1"/>
  <c r="K58" i="20"/>
  <c r="G153" i="19" s="1"/>
  <c r="J153" i="19" s="1"/>
  <c r="N59" i="20"/>
  <c r="AV128" i="16" l="1"/>
  <c r="AV133" i="16" s="1"/>
  <c r="Z79" i="20"/>
  <c r="Z76" i="20"/>
  <c r="Z98" i="20"/>
  <c r="Z75" i="20"/>
  <c r="Z94" i="20"/>
  <c r="Z93" i="20"/>
  <c r="Z84" i="20"/>
  <c r="Z86" i="20"/>
  <c r="Z103" i="20"/>
  <c r="Z90" i="20"/>
  <c r="Z78" i="20"/>
  <c r="Z87" i="20"/>
  <c r="Z102" i="20"/>
  <c r="Z74" i="20"/>
  <c r="Z97" i="20"/>
  <c r="Z85" i="20"/>
  <c r="Z100" i="20"/>
  <c r="Z101" i="20"/>
  <c r="Z77" i="20"/>
  <c r="Z104" i="20"/>
  <c r="Z105" i="20"/>
  <c r="Z99" i="20"/>
  <c r="Z88" i="20"/>
  <c r="Z89" i="20"/>
  <c r="Z95" i="20"/>
  <c r="Z81" i="20"/>
  <c r="Z82" i="20"/>
  <c r="Z83" i="20"/>
  <c r="BJ20" i="2"/>
  <c r="BJ16" i="2" s="1"/>
  <c r="BJ128" i="2" s="1"/>
  <c r="BJ136" i="2" s="1"/>
  <c r="BM136" i="2" s="1"/>
  <c r="BO136" i="2" s="1"/>
  <c r="BR136" i="2" s="1"/>
  <c r="BM25" i="8"/>
  <c r="BJ20" i="8"/>
  <c r="BJ16" i="8" s="1"/>
  <c r="BJ128" i="8" s="1"/>
  <c r="BJ136" i="8" s="1"/>
  <c r="BM136" i="8" s="1"/>
  <c r="BO136" i="8" s="1"/>
  <c r="BR136" i="8" s="1"/>
  <c r="BJ20" i="9"/>
  <c r="BJ16" i="9" s="1"/>
  <c r="BJ128" i="9" s="1"/>
  <c r="BJ136" i="9" s="1"/>
  <c r="BM136" i="9" s="1"/>
  <c r="BO136" i="9" s="1"/>
  <c r="BR136" i="9" s="1"/>
  <c r="AT133" i="2"/>
  <c r="AT130" i="8"/>
  <c r="AT133" i="8" s="1"/>
  <c r="G103" i="19"/>
  <c r="H103" i="19" s="1"/>
  <c r="J103" i="19" s="1"/>
  <c r="BJ41" i="8"/>
  <c r="BJ40" i="8" s="1"/>
  <c r="BJ130" i="8" s="1"/>
  <c r="BM41" i="2"/>
  <c r="H143" i="2"/>
  <c r="I143" i="2" s="1"/>
  <c r="AS79" i="9"/>
  <c r="BI79" i="9" s="1"/>
  <c r="BM79" i="9" s="1"/>
  <c r="BO79" i="9" s="1"/>
  <c r="BI61" i="8"/>
  <c r="BM61" i="8" s="1"/>
  <c r="BI56" i="9"/>
  <c r="BM56" i="9" s="1"/>
  <c r="BI58" i="9"/>
  <c r="BM58" i="9" s="1"/>
  <c r="BO58" i="9" s="1"/>
  <c r="BI57" i="9"/>
  <c r="BM57" i="9" s="1"/>
  <c r="BO57" i="9" s="1"/>
  <c r="BM23" i="16"/>
  <c r="BO23" i="16" s="1"/>
  <c r="H145" i="16"/>
  <c r="I145" i="16" s="1"/>
  <c r="AP105" i="2"/>
  <c r="BI105" i="2" s="1"/>
  <c r="BM105" i="2" s="1"/>
  <c r="BO105" i="2" s="1"/>
  <c r="BI55" i="9"/>
  <c r="BM55" i="9" s="1"/>
  <c r="AP119" i="2"/>
  <c r="BI119" i="2" s="1"/>
  <c r="BM119" i="2" s="1"/>
  <c r="BO119" i="2" s="1"/>
  <c r="BI64" i="9"/>
  <c r="BM64" i="9" s="1"/>
  <c r="BO64" i="9" s="1"/>
  <c r="AP116" i="2"/>
  <c r="BI116" i="2" s="1"/>
  <c r="BM116" i="2" s="1"/>
  <c r="BO116" i="2" s="1"/>
  <c r="AP126" i="2"/>
  <c r="BI126" i="2" s="1"/>
  <c r="BM126" i="2" s="1"/>
  <c r="BO126" i="2" s="1"/>
  <c r="AP98" i="2"/>
  <c r="BI98" i="2" s="1"/>
  <c r="BM98" i="2" s="1"/>
  <c r="BO98" i="2" s="1"/>
  <c r="AP107" i="2"/>
  <c r="BI107" i="2" s="1"/>
  <c r="BM107" i="2" s="1"/>
  <c r="BO107" i="2" s="1"/>
  <c r="AP96" i="2"/>
  <c r="BI96" i="2" s="1"/>
  <c r="BM96" i="2" s="1"/>
  <c r="BO96" i="2" s="1"/>
  <c r="AP108" i="2"/>
  <c r="BI108" i="2" s="1"/>
  <c r="BM108" i="2" s="1"/>
  <c r="BO108" i="2" s="1"/>
  <c r="AP95" i="2"/>
  <c r="BI80" i="9"/>
  <c r="BM80" i="9" s="1"/>
  <c r="BO80" i="9" s="1"/>
  <c r="BJ25" i="16"/>
  <c r="BM25" i="16" s="1"/>
  <c r="AP114" i="2"/>
  <c r="AP97" i="2"/>
  <c r="BI97" i="2" s="1"/>
  <c r="BM97" i="2" s="1"/>
  <c r="BO97" i="2" s="1"/>
  <c r="BI62" i="9"/>
  <c r="BM62" i="9" s="1"/>
  <c r="AP100" i="2"/>
  <c r="BI100" i="2" s="1"/>
  <c r="BM100" i="2" s="1"/>
  <c r="BO100" i="2" s="1"/>
  <c r="AP109" i="2"/>
  <c r="BI109" i="2" s="1"/>
  <c r="BM109" i="2" s="1"/>
  <c r="BO109" i="2" s="1"/>
  <c r="AP115" i="2"/>
  <c r="BI115" i="2" s="1"/>
  <c r="BM115" i="2" s="1"/>
  <c r="BO115" i="2" s="1"/>
  <c r="BI63" i="8"/>
  <c r="BM63" i="8" s="1"/>
  <c r="BO63" i="8" s="1"/>
  <c r="AU128" i="16"/>
  <c r="AU133" i="16" s="1"/>
  <c r="AP111" i="2"/>
  <c r="BI111" i="2" s="1"/>
  <c r="BM111" i="2" s="1"/>
  <c r="BI54" i="9"/>
  <c r="BM54" i="9" s="1"/>
  <c r="BI63" i="9"/>
  <c r="BM63" i="9" s="1"/>
  <c r="BO63" i="9" s="1"/>
  <c r="BI60" i="9"/>
  <c r="BM60" i="9" s="1"/>
  <c r="AP99" i="2"/>
  <c r="BI99" i="2" s="1"/>
  <c r="BM99" i="2" s="1"/>
  <c r="BO99" i="2" s="1"/>
  <c r="AP106" i="2"/>
  <c r="BI106" i="2" s="1"/>
  <c r="BM106" i="2" s="1"/>
  <c r="BO106" i="2" s="1"/>
  <c r="AP121" i="2"/>
  <c r="BI121" i="2" s="1"/>
  <c r="BM121" i="2" s="1"/>
  <c r="BO121" i="2" s="1"/>
  <c r="AP125" i="2"/>
  <c r="BI125" i="2" s="1"/>
  <c r="BM125" i="2" s="1"/>
  <c r="BO125" i="2" s="1"/>
  <c r="BI81" i="9"/>
  <c r="BM81" i="9" s="1"/>
  <c r="BO81" i="9" s="1"/>
  <c r="BI53" i="8"/>
  <c r="H151" i="8"/>
  <c r="BI61" i="9"/>
  <c r="BM61" i="9" s="1"/>
  <c r="AP124" i="2"/>
  <c r="BI124" i="2" s="1"/>
  <c r="BM124" i="2" s="1"/>
  <c r="BO124" i="2" s="1"/>
  <c r="BI62" i="8"/>
  <c r="BM62" i="8" s="1"/>
  <c r="BI55" i="8"/>
  <c r="BM55" i="8" s="1"/>
  <c r="AP110" i="2"/>
  <c r="BI110" i="2" s="1"/>
  <c r="BM110" i="2" s="1"/>
  <c r="BO110" i="2" s="1"/>
  <c r="BI26" i="8"/>
  <c r="BI82" i="9"/>
  <c r="BM82" i="9" s="1"/>
  <c r="BO82" i="9" s="1"/>
  <c r="BI53" i="9"/>
  <c r="H151" i="9"/>
  <c r="BI58" i="8"/>
  <c r="BM58" i="8" s="1"/>
  <c r="BO58" i="8" s="1"/>
  <c r="BI60" i="8"/>
  <c r="BM60" i="8" s="1"/>
  <c r="BI85" i="9"/>
  <c r="BM85" i="9" s="1"/>
  <c r="BO85" i="9" s="1"/>
  <c r="AP123" i="2"/>
  <c r="BI123" i="2" s="1"/>
  <c r="BM123" i="2" s="1"/>
  <c r="BO123" i="2" s="1"/>
  <c r="I145" i="8"/>
  <c r="H144" i="8"/>
  <c r="I144" i="8" s="1"/>
  <c r="BI57" i="8"/>
  <c r="BM57" i="8" s="1"/>
  <c r="BO57" i="8" s="1"/>
  <c r="AP102" i="2"/>
  <c r="AP103" i="2"/>
  <c r="BI103" i="2" s="1"/>
  <c r="BM103" i="2" s="1"/>
  <c r="BO103" i="2" s="1"/>
  <c r="AP120" i="2"/>
  <c r="BI120" i="2" s="1"/>
  <c r="BM120" i="2" s="1"/>
  <c r="BO120" i="2" s="1"/>
  <c r="AP122" i="2"/>
  <c r="BI122" i="2" s="1"/>
  <c r="BM122" i="2" s="1"/>
  <c r="BO122" i="2" s="1"/>
  <c r="AP118" i="2"/>
  <c r="BI64" i="8"/>
  <c r="BM64" i="8" s="1"/>
  <c r="BO64" i="8" s="1"/>
  <c r="BI83" i="9"/>
  <c r="BM83" i="9" s="1"/>
  <c r="BO83" i="9" s="1"/>
  <c r="BI56" i="8"/>
  <c r="BM56" i="8" s="1"/>
  <c r="AP104" i="2"/>
  <c r="BI104" i="2" s="1"/>
  <c r="BM104" i="2" s="1"/>
  <c r="BO104" i="2" s="1"/>
  <c r="BI78" i="9"/>
  <c r="BM78" i="9" s="1"/>
  <c r="BO78" i="9" s="1"/>
  <c r="BJ20" i="16" l="1"/>
  <c r="BJ16" i="16" s="1"/>
  <c r="BJ128" i="16" s="1"/>
  <c r="BJ136" i="16" s="1"/>
  <c r="BM136" i="16" s="1"/>
  <c r="BJ133" i="2"/>
  <c r="BM41" i="8"/>
  <c r="BI102" i="2"/>
  <c r="H157" i="2"/>
  <c r="I157" i="2" s="1"/>
  <c r="BJ133" i="8"/>
  <c r="BI95" i="2"/>
  <c r="H156" i="2"/>
  <c r="I156" i="2" s="1"/>
  <c r="AP132" i="2"/>
  <c r="BM53" i="8"/>
  <c r="BM53" i="9"/>
  <c r="BI129" i="8"/>
  <c r="BI77" i="9"/>
  <c r="BI118" i="2"/>
  <c r="H159" i="2"/>
  <c r="I159" i="2" s="1"/>
  <c r="BI114" i="2"/>
  <c r="H158" i="2"/>
  <c r="I158" i="2" s="1"/>
  <c r="BO136" i="16" l="1"/>
  <c r="BM77" i="9"/>
  <c r="BO77" i="9" s="1"/>
  <c r="BM95" i="2"/>
  <c r="BO95" i="2" s="1"/>
  <c r="BI93" i="2"/>
  <c r="BI101" i="2"/>
  <c r="BM101" i="2" s="1"/>
  <c r="BM102" i="2"/>
  <c r="BO102" i="2" s="1"/>
  <c r="BM114" i="2"/>
  <c r="BO114" i="2" s="1"/>
  <c r="BI112" i="2"/>
  <c r="BM112" i="2" s="1"/>
  <c r="BM118" i="2"/>
  <c r="BO118" i="2" s="1"/>
  <c r="BI117" i="2"/>
  <c r="BM117" i="2" s="1"/>
  <c r="BM93" i="2" l="1"/>
  <c r="BI92" i="2"/>
  <c r="BI132" i="2" l="1"/>
  <c r="BM92" i="2"/>
  <c r="BM132" i="2" s="1"/>
  <c r="BT132" i="9" l="1"/>
  <c r="J11" i="19"/>
  <c r="O34" i="4"/>
  <c r="P34" i="4" s="1"/>
  <c r="Q34" i="4" s="1"/>
  <c r="BO132" i="2"/>
  <c r="BR132" i="2" s="1"/>
  <c r="P13" i="4"/>
  <c r="Q13" i="4" s="1"/>
  <c r="H39" i="16" l="1"/>
  <c r="AP39" i="9" l="1"/>
  <c r="BN28" i="20"/>
  <c r="H48" i="11"/>
  <c r="I48" i="11" s="1"/>
  <c r="AP39" i="16" l="1"/>
  <c r="F28" i="20"/>
  <c r="G105" i="19" s="1"/>
  <c r="H105" i="19" s="1"/>
  <c r="J105" i="19" s="1"/>
  <c r="BI39" i="9"/>
  <c r="H150" i="9"/>
  <c r="BI39" i="16" l="1"/>
  <c r="H150" i="16"/>
  <c r="BN13" i="20" l="1"/>
  <c r="H21" i="9"/>
  <c r="AT13" i="20"/>
  <c r="H21" i="8"/>
  <c r="H7" i="11"/>
  <c r="G7" i="11"/>
  <c r="H19" i="9"/>
  <c r="H19" i="8"/>
  <c r="AT14" i="20" l="1"/>
  <c r="AP21" i="8"/>
  <c r="BI21" i="8" s="1"/>
  <c r="AP21" i="9"/>
  <c r="BI21" i="9" s="1"/>
  <c r="BN14" i="20"/>
  <c r="AP19" i="9"/>
  <c r="BI19" i="9" s="1"/>
  <c r="BM19" i="9" s="1"/>
  <c r="BO19" i="9" s="1"/>
  <c r="AP19" i="8"/>
  <c r="BI19" i="8" s="1"/>
  <c r="BM19" i="8" s="1"/>
  <c r="BO19" i="8" s="1"/>
  <c r="BI20" i="8" l="1"/>
  <c r="BM21" i="8"/>
  <c r="BI20" i="9"/>
  <c r="BM21" i="9"/>
  <c r="H7" i="2" l="1"/>
  <c r="H21" i="2" l="1"/>
  <c r="H21" i="16" s="1"/>
  <c r="H18" i="16"/>
  <c r="AP21" i="2"/>
  <c r="BI21" i="2" s="1"/>
  <c r="F7" i="11"/>
  <c r="Z13" i="20"/>
  <c r="H19" i="2"/>
  <c r="H19" i="16" s="1"/>
  <c r="Z14" i="20" l="1"/>
  <c r="BI20" i="2"/>
  <c r="BM21" i="2"/>
  <c r="F13" i="20"/>
  <c r="AP19" i="2"/>
  <c r="BI19" i="2" s="1"/>
  <c r="BM19" i="2" s="1"/>
  <c r="BO19" i="2" s="1"/>
  <c r="G45" i="19"/>
  <c r="H56" i="19" s="1"/>
  <c r="J56" i="19" s="1"/>
  <c r="I7" i="11"/>
  <c r="G44" i="19" l="1"/>
  <c r="H49" i="19" s="1"/>
  <c r="J49" i="19" s="1"/>
  <c r="F14" i="20"/>
  <c r="AP21" i="16"/>
  <c r="BI21" i="16" s="1"/>
  <c r="AP19" i="16"/>
  <c r="H53" i="19" l="1"/>
  <c r="J53" i="19" s="1"/>
  <c r="H50" i="19"/>
  <c r="J50" i="19" s="1"/>
  <c r="H54" i="19"/>
  <c r="J54" i="19" s="1"/>
  <c r="H51" i="19"/>
  <c r="J51" i="19" s="1"/>
  <c r="H52" i="19"/>
  <c r="J52" i="19" s="1"/>
  <c r="BI20" i="16"/>
  <c r="BM21" i="16"/>
  <c r="BI19" i="16"/>
  <c r="BM19" i="16" s="1"/>
  <c r="BO19" i="16" s="1"/>
  <c r="T70" i="3" l="1"/>
  <c r="G51" i="3"/>
  <c r="G22" i="3"/>
  <c r="H18" i="3"/>
  <c r="H137" i="3" l="1"/>
  <c r="Y18" i="16"/>
  <c r="AA18" i="3"/>
  <c r="AA17" i="3" s="1"/>
  <c r="Y18" i="9"/>
  <c r="Y18" i="8"/>
  <c r="X18" i="3"/>
  <c r="Y18" i="2"/>
  <c r="H128" i="3"/>
  <c r="H133" i="3" s="1"/>
  <c r="AK70" i="16"/>
  <c r="AK70" i="8"/>
  <c r="AK70" i="9"/>
  <c r="AK70" i="2"/>
  <c r="X22" i="16"/>
  <c r="X22" i="9"/>
  <c r="X22" i="8"/>
  <c r="W22" i="3"/>
  <c r="X22" i="2"/>
  <c r="X51" i="16"/>
  <c r="X51" i="9"/>
  <c r="X51" i="8"/>
  <c r="W51" i="3"/>
  <c r="X51" i="2"/>
  <c r="Y128" i="2" l="1"/>
  <c r="Y133" i="2" s="1"/>
  <c r="BF18" i="2"/>
  <c r="BF128" i="2" s="1"/>
  <c r="AP18" i="2"/>
  <c r="BB70" i="16"/>
  <c r="AO22" i="16"/>
  <c r="BE22" i="16"/>
  <c r="BF18" i="8"/>
  <c r="BF128" i="8" s="1"/>
  <c r="Y128" i="8"/>
  <c r="Y133" i="8" s="1"/>
  <c r="AP18" i="8"/>
  <c r="BF18" i="16"/>
  <c r="BF128" i="16" s="1"/>
  <c r="Y128" i="16"/>
  <c r="Y133" i="16" s="1"/>
  <c r="AP18" i="16"/>
  <c r="AO51" i="16"/>
  <c r="BH51" i="16" s="1"/>
  <c r="BM51" i="16" s="1"/>
  <c r="BO51" i="16" s="1"/>
  <c r="BE51" i="16"/>
  <c r="AO22" i="9"/>
  <c r="BE22" i="9"/>
  <c r="BB70" i="8"/>
  <c r="AA16" i="3"/>
  <c r="AO51" i="8"/>
  <c r="BH51" i="8" s="1"/>
  <c r="BM51" i="8" s="1"/>
  <c r="BO51" i="8" s="1"/>
  <c r="BE51" i="8"/>
  <c r="BE22" i="2"/>
  <c r="AO22" i="2"/>
  <c r="BB70" i="2"/>
  <c r="X128" i="3"/>
  <c r="AO51" i="9"/>
  <c r="BH51" i="9" s="1"/>
  <c r="BM51" i="9" s="1"/>
  <c r="BO51" i="9" s="1"/>
  <c r="BE51" i="9"/>
  <c r="AO51" i="2"/>
  <c r="BH51" i="2" s="1"/>
  <c r="BM51" i="2" s="1"/>
  <c r="BO51" i="2" s="1"/>
  <c r="BE51" i="2"/>
  <c r="Z70" i="16"/>
  <c r="Z70" i="9"/>
  <c r="Z70" i="8"/>
  <c r="Z70" i="2"/>
  <c r="AO22" i="8"/>
  <c r="BE22" i="8"/>
  <c r="BB70" i="9"/>
  <c r="BF18" i="9"/>
  <c r="BF128" i="9" s="1"/>
  <c r="Y128" i="9"/>
  <c r="Y133" i="9" s="1"/>
  <c r="AP18" i="9"/>
  <c r="I137" i="3"/>
  <c r="H164" i="3"/>
  <c r="T74" i="3"/>
  <c r="T71" i="3"/>
  <c r="R73" i="3"/>
  <c r="Q73" i="3"/>
  <c r="P71" i="3"/>
  <c r="K74" i="3"/>
  <c r="K71" i="3"/>
  <c r="G74" i="3"/>
  <c r="G73" i="3"/>
  <c r="I74" i="3"/>
  <c r="R50" i="3"/>
  <c r="Q50" i="3"/>
  <c r="K48" i="3"/>
  <c r="T38" i="3"/>
  <c r="R39" i="3"/>
  <c r="Q39" i="3"/>
  <c r="G71" i="3"/>
  <c r="G70" i="3"/>
  <c r="G50" i="3"/>
  <c r="G48" i="3"/>
  <c r="G47" i="3"/>
  <c r="G39" i="3"/>
  <c r="G38" i="3"/>
  <c r="G37" i="3"/>
  <c r="G33" i="3"/>
  <c r="G31" i="3"/>
  <c r="U24" i="3"/>
  <c r="G24" i="3"/>
  <c r="G18" i="3"/>
  <c r="X24" i="16" l="1"/>
  <c r="X24" i="9"/>
  <c r="X24" i="8"/>
  <c r="X24" i="2"/>
  <c r="W24" i="3"/>
  <c r="AH39" i="16"/>
  <c r="AH39" i="8"/>
  <c r="AH39" i="9"/>
  <c r="Q129" i="3"/>
  <c r="AH39" i="2"/>
  <c r="Z74" i="16"/>
  <c r="AA74" i="3"/>
  <c r="Z74" i="8"/>
  <c r="Z74" i="9"/>
  <c r="Z74" i="2"/>
  <c r="X74" i="3"/>
  <c r="AK74" i="16"/>
  <c r="BB74" i="16" s="1"/>
  <c r="AK74" i="8"/>
  <c r="BB74" i="8" s="1"/>
  <c r="AK74" i="9"/>
  <c r="BB74" i="9" s="1"/>
  <c r="AK74" i="2"/>
  <c r="BB74" i="2" s="1"/>
  <c r="X38" i="16"/>
  <c r="X38" i="9"/>
  <c r="X38" i="8"/>
  <c r="W38" i="3"/>
  <c r="X38" i="2"/>
  <c r="AI39" i="16"/>
  <c r="AI39" i="9"/>
  <c r="AI39" i="8"/>
  <c r="AI39" i="2"/>
  <c r="R129" i="3"/>
  <c r="AJ47" i="16"/>
  <c r="AJ47" i="9"/>
  <c r="AJ47" i="8"/>
  <c r="AJ47" i="2"/>
  <c r="S130" i="3"/>
  <c r="X31" i="16"/>
  <c r="X31" i="9"/>
  <c r="X31" i="8"/>
  <c r="W31" i="3"/>
  <c r="X31" i="2"/>
  <c r="G129" i="3"/>
  <c r="X39" i="16"/>
  <c r="X39" i="8"/>
  <c r="X39" i="9"/>
  <c r="X39" i="2"/>
  <c r="W39" i="3"/>
  <c r="X70" i="16"/>
  <c r="X70" i="9"/>
  <c r="X70" i="8"/>
  <c r="G131" i="3"/>
  <c r="W70" i="3"/>
  <c r="X70" i="2"/>
  <c r="AK38" i="16"/>
  <c r="AK38" i="8"/>
  <c r="AK38" i="9"/>
  <c r="AK38" i="2"/>
  <c r="T129" i="3"/>
  <c r="AH50" i="16"/>
  <c r="AH50" i="9"/>
  <c r="AH50" i="8"/>
  <c r="Q130" i="3"/>
  <c r="AH50" i="2"/>
  <c r="AK47" i="16"/>
  <c r="AK47" i="8"/>
  <c r="AK47" i="9"/>
  <c r="T130" i="3"/>
  <c r="AK47" i="2"/>
  <c r="X74" i="16"/>
  <c r="X74" i="8"/>
  <c r="X74" i="9"/>
  <c r="W74" i="3"/>
  <c r="X74" i="2"/>
  <c r="AG71" i="16"/>
  <c r="AG71" i="9"/>
  <c r="AG71" i="8"/>
  <c r="P131" i="3"/>
  <c r="AG71" i="2"/>
  <c r="AJ70" i="16"/>
  <c r="AJ70" i="9"/>
  <c r="AJ70" i="8"/>
  <c r="AJ70" i="2"/>
  <c r="S131" i="3"/>
  <c r="BF135" i="9"/>
  <c r="BH22" i="8"/>
  <c r="G142" i="8"/>
  <c r="I142" i="8" s="1"/>
  <c r="AA128" i="3"/>
  <c r="AC128" i="3"/>
  <c r="BH22" i="9"/>
  <c r="G142" i="9"/>
  <c r="I142" i="9" s="1"/>
  <c r="BF135" i="8"/>
  <c r="BH22" i="16"/>
  <c r="G142" i="16"/>
  <c r="I142" i="16" s="1"/>
  <c r="X48" i="16"/>
  <c r="X48" i="9"/>
  <c r="X48" i="8"/>
  <c r="W48" i="3"/>
  <c r="X48" i="2"/>
  <c r="AK48" i="16"/>
  <c r="BB48" i="16" s="1"/>
  <c r="AK48" i="8"/>
  <c r="BB48" i="8" s="1"/>
  <c r="AK48" i="9"/>
  <c r="BB48" i="9" s="1"/>
  <c r="AK48" i="2"/>
  <c r="BB48" i="2" s="1"/>
  <c r="AB71" i="16"/>
  <c r="AB71" i="8"/>
  <c r="AB71" i="9"/>
  <c r="AS71" i="9" s="1"/>
  <c r="AB71" i="2"/>
  <c r="BI18" i="9"/>
  <c r="BI17" i="9" s="1"/>
  <c r="BI16" i="9" s="1"/>
  <c r="BI128" i="9" s="1"/>
  <c r="H141" i="9"/>
  <c r="AP128" i="9"/>
  <c r="BI18" i="8"/>
  <c r="BI17" i="8" s="1"/>
  <c r="BI16" i="8" s="1"/>
  <c r="BI128" i="8" s="1"/>
  <c r="AP128" i="8"/>
  <c r="H141" i="8"/>
  <c r="BF135" i="2"/>
  <c r="AL24" i="16"/>
  <c r="AL24" i="8"/>
  <c r="AL24" i="9"/>
  <c r="U128" i="3"/>
  <c r="U133" i="3" s="1"/>
  <c r="AL24" i="2"/>
  <c r="X18" i="16"/>
  <c r="X18" i="8"/>
  <c r="X18" i="9"/>
  <c r="W18" i="3"/>
  <c r="X18" i="2"/>
  <c r="G128" i="3"/>
  <c r="X33" i="16"/>
  <c r="X33" i="9"/>
  <c r="X33" i="8"/>
  <c r="W33" i="3"/>
  <c r="X33" i="2"/>
  <c r="X47" i="16"/>
  <c r="X47" i="9"/>
  <c r="X47" i="8"/>
  <c r="W47" i="3"/>
  <c r="G130" i="3"/>
  <c r="X47" i="2"/>
  <c r="X71" i="16"/>
  <c r="X71" i="8"/>
  <c r="X71" i="9"/>
  <c r="W71" i="3"/>
  <c r="X71" i="2"/>
  <c r="I48" i="3"/>
  <c r="AI50" i="16"/>
  <c r="AI50" i="8"/>
  <c r="AI50" i="9"/>
  <c r="AI50" i="2"/>
  <c r="R130" i="3"/>
  <c r="I71" i="3"/>
  <c r="AH73" i="16"/>
  <c r="AH73" i="8"/>
  <c r="AH73" i="9"/>
  <c r="Q131" i="3"/>
  <c r="AH73" i="2"/>
  <c r="AK71" i="16"/>
  <c r="AK71" i="9"/>
  <c r="AK71" i="8"/>
  <c r="AK71" i="2"/>
  <c r="T131" i="3"/>
  <c r="AQ70" i="9"/>
  <c r="BF135" i="16"/>
  <c r="BI18" i="2"/>
  <c r="BI17" i="2" s="1"/>
  <c r="BI16" i="2" s="1"/>
  <c r="BI128" i="2" s="1"/>
  <c r="H140" i="2"/>
  <c r="AP128" i="2"/>
  <c r="X37" i="16"/>
  <c r="X37" i="8"/>
  <c r="X37" i="9"/>
  <c r="W37" i="3"/>
  <c r="X37" i="2"/>
  <c r="AB48" i="16"/>
  <c r="AB48" i="9"/>
  <c r="AB48" i="8"/>
  <c r="AB48" i="2"/>
  <c r="K130" i="3"/>
  <c r="AI73" i="16"/>
  <c r="AI73" i="9"/>
  <c r="AI73" i="8"/>
  <c r="R131" i="3"/>
  <c r="AI73" i="2"/>
  <c r="X50" i="16"/>
  <c r="X50" i="9"/>
  <c r="X50" i="8"/>
  <c r="W50" i="3"/>
  <c r="X50" i="2"/>
  <c r="AG48" i="16"/>
  <c r="AG48" i="8"/>
  <c r="AG48" i="9"/>
  <c r="P130" i="3"/>
  <c r="AG48" i="2"/>
  <c r="X73" i="16"/>
  <c r="X73" i="8"/>
  <c r="X73" i="9"/>
  <c r="W73" i="3"/>
  <c r="X73" i="2"/>
  <c r="AB74" i="16"/>
  <c r="AB74" i="8"/>
  <c r="AS74" i="8" s="1"/>
  <c r="AB74" i="9"/>
  <c r="AS74" i="9" s="1"/>
  <c r="AB74" i="2"/>
  <c r="AG74" i="16"/>
  <c r="AX74" i="16" s="1"/>
  <c r="AG74" i="9"/>
  <c r="AX74" i="9" s="1"/>
  <c r="AG74" i="8"/>
  <c r="AX74" i="8" s="1"/>
  <c r="AG74" i="2"/>
  <c r="AX74" i="2" s="1"/>
  <c r="BH22" i="2"/>
  <c r="G141" i="2"/>
  <c r="I141" i="2" s="1"/>
  <c r="BI18" i="16"/>
  <c r="BI17" i="16" s="1"/>
  <c r="BI16" i="16" s="1"/>
  <c r="BI128" i="16" s="1"/>
  <c r="H141" i="16"/>
  <c r="AP128" i="16"/>
  <c r="P133" i="3" l="1"/>
  <c r="BK74" i="16"/>
  <c r="BK74" i="2"/>
  <c r="BK74" i="9"/>
  <c r="W130" i="3"/>
  <c r="AO50" i="8"/>
  <c r="BE50" i="8"/>
  <c r="AO33" i="9"/>
  <c r="BH33" i="9" s="1"/>
  <c r="BE33" i="9"/>
  <c r="AO74" i="16"/>
  <c r="BH74" i="16" s="1"/>
  <c r="BE74" i="16"/>
  <c r="AY50" i="2"/>
  <c r="AH130" i="2"/>
  <c r="BB38" i="9"/>
  <c r="AK129" i="9"/>
  <c r="BE39" i="2"/>
  <c r="AO39" i="2"/>
  <c r="AO31" i="8"/>
  <c r="BE31" i="8"/>
  <c r="X129" i="8"/>
  <c r="AZ39" i="8"/>
  <c r="AZ129" i="8" s="1"/>
  <c r="AI129" i="8"/>
  <c r="AH129" i="9"/>
  <c r="AY39" i="9"/>
  <c r="BI135" i="16"/>
  <c r="BK74" i="8"/>
  <c r="AO73" i="8"/>
  <c r="BE73" i="8"/>
  <c r="AG130" i="16"/>
  <c r="AX48" i="16"/>
  <c r="AI131" i="2"/>
  <c r="AZ73" i="2"/>
  <c r="AZ131" i="2" s="1"/>
  <c r="AB130" i="8"/>
  <c r="AS48" i="8"/>
  <c r="AS130" i="8" s="1"/>
  <c r="AO37" i="2"/>
  <c r="BE37" i="2"/>
  <c r="AO37" i="16"/>
  <c r="BE37" i="16"/>
  <c r="BE73" i="2"/>
  <c r="AO73" i="2"/>
  <c r="AX48" i="9"/>
  <c r="AG130" i="9"/>
  <c r="BE50" i="2"/>
  <c r="AO50" i="2"/>
  <c r="AI131" i="16"/>
  <c r="AZ73" i="16"/>
  <c r="AB130" i="9"/>
  <c r="AS48" i="9"/>
  <c r="BB71" i="8"/>
  <c r="AK131" i="8"/>
  <c r="AH131" i="2"/>
  <c r="AY73" i="2"/>
  <c r="AZ50" i="9"/>
  <c r="AZ130" i="9" s="1"/>
  <c r="AI130" i="9"/>
  <c r="AO71" i="9"/>
  <c r="BE71" i="9"/>
  <c r="BE47" i="2"/>
  <c r="AO47" i="2"/>
  <c r="X130" i="2"/>
  <c r="AO47" i="9"/>
  <c r="BE47" i="9"/>
  <c r="X130" i="9"/>
  <c r="BE33" i="16"/>
  <c r="AO33" i="16"/>
  <c r="BH33" i="16" s="1"/>
  <c r="AO18" i="9"/>
  <c r="BE18" i="9"/>
  <c r="X128" i="9"/>
  <c r="BC24" i="2"/>
  <c r="AL128" i="2"/>
  <c r="AL133" i="2" s="1"/>
  <c r="AO48" i="8"/>
  <c r="BE48" i="8"/>
  <c r="BA70" i="8"/>
  <c r="AJ131" i="8"/>
  <c r="AG131" i="2"/>
  <c r="AX71" i="2"/>
  <c r="AO74" i="9"/>
  <c r="BH74" i="9" s="1"/>
  <c r="BE74" i="9"/>
  <c r="BB47" i="2"/>
  <c r="BB130" i="2" s="1"/>
  <c r="AK130" i="2"/>
  <c r="AY50" i="8"/>
  <c r="AH130" i="8"/>
  <c r="T133" i="3"/>
  <c r="BE70" i="16"/>
  <c r="X131" i="16"/>
  <c r="AO70" i="16"/>
  <c r="AO39" i="8"/>
  <c r="BE39" i="8"/>
  <c r="AO31" i="2"/>
  <c r="X129" i="2"/>
  <c r="BE31" i="2"/>
  <c r="BA47" i="8"/>
  <c r="AJ130" i="8"/>
  <c r="R133" i="3"/>
  <c r="AO38" i="8"/>
  <c r="BE38" i="8"/>
  <c r="BF74" i="8"/>
  <c r="AQ74" i="8"/>
  <c r="BI74" i="8" s="1"/>
  <c r="AY39" i="2"/>
  <c r="AH129" i="2"/>
  <c r="AO24" i="8"/>
  <c r="BE24" i="8"/>
  <c r="AO73" i="9"/>
  <c r="BE73" i="9"/>
  <c r="AI131" i="9"/>
  <c r="AZ73" i="9"/>
  <c r="AB130" i="16"/>
  <c r="BI135" i="8"/>
  <c r="BE48" i="2"/>
  <c r="AO48" i="2"/>
  <c r="BE74" i="2"/>
  <c r="AO74" i="2"/>
  <c r="BH74" i="2" s="1"/>
  <c r="AO70" i="9"/>
  <c r="X131" i="9"/>
  <c r="BE70" i="9"/>
  <c r="S133" i="3"/>
  <c r="AO38" i="2"/>
  <c r="BE38" i="2"/>
  <c r="BM22" i="2"/>
  <c r="BO22" i="2" s="1"/>
  <c r="AO73" i="16"/>
  <c r="BE73" i="16"/>
  <c r="AX48" i="8"/>
  <c r="AG130" i="8"/>
  <c r="AO50" i="16"/>
  <c r="BE50" i="16"/>
  <c r="AI131" i="8"/>
  <c r="AZ73" i="8"/>
  <c r="AZ131" i="8" s="1"/>
  <c r="AO37" i="9"/>
  <c r="BE37" i="9"/>
  <c r="BB71" i="9"/>
  <c r="BB131" i="9" s="1"/>
  <c r="AK131" i="9"/>
  <c r="AH131" i="16"/>
  <c r="AY73" i="16"/>
  <c r="AY131" i="16" s="1"/>
  <c r="H151" i="3"/>
  <c r="I151" i="3" s="1"/>
  <c r="AA71" i="3"/>
  <c r="Z71" i="16"/>
  <c r="Z71" i="8"/>
  <c r="Z71" i="9"/>
  <c r="Z71" i="2"/>
  <c r="X71" i="3"/>
  <c r="I131" i="3"/>
  <c r="AZ50" i="8"/>
  <c r="AZ130" i="8" s="1"/>
  <c r="AI130" i="8"/>
  <c r="H148" i="3"/>
  <c r="AA48" i="3"/>
  <c r="AA46" i="3" s="1"/>
  <c r="Z48" i="16"/>
  <c r="Z48" i="9"/>
  <c r="Z48" i="8"/>
  <c r="I130" i="3"/>
  <c r="Z48" i="2"/>
  <c r="X48" i="3"/>
  <c r="AO71" i="8"/>
  <c r="BE71" i="8"/>
  <c r="AO33" i="8"/>
  <c r="BH33" i="8" s="1"/>
  <c r="BM33" i="8" s="1"/>
  <c r="BO33" i="8" s="1"/>
  <c r="BE33" i="8"/>
  <c r="G133" i="3"/>
  <c r="AO18" i="8"/>
  <c r="X128" i="8"/>
  <c r="BE18" i="8"/>
  <c r="AL128" i="16"/>
  <c r="AL133" i="16" s="1"/>
  <c r="BC24" i="16"/>
  <c r="AO48" i="9"/>
  <c r="BE48" i="9"/>
  <c r="BM22" i="8"/>
  <c r="BO22" i="8" s="1"/>
  <c r="BA70" i="9"/>
  <c r="AJ131" i="9"/>
  <c r="AG131" i="16"/>
  <c r="AX71" i="16"/>
  <c r="AX131" i="16" s="1"/>
  <c r="AO74" i="8"/>
  <c r="BH74" i="8" s="1"/>
  <c r="BE74" i="8"/>
  <c r="BB47" i="16"/>
  <c r="BB130" i="16" s="1"/>
  <c r="AK130" i="16"/>
  <c r="AY50" i="9"/>
  <c r="AH130" i="9"/>
  <c r="BB38" i="2"/>
  <c r="AK129" i="2"/>
  <c r="AK129" i="16"/>
  <c r="BB38" i="16"/>
  <c r="AO70" i="8"/>
  <c r="X131" i="8"/>
  <c r="BE70" i="8"/>
  <c r="W129" i="3"/>
  <c r="BE31" i="16"/>
  <c r="X129" i="16"/>
  <c r="AO31" i="16"/>
  <c r="BA47" i="9"/>
  <c r="AJ130" i="9"/>
  <c r="AZ39" i="2"/>
  <c r="AZ129" i="2" s="1"/>
  <c r="AI129" i="2"/>
  <c r="AZ39" i="16"/>
  <c r="AZ129" i="16" s="1"/>
  <c r="AI129" i="16"/>
  <c r="AO38" i="9"/>
  <c r="BE38" i="9"/>
  <c r="Q133" i="3"/>
  <c r="AY39" i="16"/>
  <c r="AH129" i="16"/>
  <c r="AO24" i="9"/>
  <c r="BE24" i="9"/>
  <c r="AX48" i="2"/>
  <c r="AG130" i="2"/>
  <c r="AB130" i="2"/>
  <c r="AO37" i="8"/>
  <c r="BE37" i="8"/>
  <c r="AH131" i="9"/>
  <c r="AY73" i="9"/>
  <c r="AY131" i="9" s="1"/>
  <c r="BE71" i="2"/>
  <c r="AO71" i="2"/>
  <c r="BE47" i="16"/>
  <c r="X130" i="16"/>
  <c r="AO47" i="16"/>
  <c r="AO18" i="2"/>
  <c r="X128" i="2"/>
  <c r="BE18" i="2"/>
  <c r="AL128" i="9"/>
  <c r="AL133" i="9" s="1"/>
  <c r="BC24" i="9"/>
  <c r="AG131" i="8"/>
  <c r="AX71" i="8"/>
  <c r="AX131" i="8" s="1"/>
  <c r="BB47" i="9"/>
  <c r="BB130" i="9" s="1"/>
  <c r="AK130" i="9"/>
  <c r="AO70" i="2"/>
  <c r="BE70" i="2"/>
  <c r="X131" i="2"/>
  <c r="AO39" i="16"/>
  <c r="BE39" i="16"/>
  <c r="BF74" i="2"/>
  <c r="AO50" i="9"/>
  <c r="BE50" i="9"/>
  <c r="BI135" i="2"/>
  <c r="BB71" i="2"/>
  <c r="BB131" i="2" s="1"/>
  <c r="AK131" i="2"/>
  <c r="BB71" i="16"/>
  <c r="AK131" i="16"/>
  <c r="AH131" i="8"/>
  <c r="AY73" i="8"/>
  <c r="AB70" i="16"/>
  <c r="AB70" i="9"/>
  <c r="AB70" i="8"/>
  <c r="AB70" i="2"/>
  <c r="K131" i="3"/>
  <c r="K133" i="3" s="1"/>
  <c r="H150" i="3"/>
  <c r="X70" i="3"/>
  <c r="AA70" i="3"/>
  <c r="AZ50" i="2"/>
  <c r="AZ130" i="2" s="1"/>
  <c r="AI130" i="2"/>
  <c r="AI130" i="16"/>
  <c r="AZ50" i="16"/>
  <c r="AZ130" i="16" s="1"/>
  <c r="AO71" i="16"/>
  <c r="BE71" i="16"/>
  <c r="AO47" i="8"/>
  <c r="BE47" i="8"/>
  <c r="X130" i="8"/>
  <c r="AO33" i="2"/>
  <c r="BH33" i="2" s="1"/>
  <c r="BM33" i="2" s="1"/>
  <c r="BO33" i="2" s="1"/>
  <c r="BE33" i="2"/>
  <c r="W128" i="3"/>
  <c r="AO18" i="16"/>
  <c r="BE18" i="16"/>
  <c r="X128" i="16"/>
  <c r="AL128" i="8"/>
  <c r="AL133" i="8" s="1"/>
  <c r="BC24" i="8"/>
  <c r="BI135" i="9"/>
  <c r="AO48" i="16"/>
  <c r="BE48" i="16"/>
  <c r="BM22" i="16"/>
  <c r="BO22" i="16" s="1"/>
  <c r="BM22" i="9"/>
  <c r="BO22" i="9" s="1"/>
  <c r="BA70" i="2"/>
  <c r="AJ131" i="2"/>
  <c r="BA70" i="16"/>
  <c r="AJ131" i="16"/>
  <c r="AG131" i="9"/>
  <c r="AX71" i="9"/>
  <c r="BB47" i="8"/>
  <c r="BB130" i="8" s="1"/>
  <c r="AK130" i="8"/>
  <c r="AY50" i="16"/>
  <c r="AH130" i="16"/>
  <c r="BB38" i="8"/>
  <c r="AK129" i="8"/>
  <c r="W131" i="3"/>
  <c r="AO39" i="9"/>
  <c r="BE39" i="9"/>
  <c r="AO31" i="9"/>
  <c r="BE31" i="9"/>
  <c r="X129" i="9"/>
  <c r="BA47" i="2"/>
  <c r="AJ130" i="2"/>
  <c r="AJ130" i="16"/>
  <c r="BA47" i="16"/>
  <c r="AZ39" i="9"/>
  <c r="AZ129" i="9" s="1"/>
  <c r="AI129" i="9"/>
  <c r="AO38" i="16"/>
  <c r="BE38" i="16"/>
  <c r="BF74" i="9"/>
  <c r="AQ74" i="9"/>
  <c r="BI74" i="9" s="1"/>
  <c r="BF74" i="16"/>
  <c r="AY39" i="8"/>
  <c r="AH129" i="8"/>
  <c r="BE24" i="2"/>
  <c r="AO24" i="2"/>
  <c r="BE24" i="16"/>
  <c r="AO24" i="16"/>
  <c r="BE130" i="8" l="1"/>
  <c r="AA69" i="3"/>
  <c r="BM74" i="9"/>
  <c r="BO74" i="9" s="1"/>
  <c r="AG133" i="2"/>
  <c r="BE130" i="16"/>
  <c r="AG133" i="16"/>
  <c r="BE129" i="9"/>
  <c r="BE128" i="8"/>
  <c r="BE129" i="8"/>
  <c r="AH133" i="2"/>
  <c r="AH133" i="16"/>
  <c r="AJ133" i="8"/>
  <c r="AJ133" i="16"/>
  <c r="I133" i="3"/>
  <c r="W133" i="3"/>
  <c r="AK133" i="2"/>
  <c r="AK133" i="9"/>
  <c r="X133" i="9"/>
  <c r="BH73" i="16"/>
  <c r="G156" i="16"/>
  <c r="I156" i="16" s="1"/>
  <c r="BH48" i="8"/>
  <c r="G152" i="8"/>
  <c r="BH71" i="9"/>
  <c r="G155" i="9"/>
  <c r="BK71" i="8"/>
  <c r="BB131" i="8"/>
  <c r="BK48" i="9"/>
  <c r="AX130" i="9"/>
  <c r="BH37" i="2"/>
  <c r="G147" i="2"/>
  <c r="I147" i="2" s="1"/>
  <c r="AH133" i="9"/>
  <c r="BH24" i="16"/>
  <c r="G143" i="16"/>
  <c r="I143" i="16" s="1"/>
  <c r="AH133" i="8"/>
  <c r="AI133" i="9"/>
  <c r="AJ133" i="2"/>
  <c r="BH31" i="9"/>
  <c r="AO129" i="9"/>
  <c r="G147" i="9"/>
  <c r="BK38" i="8"/>
  <c r="BB129" i="8"/>
  <c r="BA131" i="2"/>
  <c r="BK70" i="2"/>
  <c r="X133" i="16"/>
  <c r="BH71" i="16"/>
  <c r="G155" i="16"/>
  <c r="BE131" i="2"/>
  <c r="BL24" i="9"/>
  <c r="BL20" i="9" s="1"/>
  <c r="BL16" i="9" s="1"/>
  <c r="BL128" i="9" s="1"/>
  <c r="BC128" i="9"/>
  <c r="BC133" i="9" s="1"/>
  <c r="BH18" i="2"/>
  <c r="G140" i="2"/>
  <c r="I140" i="2" s="1"/>
  <c r="AO128" i="2"/>
  <c r="AX130" i="2"/>
  <c r="BK48" i="2"/>
  <c r="AY129" i="16"/>
  <c r="BK39" i="16"/>
  <c r="AI133" i="2"/>
  <c r="BH31" i="16"/>
  <c r="G147" i="16"/>
  <c r="AO129" i="16"/>
  <c r="BH70" i="8"/>
  <c r="G154" i="8"/>
  <c r="AO131" i="8"/>
  <c r="BK38" i="2"/>
  <c r="BB129" i="2"/>
  <c r="BB133" i="2" s="1"/>
  <c r="Z130" i="2"/>
  <c r="BF48" i="2"/>
  <c r="BF130" i="2" s="1"/>
  <c r="BF71" i="2"/>
  <c r="Z131" i="2"/>
  <c r="BF71" i="16"/>
  <c r="Z131" i="16"/>
  <c r="BH37" i="9"/>
  <c r="G148" i="9"/>
  <c r="AZ133" i="8"/>
  <c r="AG133" i="8"/>
  <c r="BH48" i="2"/>
  <c r="G151" i="2"/>
  <c r="BH31" i="2"/>
  <c r="G146" i="2"/>
  <c r="I146" i="2" s="1"/>
  <c r="AO129" i="2"/>
  <c r="BE128" i="9"/>
  <c r="BH47" i="2"/>
  <c r="G150" i="2"/>
  <c r="AO130" i="2"/>
  <c r="BK73" i="2"/>
  <c r="AY131" i="2"/>
  <c r="BK73" i="16"/>
  <c r="AZ131" i="16"/>
  <c r="AZ133" i="16" s="1"/>
  <c r="BH50" i="2"/>
  <c r="G152" i="2"/>
  <c r="I152" i="2" s="1"/>
  <c r="AZ133" i="2"/>
  <c r="AI133" i="8"/>
  <c r="BH31" i="8"/>
  <c r="AO129" i="8"/>
  <c r="G147" i="8"/>
  <c r="I147" i="8" s="1"/>
  <c r="BB129" i="9"/>
  <c r="BB133" i="9" s="1"/>
  <c r="BK38" i="9"/>
  <c r="BH50" i="8"/>
  <c r="G153" i="8"/>
  <c r="I153" i="8" s="1"/>
  <c r="BK71" i="9"/>
  <c r="AX131" i="9"/>
  <c r="BH48" i="16"/>
  <c r="G152" i="16"/>
  <c r="I150" i="3"/>
  <c r="H168" i="3"/>
  <c r="X130" i="3"/>
  <c r="BH70" i="9"/>
  <c r="AO131" i="9"/>
  <c r="G154" i="9"/>
  <c r="BH70" i="16"/>
  <c r="AO131" i="16"/>
  <c r="G154" i="16"/>
  <c r="BK47" i="2"/>
  <c r="BA130" i="2"/>
  <c r="BE128" i="16"/>
  <c r="AB131" i="2"/>
  <c r="AB133" i="2" s="1"/>
  <c r="BF70" i="2"/>
  <c r="BK71" i="16"/>
  <c r="BB131" i="16"/>
  <c r="BH70" i="2"/>
  <c r="AO131" i="2"/>
  <c r="G153" i="2"/>
  <c r="BH47" i="16"/>
  <c r="G151" i="16"/>
  <c r="AO130" i="16"/>
  <c r="BH37" i="8"/>
  <c r="G148" i="8"/>
  <c r="I148" i="8" s="1"/>
  <c r="BH48" i="9"/>
  <c r="G152" i="9"/>
  <c r="X133" i="8"/>
  <c r="BF48" i="16"/>
  <c r="BF130" i="16" s="1"/>
  <c r="Z130" i="16"/>
  <c r="AQ71" i="9"/>
  <c r="BF71" i="9"/>
  <c r="Z131" i="9"/>
  <c r="BK48" i="8"/>
  <c r="AX130" i="8"/>
  <c r="AX133" i="8" s="1"/>
  <c r="BE131" i="9"/>
  <c r="BH24" i="8"/>
  <c r="G143" i="8"/>
  <c r="I143" i="8" s="1"/>
  <c r="BK39" i="2"/>
  <c r="AY129" i="2"/>
  <c r="BH38" i="8"/>
  <c r="G149" i="8"/>
  <c r="I149" i="8" s="1"/>
  <c r="BE131" i="16"/>
  <c r="BH18" i="9"/>
  <c r="G141" i="9"/>
  <c r="I141" i="9" s="1"/>
  <c r="AO128" i="9"/>
  <c r="BE130" i="9"/>
  <c r="BE130" i="2"/>
  <c r="BH37" i="16"/>
  <c r="G148" i="16"/>
  <c r="BH73" i="8"/>
  <c r="G156" i="8"/>
  <c r="I156" i="8" s="1"/>
  <c r="BH39" i="2"/>
  <c r="G149" i="2"/>
  <c r="I149" i="2" s="1"/>
  <c r="BH38" i="16"/>
  <c r="G149" i="16"/>
  <c r="AK133" i="8"/>
  <c r="AB131" i="9"/>
  <c r="AB133" i="9" s="1"/>
  <c r="AS70" i="9"/>
  <c r="BF70" i="9"/>
  <c r="BF131" i="9" s="1"/>
  <c r="BH50" i="9"/>
  <c r="G153" i="9"/>
  <c r="I153" i="9" s="1"/>
  <c r="X133" i="2"/>
  <c r="BA130" i="9"/>
  <c r="BK47" i="9"/>
  <c r="AQ48" i="9"/>
  <c r="Z130" i="9"/>
  <c r="BF48" i="9"/>
  <c r="BF130" i="9" s="1"/>
  <c r="I148" i="3"/>
  <c r="H167" i="3"/>
  <c r="H157" i="3"/>
  <c r="BH50" i="16"/>
  <c r="G153" i="16"/>
  <c r="I153" i="16" s="1"/>
  <c r="BH38" i="2"/>
  <c r="G148" i="2"/>
  <c r="I148" i="2" s="1"/>
  <c r="BH73" i="9"/>
  <c r="G156" i="9"/>
  <c r="BK71" i="2"/>
  <c r="AX131" i="2"/>
  <c r="BK39" i="8"/>
  <c r="AY129" i="8"/>
  <c r="AB131" i="16"/>
  <c r="AB133" i="16" s="1"/>
  <c r="BF70" i="16"/>
  <c r="BH38" i="9"/>
  <c r="G149" i="9"/>
  <c r="BK38" i="16"/>
  <c r="BB129" i="16"/>
  <c r="BH24" i="2"/>
  <c r="G142" i="2"/>
  <c r="I142" i="2" s="1"/>
  <c r="BK47" i="16"/>
  <c r="BA130" i="16"/>
  <c r="BH39" i="9"/>
  <c r="G150" i="9"/>
  <c r="I150" i="9" s="1"/>
  <c r="AY130" i="16"/>
  <c r="BK50" i="16"/>
  <c r="BK70" i="16"/>
  <c r="BA131" i="16"/>
  <c r="BL24" i="8"/>
  <c r="BL20" i="8" s="1"/>
  <c r="BL16" i="8" s="1"/>
  <c r="BL128" i="8" s="1"/>
  <c r="BC128" i="8"/>
  <c r="BC133" i="8" s="1"/>
  <c r="BH18" i="16"/>
  <c r="G141" i="16"/>
  <c r="AO128" i="16"/>
  <c r="BH47" i="8"/>
  <c r="AO130" i="8"/>
  <c r="G151" i="8"/>
  <c r="I151" i="8" s="1"/>
  <c r="X131" i="3"/>
  <c r="AB131" i="8"/>
  <c r="AB133" i="8" s="1"/>
  <c r="BF70" i="8"/>
  <c r="AY131" i="8"/>
  <c r="BK73" i="8"/>
  <c r="BH39" i="16"/>
  <c r="G150" i="16"/>
  <c r="I150" i="16" s="1"/>
  <c r="BE128" i="2"/>
  <c r="BH71" i="2"/>
  <c r="G154" i="2"/>
  <c r="BH24" i="9"/>
  <c r="G143" i="9"/>
  <c r="I143" i="9" s="1"/>
  <c r="AI133" i="16"/>
  <c r="AJ133" i="9"/>
  <c r="BE129" i="16"/>
  <c r="BE131" i="8"/>
  <c r="AK133" i="16"/>
  <c r="BK50" i="9"/>
  <c r="AY130" i="9"/>
  <c r="BK70" i="9"/>
  <c r="BA131" i="9"/>
  <c r="BL24" i="16"/>
  <c r="BL20" i="16" s="1"/>
  <c r="BL16" i="16" s="1"/>
  <c r="BL128" i="16" s="1"/>
  <c r="BC128" i="16"/>
  <c r="BC133" i="16" s="1"/>
  <c r="BH18" i="8"/>
  <c r="G141" i="8"/>
  <c r="I141" i="8" s="1"/>
  <c r="AO128" i="8"/>
  <c r="BH71" i="8"/>
  <c r="G155" i="8"/>
  <c r="AQ48" i="8"/>
  <c r="BF48" i="8"/>
  <c r="BF130" i="8" s="1"/>
  <c r="Z130" i="8"/>
  <c r="AA40" i="3"/>
  <c r="BF71" i="8"/>
  <c r="Z131" i="8"/>
  <c r="BK73" i="9"/>
  <c r="AZ131" i="9"/>
  <c r="AZ133" i="9" s="1"/>
  <c r="BM74" i="8"/>
  <c r="BO74" i="8" s="1"/>
  <c r="BA130" i="8"/>
  <c r="BK47" i="8"/>
  <c r="BE129" i="2"/>
  <c r="BH39" i="8"/>
  <c r="G150" i="8"/>
  <c r="I150" i="8" s="1"/>
  <c r="BK50" i="8"/>
  <c r="AY130" i="8"/>
  <c r="BA131" i="8"/>
  <c r="BK70" i="8"/>
  <c r="BL24" i="2"/>
  <c r="BL20" i="2" s="1"/>
  <c r="BL16" i="2" s="1"/>
  <c r="BL128" i="2" s="1"/>
  <c r="BC128" i="2"/>
  <c r="BC133" i="2" s="1"/>
  <c r="BH47" i="9"/>
  <c r="G151" i="9"/>
  <c r="I151" i="9" s="1"/>
  <c r="AO130" i="9"/>
  <c r="AG133" i="9"/>
  <c r="BH73" i="2"/>
  <c r="G155" i="2"/>
  <c r="AX130" i="16"/>
  <c r="AX133" i="16" s="1"/>
  <c r="BK48" i="16"/>
  <c r="BK39" i="9"/>
  <c r="AY129" i="9"/>
  <c r="AY130" i="2"/>
  <c r="BK50" i="2"/>
  <c r="AA68" i="3" l="1"/>
  <c r="AC131" i="3" s="1"/>
  <c r="BF131" i="2"/>
  <c r="BM38" i="2"/>
  <c r="BO38" i="2" s="1"/>
  <c r="BM39" i="16"/>
  <c r="BO39" i="16" s="1"/>
  <c r="BK36" i="16"/>
  <c r="BK26" i="16" s="1"/>
  <c r="BK129" i="16" s="1"/>
  <c r="BM73" i="2"/>
  <c r="BO73" i="2" s="1"/>
  <c r="BM38" i="8"/>
  <c r="BO38" i="8" s="1"/>
  <c r="Z133" i="9"/>
  <c r="BF131" i="16"/>
  <c r="BF133" i="16" s="1"/>
  <c r="BK69" i="8"/>
  <c r="BK68" i="8" s="1"/>
  <c r="BK131" i="8" s="1"/>
  <c r="BK46" i="8"/>
  <c r="BK40" i="8" s="1"/>
  <c r="BK130" i="8" s="1"/>
  <c r="BF131" i="8"/>
  <c r="BF133" i="8" s="1"/>
  <c r="BK69" i="2"/>
  <c r="BK68" i="2" s="1"/>
  <c r="BK131" i="2" s="1"/>
  <c r="BE133" i="8"/>
  <c r="BK69" i="16"/>
  <c r="BK68" i="16" s="1"/>
  <c r="BK131" i="16" s="1"/>
  <c r="BM73" i="9"/>
  <c r="BO73" i="9" s="1"/>
  <c r="BM39" i="2"/>
  <c r="BO39" i="2" s="1"/>
  <c r="BK46" i="2"/>
  <c r="BK40" i="2" s="1"/>
  <c r="BK130" i="2" s="1"/>
  <c r="BM50" i="8"/>
  <c r="BO50" i="8" s="1"/>
  <c r="BB133" i="8"/>
  <c r="AY133" i="9"/>
  <c r="AY133" i="16"/>
  <c r="BA133" i="2"/>
  <c r="Z133" i="16"/>
  <c r="Z133" i="8"/>
  <c r="BF133" i="9"/>
  <c r="BA133" i="16"/>
  <c r="I157" i="3"/>
  <c r="AX133" i="2"/>
  <c r="AX133" i="9"/>
  <c r="AO133" i="16"/>
  <c r="AO133" i="8"/>
  <c r="BL135" i="8"/>
  <c r="BL133" i="8"/>
  <c r="BM24" i="2"/>
  <c r="BO24" i="2" s="1"/>
  <c r="BH20" i="2"/>
  <c r="BK46" i="9"/>
  <c r="BK40" i="9" s="1"/>
  <c r="BK130" i="9" s="1"/>
  <c r="BH36" i="9"/>
  <c r="BH17" i="2"/>
  <c r="BM18" i="2"/>
  <c r="BO18" i="2" s="1"/>
  <c r="BM24" i="16"/>
  <c r="BO24" i="16" s="1"/>
  <c r="BH20" i="16"/>
  <c r="BM20" i="16" s="1"/>
  <c r="G160" i="2"/>
  <c r="I155" i="2"/>
  <c r="BL135" i="2"/>
  <c r="BL133" i="2"/>
  <c r="BA133" i="8"/>
  <c r="AA130" i="3"/>
  <c r="AC130" i="3"/>
  <c r="G161" i="8"/>
  <c r="BE133" i="2"/>
  <c r="G161" i="16"/>
  <c r="I141" i="16"/>
  <c r="BK46" i="16"/>
  <c r="BK40" i="16" s="1"/>
  <c r="BK130" i="16" s="1"/>
  <c r="AA131" i="3"/>
  <c r="BM50" i="16"/>
  <c r="BO50" i="16" s="1"/>
  <c r="BA133" i="9"/>
  <c r="BM73" i="8"/>
  <c r="BO73" i="8" s="1"/>
  <c r="BH17" i="9"/>
  <c r="BM18" i="9"/>
  <c r="BO18" i="9" s="1"/>
  <c r="BH36" i="8"/>
  <c r="BM37" i="8"/>
  <c r="BO37" i="8" s="1"/>
  <c r="BH69" i="2"/>
  <c r="BH69" i="8"/>
  <c r="BM73" i="16"/>
  <c r="BO73" i="16" s="1"/>
  <c r="BL135" i="16"/>
  <c r="BL133" i="16"/>
  <c r="BM50" i="9"/>
  <c r="BO50" i="9" s="1"/>
  <c r="BH36" i="16"/>
  <c r="BH30" i="2"/>
  <c r="BM31" i="2"/>
  <c r="BO31" i="2" s="1"/>
  <c r="BH17" i="8"/>
  <c r="BM18" i="8"/>
  <c r="BO18" i="8" s="1"/>
  <c r="BK69" i="9"/>
  <c r="BK68" i="9" s="1"/>
  <c r="BK131" i="9" s="1"/>
  <c r="BH17" i="16"/>
  <c r="BM18" i="16"/>
  <c r="BO18" i="16" s="1"/>
  <c r="H172" i="3"/>
  <c r="H170" i="3"/>
  <c r="H152" i="9"/>
  <c r="BI48" i="9"/>
  <c r="BH46" i="16"/>
  <c r="BB133" i="16"/>
  <c r="BH69" i="9"/>
  <c r="AY133" i="2"/>
  <c r="BH46" i="2"/>
  <c r="BF133" i="2"/>
  <c r="BK36" i="2"/>
  <c r="BK26" i="2" s="1"/>
  <c r="BK129" i="2" s="1"/>
  <c r="AO133" i="2"/>
  <c r="BL135" i="9"/>
  <c r="BL133" i="9"/>
  <c r="BH30" i="9"/>
  <c r="BH36" i="2"/>
  <c r="BM37" i="2"/>
  <c r="BO37" i="2" s="1"/>
  <c r="BI48" i="8"/>
  <c r="H152" i="8"/>
  <c r="AQ130" i="8"/>
  <c r="BH30" i="16"/>
  <c r="BM39" i="8"/>
  <c r="BO39" i="8" s="1"/>
  <c r="BH46" i="9"/>
  <c r="BM47" i="9"/>
  <c r="BO47" i="9" s="1"/>
  <c r="BM24" i="9"/>
  <c r="BO24" i="9" s="1"/>
  <c r="BH20" i="9"/>
  <c r="BM20" i="9" s="1"/>
  <c r="AY133" i="8"/>
  <c r="BH46" i="8"/>
  <c r="BM47" i="8"/>
  <c r="BO47" i="8" s="1"/>
  <c r="BM39" i="9"/>
  <c r="BO39" i="9" s="1"/>
  <c r="G161" i="9"/>
  <c r="I156" i="9"/>
  <c r="BI70" i="9"/>
  <c r="AS131" i="9"/>
  <c r="H154" i="9"/>
  <c r="I154" i="9" s="1"/>
  <c r="AO133" i="9"/>
  <c r="BM24" i="8"/>
  <c r="BO24" i="8" s="1"/>
  <c r="BH20" i="8"/>
  <c r="BM20" i="8" s="1"/>
  <c r="BI71" i="9"/>
  <c r="BM71" i="9" s="1"/>
  <c r="BO71" i="9" s="1"/>
  <c r="H155" i="9"/>
  <c r="I155" i="9" s="1"/>
  <c r="AQ131" i="9"/>
  <c r="BE133" i="16"/>
  <c r="BH69" i="16"/>
  <c r="BH68" i="16" s="1"/>
  <c r="X133" i="3"/>
  <c r="I158" i="3" s="1"/>
  <c r="BK36" i="9"/>
  <c r="BK26" i="9" s="1"/>
  <c r="BK129" i="9" s="1"/>
  <c r="BH30" i="8"/>
  <c r="BM31" i="8"/>
  <c r="BO31" i="8" s="1"/>
  <c r="BM50" i="2"/>
  <c r="BO50" i="2" s="1"/>
  <c r="BE133" i="9"/>
  <c r="Z133" i="2"/>
  <c r="BK36" i="8"/>
  <c r="BK26" i="8" s="1"/>
  <c r="BK129" i="8" s="1"/>
  <c r="BK133" i="8" l="1"/>
  <c r="BK133" i="16"/>
  <c r="BM36" i="2"/>
  <c r="BI69" i="9"/>
  <c r="BI68" i="9" s="1"/>
  <c r="BI131" i="9" s="1"/>
  <c r="BK133" i="2"/>
  <c r="BM70" i="9"/>
  <c r="BO70" i="9" s="1"/>
  <c r="I159" i="3"/>
  <c r="AA133" i="3"/>
  <c r="BM48" i="9"/>
  <c r="BO48" i="9" s="1"/>
  <c r="BI46" i="9"/>
  <c r="BH26" i="2"/>
  <c r="BM30" i="2"/>
  <c r="BH68" i="8"/>
  <c r="BH68" i="2"/>
  <c r="BH16" i="9"/>
  <c r="BM17" i="9"/>
  <c r="BH16" i="2"/>
  <c r="BH26" i="8"/>
  <c r="BM30" i="8"/>
  <c r="BH40" i="9"/>
  <c r="BH26" i="16"/>
  <c r="BM48" i="8"/>
  <c r="BO48" i="8" s="1"/>
  <c r="BI46" i="8"/>
  <c r="BI40" i="8" s="1"/>
  <c r="BI130" i="8" s="1"/>
  <c r="BH40" i="2"/>
  <c r="BH68" i="9"/>
  <c r="I152" i="9"/>
  <c r="BH16" i="8"/>
  <c r="BM17" i="8"/>
  <c r="AC133" i="3"/>
  <c r="I152" i="8"/>
  <c r="BH26" i="9"/>
  <c r="BH40" i="16"/>
  <c r="BH16" i="16"/>
  <c r="BM17" i="16"/>
  <c r="BM36" i="8"/>
  <c r="BH40" i="8"/>
  <c r="BK133" i="9"/>
  <c r="BM69" i="9" l="1"/>
  <c r="BM46" i="8"/>
  <c r="BH129" i="8"/>
  <c r="BM26" i="8"/>
  <c r="BM129" i="8" s="1"/>
  <c r="BH128" i="9"/>
  <c r="BM16" i="9"/>
  <c r="BM128" i="9" s="1"/>
  <c r="BH131" i="8"/>
  <c r="BH131" i="9"/>
  <c r="BM68" i="9"/>
  <c r="BM131" i="9" s="1"/>
  <c r="BH130" i="8"/>
  <c r="BM40" i="8"/>
  <c r="BM130" i="8" s="1"/>
  <c r="BH128" i="16"/>
  <c r="BM16" i="16"/>
  <c r="BM128" i="16" s="1"/>
  <c r="J31" i="19" s="1"/>
  <c r="BH129" i="9"/>
  <c r="BH128" i="8"/>
  <c r="BM16" i="8"/>
  <c r="BM128" i="8" s="1"/>
  <c r="J15" i="19" s="1"/>
  <c r="BH130" i="2"/>
  <c r="BH129" i="16"/>
  <c r="BH130" i="9"/>
  <c r="BH130" i="16"/>
  <c r="BM46" i="9"/>
  <c r="BH131" i="16"/>
  <c r="BH128" i="2"/>
  <c r="BH135" i="2" s="1"/>
  <c r="BM135" i="2" s="1"/>
  <c r="BM128" i="2"/>
  <c r="BH131" i="2"/>
  <c r="BH129" i="2"/>
  <c r="K9" i="13" l="1"/>
  <c r="BO128" i="8"/>
  <c r="BR128" i="8" s="1"/>
  <c r="BH133" i="2"/>
  <c r="J17" i="19"/>
  <c r="BO130" i="8"/>
  <c r="BR130" i="8" s="1"/>
  <c r="K11" i="13"/>
  <c r="L11" i="13" s="1"/>
  <c r="BO129" i="8"/>
  <c r="BR129" i="8" s="1"/>
  <c r="J16" i="19"/>
  <c r="K10" i="13"/>
  <c r="L10" i="13" s="1"/>
  <c r="J7" i="19"/>
  <c r="BO128" i="2"/>
  <c r="BR128" i="2" s="1"/>
  <c r="O30" i="4"/>
  <c r="P9" i="4"/>
  <c r="BO135" i="2"/>
  <c r="BR135" i="2" s="1"/>
  <c r="BH135" i="8"/>
  <c r="BM135" i="8" s="1"/>
  <c r="BH133" i="8"/>
  <c r="BO128" i="16"/>
  <c r="O40" i="4"/>
  <c r="J26" i="19"/>
  <c r="K12" i="14"/>
  <c r="L12" i="14" s="1"/>
  <c r="BO131" i="9"/>
  <c r="BR131" i="9" s="1"/>
  <c r="BO128" i="9"/>
  <c r="BR128" i="9" s="1"/>
  <c r="J23" i="19"/>
  <c r="K9" i="14"/>
  <c r="BH135" i="16"/>
  <c r="BM135" i="16" s="1"/>
  <c r="BH133" i="16"/>
  <c r="BH135" i="9"/>
  <c r="BM135" i="9" s="1"/>
  <c r="BH133" i="9"/>
  <c r="P16" i="19" l="1"/>
  <c r="Q16" i="19" s="1"/>
  <c r="P17" i="19"/>
  <c r="Q17" i="19" s="1"/>
  <c r="P15" i="19"/>
  <c r="L9" i="14"/>
  <c r="P23" i="19"/>
  <c r="P40" i="4"/>
  <c r="P30" i="4"/>
  <c r="Q30" i="4" s="1"/>
  <c r="BO135" i="9"/>
  <c r="BR135" i="9" s="1"/>
  <c r="Q9" i="4"/>
  <c r="BO135" i="16"/>
  <c r="BO135" i="8"/>
  <c r="BR135" i="8" s="1"/>
  <c r="L9" i="13"/>
  <c r="Q15" i="19" l="1"/>
  <c r="Q23" i="19"/>
  <c r="O135" i="3" l="1"/>
  <c r="P135" i="3"/>
  <c r="J135" i="3"/>
  <c r="N135" i="3"/>
  <c r="M135" i="3"/>
  <c r="U135" i="3"/>
  <c r="V135" i="3"/>
  <c r="K135" i="3" l="1"/>
  <c r="L135" i="3" l="1"/>
  <c r="S135" i="3" l="1"/>
  <c r="T135" i="3"/>
  <c r="Q135" i="3" l="1"/>
  <c r="R135" i="3"/>
  <c r="G169" i="3" l="1"/>
  <c r="I169" i="3" s="1"/>
  <c r="G164" i="3" l="1"/>
  <c r="G165" i="3"/>
  <c r="I165" i="3" s="1"/>
  <c r="I164" i="3" l="1"/>
  <c r="G167" i="3" l="1"/>
  <c r="I167" i="3" s="1"/>
  <c r="G168" i="3" l="1"/>
  <c r="I168" i="3" s="1"/>
  <c r="G166" i="3"/>
  <c r="G172" i="3" l="1"/>
  <c r="I172" i="3" s="1"/>
  <c r="I166" i="3"/>
  <c r="I170" i="3" s="1"/>
  <c r="G170" i="3"/>
  <c r="P26" i="19" l="1"/>
  <c r="Q26" i="19" s="1"/>
  <c r="P11" i="19"/>
  <c r="Q11" i="19" s="1"/>
  <c r="G12" i="19"/>
  <c r="P7" i="19"/>
  <c r="G28" i="19"/>
  <c r="H24" i="19" l="1"/>
  <c r="M24" i="19" s="1"/>
  <c r="H11" i="19"/>
  <c r="M11" i="19" s="1"/>
  <c r="H27" i="19"/>
  <c r="M27" i="19" s="1"/>
  <c r="H23" i="19"/>
  <c r="M23" i="19" s="1"/>
  <c r="H25" i="19"/>
  <c r="M25" i="19" s="1"/>
  <c r="H9" i="19"/>
  <c r="M9" i="19" s="1"/>
  <c r="H8" i="19"/>
  <c r="M8" i="19" s="1"/>
  <c r="H7" i="19"/>
  <c r="M7" i="19" s="1"/>
  <c r="H26" i="19"/>
  <c r="M26" i="19" s="1"/>
  <c r="H10" i="19"/>
  <c r="M10" i="19" s="1"/>
  <c r="Q7" i="19"/>
  <c r="H28" i="19" l="1"/>
  <c r="M28" i="19" s="1"/>
  <c r="H12" i="19"/>
  <c r="M12" i="19" s="1"/>
  <c r="G270" i="17" l="1"/>
  <c r="S270" i="17" s="1"/>
  <c r="H107" i="8" s="1"/>
  <c r="G224" i="17"/>
  <c r="G284" i="17"/>
  <c r="G235" i="17"/>
  <c r="G189" i="17"/>
  <c r="S189" i="17" s="1"/>
  <c r="H95" i="8" s="1"/>
  <c r="G217" i="17"/>
  <c r="S217" i="17" s="1"/>
  <c r="H99" i="8" s="1"/>
  <c r="G298" i="17"/>
  <c r="G203" i="17"/>
  <c r="G256" i="17"/>
  <c r="G137" i="11"/>
  <c r="G291" i="17"/>
  <c r="AP94" i="8"/>
  <c r="G277" i="17"/>
  <c r="G210" i="17"/>
  <c r="S210" i="17" s="1"/>
  <c r="H98" i="8" s="1"/>
  <c r="G249" i="17"/>
  <c r="G196" i="17"/>
  <c r="S196" i="17" s="1"/>
  <c r="H96" i="8" s="1"/>
  <c r="AT73" i="20"/>
  <c r="G263" i="17"/>
  <c r="S263" i="17" s="1"/>
  <c r="H106" i="8" s="1"/>
  <c r="G242" i="17"/>
  <c r="G362" i="17"/>
  <c r="G334" i="17"/>
  <c r="G142" i="11"/>
  <c r="G355" i="17"/>
  <c r="G390" i="17"/>
  <c r="G369" i="17"/>
  <c r="G376" i="17"/>
  <c r="G323" i="17"/>
  <c r="S323" i="17" s="1"/>
  <c r="H116" i="8" s="1"/>
  <c r="G341" i="17"/>
  <c r="AP113" i="8"/>
  <c r="G348" i="17"/>
  <c r="G316" i="17"/>
  <c r="S316" i="17" s="1"/>
  <c r="H115" i="8" s="1"/>
  <c r="G383" i="17"/>
  <c r="AT92" i="20"/>
  <c r="G309" i="17"/>
  <c r="S309" i="17" s="1"/>
  <c r="H114" i="8" s="1"/>
  <c r="K383" i="17" l="1"/>
  <c r="M383" i="17" s="1"/>
  <c r="S383" i="17"/>
  <c r="H125" i="8" s="1"/>
  <c r="K341" i="17"/>
  <c r="M341" i="17" s="1"/>
  <c r="K390" i="17"/>
  <c r="M390" i="17" s="1"/>
  <c r="K362" i="17"/>
  <c r="M362" i="17" s="1"/>
  <c r="AT75" i="20"/>
  <c r="AP96" i="8"/>
  <c r="BI96" i="8" s="1"/>
  <c r="BM96" i="8" s="1"/>
  <c r="BO96" i="8" s="1"/>
  <c r="BI94" i="8"/>
  <c r="K203" i="17"/>
  <c r="M203" i="17" s="1"/>
  <c r="S203" i="17"/>
  <c r="H97" i="8" s="1"/>
  <c r="K235" i="17"/>
  <c r="M235" i="17" s="1"/>
  <c r="AT94" i="20"/>
  <c r="AP115" i="8"/>
  <c r="BI115" i="8" s="1"/>
  <c r="BM115" i="8" s="1"/>
  <c r="BO115" i="8" s="1"/>
  <c r="AT95" i="20"/>
  <c r="AP116" i="8"/>
  <c r="BI116" i="8" s="1"/>
  <c r="BM116" i="8" s="1"/>
  <c r="BO116" i="8" s="1"/>
  <c r="K355" i="17"/>
  <c r="M355" i="17" s="1"/>
  <c r="S355" i="17"/>
  <c r="H121" i="8" s="1"/>
  <c r="K242" i="17"/>
  <c r="M242" i="17" s="1"/>
  <c r="S242" i="17"/>
  <c r="H103" i="8" s="1"/>
  <c r="K249" i="17"/>
  <c r="M249" i="17" s="1"/>
  <c r="S249" i="17"/>
  <c r="H104" i="8" s="1"/>
  <c r="K291" i="17"/>
  <c r="M291" i="17" s="1"/>
  <c r="S291" i="17"/>
  <c r="H110" i="8" s="1"/>
  <c r="K298" i="17"/>
  <c r="M298" i="17" s="1"/>
  <c r="S298" i="17"/>
  <c r="H111" i="8" s="1"/>
  <c r="K284" i="17"/>
  <c r="M284" i="17" s="1"/>
  <c r="S284" i="17"/>
  <c r="H109" i="8" s="1"/>
  <c r="AT93" i="20"/>
  <c r="AP114" i="8"/>
  <c r="BI114" i="8" s="1"/>
  <c r="BM114" i="8" s="1"/>
  <c r="BO114" i="8" s="1"/>
  <c r="K348" i="17"/>
  <c r="M348" i="17" s="1"/>
  <c r="S348" i="17"/>
  <c r="H120" i="8" s="1"/>
  <c r="K376" i="17"/>
  <c r="M376" i="17" s="1"/>
  <c r="S376" i="17"/>
  <c r="H124" i="8" s="1"/>
  <c r="AT85" i="20"/>
  <c r="AP106" i="8"/>
  <c r="BI106" i="8" s="1"/>
  <c r="BM106" i="8" s="1"/>
  <c r="BO106" i="8" s="1"/>
  <c r="AT77" i="20"/>
  <c r="AP98" i="8"/>
  <c r="BI98" i="8" s="1"/>
  <c r="BM98" i="8" s="1"/>
  <c r="BO98" i="8" s="1"/>
  <c r="AT78" i="20"/>
  <c r="AP99" i="8"/>
  <c r="BI99" i="8" s="1"/>
  <c r="BM99" i="8" s="1"/>
  <c r="BO99" i="8" s="1"/>
  <c r="K224" i="17"/>
  <c r="M224" i="17" s="1"/>
  <c r="S224" i="17"/>
  <c r="H100" i="8" s="1"/>
  <c r="BI113" i="8"/>
  <c r="H159" i="8"/>
  <c r="I159" i="8" s="1"/>
  <c r="K369" i="17"/>
  <c r="M369" i="17" s="1"/>
  <c r="S369" i="17"/>
  <c r="H123" i="8" s="1"/>
  <c r="K334" i="17"/>
  <c r="M334" i="17" s="1"/>
  <c r="S334" i="17"/>
  <c r="H118" i="8" s="1"/>
  <c r="K277" i="17"/>
  <c r="M277" i="17" s="1"/>
  <c r="S277" i="17"/>
  <c r="H108" i="8" s="1"/>
  <c r="K256" i="17"/>
  <c r="M256" i="17" s="1"/>
  <c r="S256" i="17"/>
  <c r="H105" i="8" s="1"/>
  <c r="AT74" i="20"/>
  <c r="AP95" i="8"/>
  <c r="BI95" i="8" s="1"/>
  <c r="BM95" i="8" s="1"/>
  <c r="BO95" i="8" s="1"/>
  <c r="AT86" i="20"/>
  <c r="AP107" i="8"/>
  <c r="BI107" i="8" s="1"/>
  <c r="BM107" i="8" s="1"/>
  <c r="BO107" i="8" s="1"/>
  <c r="S390" i="17" l="1"/>
  <c r="H126" i="8" s="1"/>
  <c r="AT84" i="20"/>
  <c r="AP105" i="8"/>
  <c r="BI105" i="8" s="1"/>
  <c r="BM105" i="8" s="1"/>
  <c r="BO105" i="8" s="1"/>
  <c r="BM113" i="8"/>
  <c r="BI112" i="8"/>
  <c r="BM112" i="8" s="1"/>
  <c r="S362" i="17"/>
  <c r="H122" i="8" s="1"/>
  <c r="S341" i="17"/>
  <c r="H119" i="8" s="1"/>
  <c r="AT87" i="20"/>
  <c r="AP108" i="8"/>
  <c r="BI108" i="8" s="1"/>
  <c r="BM108" i="8" s="1"/>
  <c r="BO108" i="8" s="1"/>
  <c r="AT102" i="20"/>
  <c r="AP123" i="8"/>
  <c r="BI123" i="8" s="1"/>
  <c r="BM123" i="8" s="1"/>
  <c r="BO123" i="8" s="1"/>
  <c r="AT103" i="20"/>
  <c r="AP124" i="8"/>
  <c r="BI124" i="8" s="1"/>
  <c r="BM124" i="8" s="1"/>
  <c r="BO124" i="8" s="1"/>
  <c r="AT90" i="20"/>
  <c r="AP111" i="8"/>
  <c r="BI111" i="8" s="1"/>
  <c r="BM111" i="8" s="1"/>
  <c r="AT83" i="20"/>
  <c r="AP104" i="8"/>
  <c r="BI104" i="8" s="1"/>
  <c r="BM104" i="8" s="1"/>
  <c r="BO104" i="8" s="1"/>
  <c r="AT100" i="20"/>
  <c r="AP121" i="8"/>
  <c r="BI121" i="8" s="1"/>
  <c r="BM121" i="8" s="1"/>
  <c r="BO121" i="8" s="1"/>
  <c r="AT76" i="20"/>
  <c r="AP97" i="8"/>
  <c r="BI97" i="8" s="1"/>
  <c r="BM97" i="8" s="1"/>
  <c r="BO97" i="8" s="1"/>
  <c r="BM94" i="8"/>
  <c r="AT79" i="20"/>
  <c r="AP100" i="8"/>
  <c r="BI100" i="8" s="1"/>
  <c r="BM100" i="8" s="1"/>
  <c r="BO100" i="8" s="1"/>
  <c r="AT105" i="20"/>
  <c r="AP126" i="8"/>
  <c r="BI126" i="8" s="1"/>
  <c r="BM126" i="8" s="1"/>
  <c r="BO126" i="8" s="1"/>
  <c r="AT104" i="20"/>
  <c r="AP125" i="8"/>
  <c r="BI125" i="8" s="1"/>
  <c r="BM125" i="8" s="1"/>
  <c r="BO125" i="8" s="1"/>
  <c r="AT97" i="20"/>
  <c r="AP118" i="8"/>
  <c r="AT99" i="20"/>
  <c r="AP120" i="8"/>
  <c r="BI120" i="8" s="1"/>
  <c r="BM120" i="8" s="1"/>
  <c r="BO120" i="8" s="1"/>
  <c r="AT88" i="20"/>
  <c r="AP109" i="8"/>
  <c r="BI109" i="8" s="1"/>
  <c r="BM109" i="8" s="1"/>
  <c r="BO109" i="8" s="1"/>
  <c r="AT89" i="20"/>
  <c r="AP110" i="8"/>
  <c r="BI110" i="8" s="1"/>
  <c r="BM110" i="8" s="1"/>
  <c r="BO110" i="8" s="1"/>
  <c r="AT82" i="20"/>
  <c r="AP103" i="8"/>
  <c r="BI103" i="8" s="1"/>
  <c r="BM103" i="8" s="1"/>
  <c r="BO103" i="8" s="1"/>
  <c r="S235" i="17"/>
  <c r="H102" i="8" s="1"/>
  <c r="H157" i="8" l="1"/>
  <c r="I157" i="8" s="1"/>
  <c r="AT81" i="20"/>
  <c r="AP102" i="8"/>
  <c r="BI118" i="8"/>
  <c r="AT98" i="20"/>
  <c r="AP119" i="8"/>
  <c r="BI119" i="8" s="1"/>
  <c r="BM119" i="8" s="1"/>
  <c r="BO119" i="8" s="1"/>
  <c r="BI93" i="8"/>
  <c r="AT101" i="20"/>
  <c r="AP122" i="8"/>
  <c r="BI122" i="8" s="1"/>
  <c r="BM122" i="8" s="1"/>
  <c r="BO122" i="8" s="1"/>
  <c r="AP132" i="8" l="1"/>
  <c r="AP133" i="8" s="1"/>
  <c r="H160" i="8"/>
  <c r="I160" i="8" s="1"/>
  <c r="BM93" i="8"/>
  <c r="BM118" i="8"/>
  <c r="BO118" i="8" s="1"/>
  <c r="BI117" i="8"/>
  <c r="BM117" i="8" s="1"/>
  <c r="BI102" i="8"/>
  <c r="H158" i="8"/>
  <c r="I158" i="8" s="1"/>
  <c r="BM102" i="8" l="1"/>
  <c r="BO102" i="8" s="1"/>
  <c r="BI101" i="8"/>
  <c r="BM101" i="8" l="1"/>
  <c r="BI92" i="8"/>
  <c r="BI132" i="8" l="1"/>
  <c r="BM92" i="8"/>
  <c r="BM132" i="8" s="1"/>
  <c r="J19" i="19" l="1"/>
  <c r="BO132" i="8"/>
  <c r="BR132" i="8" s="1"/>
  <c r="K13" i="13"/>
  <c r="L13" i="13" s="1"/>
  <c r="P19" i="19" l="1"/>
  <c r="Q19" i="19" s="1"/>
  <c r="AW58" i="20" l="1"/>
  <c r="G114" i="11"/>
  <c r="AS71" i="8"/>
  <c r="G170" i="17"/>
  <c r="G154" i="17"/>
  <c r="G114" i="17"/>
  <c r="G130" i="17"/>
  <c r="G146" i="17"/>
  <c r="G108" i="11"/>
  <c r="G122" i="17"/>
  <c r="G178" i="17"/>
  <c r="G138" i="17"/>
  <c r="AW57" i="20"/>
  <c r="G162" i="17"/>
  <c r="AS70" i="8"/>
  <c r="K114" i="17" l="1"/>
  <c r="M114" i="17" s="1"/>
  <c r="S114" i="17"/>
  <c r="K162" i="17"/>
  <c r="M162" i="17" s="1"/>
  <c r="S162" i="17"/>
  <c r="K122" i="17"/>
  <c r="M122" i="17" s="1"/>
  <c r="K138" i="17"/>
  <c r="M138" i="17" s="1"/>
  <c r="S138" i="17"/>
  <c r="K146" i="17"/>
  <c r="M146" i="17" s="1"/>
  <c r="K154" i="17"/>
  <c r="M154" i="17" s="1"/>
  <c r="S154" i="17"/>
  <c r="AU58" i="20"/>
  <c r="G113" i="11"/>
  <c r="AQ71" i="8"/>
  <c r="G153" i="17"/>
  <c r="G113" i="17"/>
  <c r="G169" i="17"/>
  <c r="G129" i="17"/>
  <c r="G145" i="17"/>
  <c r="G107" i="11"/>
  <c r="G121" i="17"/>
  <c r="AU57" i="20"/>
  <c r="G177" i="17"/>
  <c r="G137" i="17"/>
  <c r="G161" i="17"/>
  <c r="AQ70" i="8"/>
  <c r="K178" i="17"/>
  <c r="M178" i="17" s="1"/>
  <c r="S130" i="17"/>
  <c r="S170" i="17"/>
  <c r="K84" i="8" l="1"/>
  <c r="K161" i="17"/>
  <c r="M161" i="17" s="1"/>
  <c r="K121" i="17"/>
  <c r="M121" i="17" s="1"/>
  <c r="S121" i="17"/>
  <c r="S169" i="17"/>
  <c r="BI71" i="8"/>
  <c r="BM71" i="8" s="1"/>
  <c r="BO71" i="8" s="1"/>
  <c r="H155" i="8"/>
  <c r="I155" i="8" s="1"/>
  <c r="K82" i="8"/>
  <c r="K137" i="17"/>
  <c r="M137" i="17" s="1"/>
  <c r="K113" i="17"/>
  <c r="M113" i="17" s="1"/>
  <c r="S113" i="17"/>
  <c r="K77" i="8"/>
  <c r="K79" i="8"/>
  <c r="K177" i="17"/>
  <c r="M177" i="17" s="1"/>
  <c r="S177" i="17"/>
  <c r="K145" i="17"/>
  <c r="M145" i="17" s="1"/>
  <c r="K153" i="17"/>
  <c r="M153" i="17" s="1"/>
  <c r="K80" i="8"/>
  <c r="K83" i="8"/>
  <c r="S178" i="17"/>
  <c r="BI70" i="8"/>
  <c r="S129" i="17"/>
  <c r="S146" i="17"/>
  <c r="S122" i="17"/>
  <c r="S145" i="17" l="1"/>
  <c r="K78" i="8"/>
  <c r="BM70" i="8"/>
  <c r="BO70" i="8" s="1"/>
  <c r="BI69" i="8"/>
  <c r="S153" i="17"/>
  <c r="I77" i="8"/>
  <c r="I78" i="8"/>
  <c r="K81" i="8"/>
  <c r="I79" i="8"/>
  <c r="K85" i="8"/>
  <c r="AW65" i="20"/>
  <c r="AS80" i="8"/>
  <c r="I85" i="8"/>
  <c r="AS79" i="8"/>
  <c r="AW62" i="20"/>
  <c r="AS77" i="8"/>
  <c r="AW68" i="20"/>
  <c r="AS83" i="8"/>
  <c r="I81" i="8"/>
  <c r="S137" i="17"/>
  <c r="AW67" i="20"/>
  <c r="AS82" i="8"/>
  <c r="I84" i="8"/>
  <c r="S161" i="17"/>
  <c r="AW69" i="20"/>
  <c r="AS84" i="8"/>
  <c r="AW70" i="20" l="1"/>
  <c r="AS85" i="8"/>
  <c r="AW66" i="20"/>
  <c r="AS81" i="8"/>
  <c r="AU62" i="20"/>
  <c r="AQ77" i="8"/>
  <c r="AQ84" i="8"/>
  <c r="BI84" i="8" s="1"/>
  <c r="BM84" i="8" s="1"/>
  <c r="BO84" i="8" s="1"/>
  <c r="AU69" i="20"/>
  <c r="I80" i="8"/>
  <c r="I82" i="8"/>
  <c r="AW63" i="20"/>
  <c r="AS78" i="8"/>
  <c r="AS131" i="8" s="1"/>
  <c r="AS133" i="8" s="1"/>
  <c r="AU70" i="20"/>
  <c r="AQ85" i="8"/>
  <c r="BI85" i="8" s="1"/>
  <c r="BM85" i="8" s="1"/>
  <c r="BO85" i="8" s="1"/>
  <c r="AQ79" i="8"/>
  <c r="BI79" i="8" s="1"/>
  <c r="BM79" i="8" s="1"/>
  <c r="BO79" i="8" s="1"/>
  <c r="AQ78" i="8"/>
  <c r="AU63" i="20"/>
  <c r="BM69" i="8"/>
  <c r="I83" i="8"/>
  <c r="AQ81" i="8"/>
  <c r="AU66" i="20"/>
  <c r="BI78" i="8" l="1"/>
  <c r="BM78" i="8" s="1"/>
  <c r="BO78" i="8" s="1"/>
  <c r="AU68" i="20"/>
  <c r="AQ83" i="8"/>
  <c r="BI83" i="8" s="1"/>
  <c r="BM83" i="8" s="1"/>
  <c r="BO83" i="8" s="1"/>
  <c r="BI81" i="8"/>
  <c r="BM81" i="8" s="1"/>
  <c r="BO81" i="8" s="1"/>
  <c r="AU65" i="20"/>
  <c r="AQ80" i="8"/>
  <c r="BI80" i="8" s="1"/>
  <c r="BM80" i="8" s="1"/>
  <c r="BO80" i="8" s="1"/>
  <c r="AU67" i="20"/>
  <c r="AQ82" i="8"/>
  <c r="BI82" i="8" s="1"/>
  <c r="BM82" i="8" s="1"/>
  <c r="BO82" i="8" s="1"/>
  <c r="BI77" i="8"/>
  <c r="H154" i="8" l="1"/>
  <c r="BM77" i="8"/>
  <c r="BO77" i="8" s="1"/>
  <c r="BI68" i="8"/>
  <c r="I154" i="8"/>
  <c r="I161" i="8" s="1"/>
  <c r="F12" i="13" s="1"/>
  <c r="H161" i="8"/>
  <c r="AQ131" i="8"/>
  <c r="AQ133" i="8" s="1"/>
  <c r="BI131" i="8" l="1"/>
  <c r="BI133" i="8" s="1"/>
  <c r="BM68" i="8"/>
  <c r="BM131" i="8" s="1"/>
  <c r="F18" i="13"/>
  <c r="F25" i="13"/>
  <c r="F26" i="13" s="1"/>
  <c r="K12" i="13" l="1"/>
  <c r="BM133" i="8"/>
  <c r="J18" i="19"/>
  <c r="BO131" i="8"/>
  <c r="BR131" i="8" s="1"/>
  <c r="P18" i="19" l="1"/>
  <c r="J20" i="19"/>
  <c r="BN128" i="8"/>
  <c r="BN129" i="8"/>
  <c r="BO133" i="8"/>
  <c r="BR133" i="8" s="1"/>
  <c r="I162" i="8"/>
  <c r="I163" i="8" s="1"/>
  <c r="BN135" i="8"/>
  <c r="BN136" i="8"/>
  <c r="BN133" i="8"/>
  <c r="BN130" i="8"/>
  <c r="BN132" i="8"/>
  <c r="BN131" i="8"/>
  <c r="L12" i="13"/>
  <c r="K14" i="13"/>
  <c r="L14" i="13" s="1"/>
  <c r="K15" i="19" l="1"/>
  <c r="N15" i="19" s="1"/>
  <c r="K17" i="19"/>
  <c r="N17" i="19" s="1"/>
  <c r="K16" i="19"/>
  <c r="N16" i="19" s="1"/>
  <c r="K19" i="19"/>
  <c r="N19" i="19" s="1"/>
  <c r="K18" i="19"/>
  <c r="N18" i="19" s="1"/>
  <c r="Q18" i="19"/>
  <c r="P20" i="19"/>
  <c r="Q20" i="19" s="1"/>
  <c r="M13" i="13"/>
  <c r="M11" i="13"/>
  <c r="M9" i="13"/>
  <c r="M10" i="13"/>
  <c r="M12" i="13"/>
  <c r="K20" i="19" l="1"/>
  <c r="N20" i="19" s="1"/>
  <c r="H29" i="9" l="1"/>
  <c r="BN19" i="20"/>
  <c r="H52" i="11"/>
  <c r="AP28" i="9"/>
  <c r="H42" i="16"/>
  <c r="BN31" i="20"/>
  <c r="H43" i="9"/>
  <c r="H82" i="11"/>
  <c r="I82" i="11" s="1"/>
  <c r="AP42" i="9"/>
  <c r="H28" i="16"/>
  <c r="Z19" i="20" l="1"/>
  <c r="G79" i="19" s="1"/>
  <c r="H79" i="19" s="1"/>
  <c r="J79" i="19" s="1"/>
  <c r="H29" i="2"/>
  <c r="F52" i="11"/>
  <c r="I52" i="11" s="1"/>
  <c r="AP28" i="2"/>
  <c r="K37" i="16"/>
  <c r="AS37" i="9"/>
  <c r="H37" i="11"/>
  <c r="I37" i="11" s="1"/>
  <c r="BQ26" i="20"/>
  <c r="H43" i="16"/>
  <c r="AP43" i="16" s="1"/>
  <c r="BI43" i="16" s="1"/>
  <c r="AP43" i="9"/>
  <c r="BI43" i="9" s="1"/>
  <c r="BN22" i="20"/>
  <c r="H32" i="9"/>
  <c r="AP31" i="9"/>
  <c r="H28" i="11"/>
  <c r="I28" i="11" s="1"/>
  <c r="H31" i="16"/>
  <c r="F19" i="20"/>
  <c r="AP28" i="16"/>
  <c r="J37" i="16"/>
  <c r="BP26" i="20"/>
  <c r="H36" i="11"/>
  <c r="I36" i="11" s="1"/>
  <c r="AR37" i="9"/>
  <c r="J38" i="16"/>
  <c r="H42" i="11"/>
  <c r="I42" i="11" s="1"/>
  <c r="AR38" i="9"/>
  <c r="BP27" i="20"/>
  <c r="K38" i="16"/>
  <c r="BQ27" i="20"/>
  <c r="H43" i="11"/>
  <c r="I43" i="11" s="1"/>
  <c r="AS38" i="9"/>
  <c r="BY22" i="20"/>
  <c r="AT32" i="9"/>
  <c r="L32" i="16"/>
  <c r="L43" i="9"/>
  <c r="L35" i="9"/>
  <c r="L34" i="9"/>
  <c r="BI42" i="9"/>
  <c r="F31" i="20"/>
  <c r="G117" i="19" s="1"/>
  <c r="AP42" i="16"/>
  <c r="I38" i="16"/>
  <c r="BO27" i="20"/>
  <c r="H41" i="11"/>
  <c r="I41" i="11" s="1"/>
  <c r="AQ38" i="9"/>
  <c r="BI28" i="9"/>
  <c r="BN20" i="20"/>
  <c r="H29" i="16"/>
  <c r="AP29" i="9"/>
  <c r="BI29" i="9" s="1"/>
  <c r="BM29" i="9" s="1"/>
  <c r="BO29" i="9" s="1"/>
  <c r="AP130" i="9" l="1"/>
  <c r="AR129" i="9"/>
  <c r="AR133" i="9" s="1"/>
  <c r="Z20" i="20"/>
  <c r="AP29" i="2"/>
  <c r="BI29" i="2" s="1"/>
  <c r="BM29" i="2" s="1"/>
  <c r="BO29" i="2" s="1"/>
  <c r="BI28" i="2"/>
  <c r="I37" i="16"/>
  <c r="H35" i="11"/>
  <c r="I35" i="11" s="1"/>
  <c r="AQ37" i="9"/>
  <c r="BO26" i="20"/>
  <c r="I44" i="16"/>
  <c r="BO32" i="20"/>
  <c r="I45" i="9"/>
  <c r="H85" i="11"/>
  <c r="I85" i="11" s="1"/>
  <c r="AQ44" i="9"/>
  <c r="F20" i="20"/>
  <c r="AP29" i="16"/>
  <c r="BI29" i="16" s="1"/>
  <c r="BM29" i="16" s="1"/>
  <c r="BO29" i="16" s="1"/>
  <c r="BI27" i="9"/>
  <c r="BM28" i="9"/>
  <c r="BO28" i="9" s="1"/>
  <c r="AQ38" i="16"/>
  <c r="G27" i="20"/>
  <c r="G75" i="19" s="1"/>
  <c r="BM42" i="9"/>
  <c r="BO42" i="9" s="1"/>
  <c r="AT32" i="16"/>
  <c r="Q22" i="20"/>
  <c r="AP32" i="9"/>
  <c r="BI32" i="9" s="1"/>
  <c r="H32" i="16"/>
  <c r="AP32" i="16" s="1"/>
  <c r="BI32" i="16" s="1"/>
  <c r="BO23" i="20"/>
  <c r="H31" i="11"/>
  <c r="I31" i="11" s="1"/>
  <c r="I33" i="16"/>
  <c r="AQ33" i="9"/>
  <c r="I34" i="9"/>
  <c r="BI38" i="9"/>
  <c r="BM38" i="9" s="1"/>
  <c r="BO38" i="9" s="1"/>
  <c r="H149" i="9"/>
  <c r="I149" i="9" s="1"/>
  <c r="BI42" i="16"/>
  <c r="AP130" i="16"/>
  <c r="BY23" i="20"/>
  <c r="L45" i="9"/>
  <c r="L34" i="16"/>
  <c r="AT34" i="9"/>
  <c r="BJ34" i="9" s="1"/>
  <c r="BJ32" i="9"/>
  <c r="AP31" i="16"/>
  <c r="F22" i="20"/>
  <c r="G62" i="19" s="1"/>
  <c r="G68" i="19" s="1"/>
  <c r="H117" i="19" s="1"/>
  <c r="J117" i="19" s="1"/>
  <c r="K44" i="16"/>
  <c r="BQ32" i="20"/>
  <c r="H86" i="11"/>
  <c r="I86" i="11" s="1"/>
  <c r="AS44" i="9"/>
  <c r="K45" i="9"/>
  <c r="L35" i="16"/>
  <c r="AT35" i="9"/>
  <c r="BJ35" i="9" s="1"/>
  <c r="BM35" i="9" s="1"/>
  <c r="BO35" i="9" s="1"/>
  <c r="BY24" i="20"/>
  <c r="AS38" i="16"/>
  <c r="I27" i="20"/>
  <c r="G77" i="19" s="1"/>
  <c r="AR38" i="16"/>
  <c r="H27" i="20"/>
  <c r="G76" i="19" s="1"/>
  <c r="AR37" i="16"/>
  <c r="H26" i="20"/>
  <c r="G73" i="19" s="1"/>
  <c r="K33" i="16"/>
  <c r="K34" i="9"/>
  <c r="AS33" i="9"/>
  <c r="H32" i="11"/>
  <c r="I32" i="11" s="1"/>
  <c r="BQ23" i="20"/>
  <c r="H146" i="9"/>
  <c r="I146" i="9" s="1"/>
  <c r="BY31" i="20"/>
  <c r="L43" i="16"/>
  <c r="AT43" i="9"/>
  <c r="BI28" i="16"/>
  <c r="BI31" i="9"/>
  <c r="AS37" i="16"/>
  <c r="I26" i="20"/>
  <c r="G74" i="19" s="1"/>
  <c r="AP129" i="16" l="1"/>
  <c r="AP129" i="9"/>
  <c r="H77" i="19"/>
  <c r="J77" i="19" s="1"/>
  <c r="H73" i="19"/>
  <c r="J73" i="19" s="1"/>
  <c r="H74" i="19"/>
  <c r="J74" i="19" s="1"/>
  <c r="AR129" i="16"/>
  <c r="AR133" i="16" s="1"/>
  <c r="BJ30" i="9"/>
  <c r="BJ26" i="9" s="1"/>
  <c r="BJ129" i="9" s="1"/>
  <c r="H145" i="2"/>
  <c r="I145" i="2" s="1"/>
  <c r="H146" i="16"/>
  <c r="I146" i="16" s="1"/>
  <c r="BI27" i="2"/>
  <c r="BM28" i="2"/>
  <c r="BO28" i="2" s="1"/>
  <c r="AP129" i="2"/>
  <c r="AP133" i="2" s="1"/>
  <c r="Q31" i="20"/>
  <c r="AT43" i="16"/>
  <c r="K45" i="16"/>
  <c r="AS45" i="16" s="1"/>
  <c r="AS45" i="9"/>
  <c r="AS130" i="9" s="1"/>
  <c r="I32" i="20"/>
  <c r="G119" i="19" s="1"/>
  <c r="AS44" i="16"/>
  <c r="AT129" i="9"/>
  <c r="BY32" i="20"/>
  <c r="L45" i="16"/>
  <c r="AT45" i="9"/>
  <c r="BJ45" i="9" s="1"/>
  <c r="AQ33" i="16"/>
  <c r="G23" i="20"/>
  <c r="G69" i="19" s="1"/>
  <c r="BM32" i="9"/>
  <c r="BO32" i="9" s="1"/>
  <c r="BM27" i="9"/>
  <c r="Q24" i="20"/>
  <c r="AT35" i="16"/>
  <c r="BJ35" i="16" s="1"/>
  <c r="BM35" i="16" s="1"/>
  <c r="BO35" i="16" s="1"/>
  <c r="I45" i="16"/>
  <c r="AQ45" i="16" s="1"/>
  <c r="AQ45" i="9"/>
  <c r="BI37" i="9"/>
  <c r="H148" i="9"/>
  <c r="I148" i="9" s="1"/>
  <c r="BI27" i="16"/>
  <c r="BM28" i="16"/>
  <c r="BO28" i="16" s="1"/>
  <c r="AS34" i="9"/>
  <c r="AS129" i="9" s="1"/>
  <c r="K34" i="16"/>
  <c r="AS34" i="16" s="1"/>
  <c r="BI31" i="16"/>
  <c r="AQ34" i="9"/>
  <c r="I34" i="16"/>
  <c r="AQ34" i="16" s="1"/>
  <c r="BJ32" i="16"/>
  <c r="BM32" i="16" s="1"/>
  <c r="BO32" i="16" s="1"/>
  <c r="BI38" i="16"/>
  <c r="BM38" i="16" s="1"/>
  <c r="BO38" i="16" s="1"/>
  <c r="H149" i="16"/>
  <c r="I149" i="16" s="1"/>
  <c r="BM31" i="9"/>
  <c r="BO31" i="9" s="1"/>
  <c r="BJ43" i="9"/>
  <c r="AS33" i="16"/>
  <c r="I23" i="20"/>
  <c r="G70" i="19" s="1"/>
  <c r="H76" i="19"/>
  <c r="J76" i="19" s="1"/>
  <c r="AT34" i="16"/>
  <c r="BJ34" i="16" s="1"/>
  <c r="Q23" i="20"/>
  <c r="BM42" i="16"/>
  <c r="BO42" i="16" s="1"/>
  <c r="BI33" i="9"/>
  <c r="BM33" i="9" s="1"/>
  <c r="BO33" i="9" s="1"/>
  <c r="AQ129" i="9"/>
  <c r="BI44" i="9"/>
  <c r="G32" i="20"/>
  <c r="G118" i="19" s="1"/>
  <c r="AQ44" i="16"/>
  <c r="AQ37" i="16"/>
  <c r="G26" i="20"/>
  <c r="G72" i="19" s="1"/>
  <c r="H72" i="19" s="1"/>
  <c r="J72" i="19" s="1"/>
  <c r="BI45" i="9" l="1"/>
  <c r="BM45" i="9" s="1"/>
  <c r="H144" i="9"/>
  <c r="I144" i="9" s="1"/>
  <c r="AT130" i="9"/>
  <c r="AT133" i="9" s="1"/>
  <c r="AQ130" i="9"/>
  <c r="AQ133" i="9" s="1"/>
  <c r="BI45" i="16"/>
  <c r="H118" i="19"/>
  <c r="J118" i="19" s="1"/>
  <c r="BI34" i="16"/>
  <c r="BM34" i="16" s="1"/>
  <c r="BO34" i="16" s="1"/>
  <c r="AS133" i="9"/>
  <c r="AS129" i="16"/>
  <c r="BI34" i="9"/>
  <c r="BM34" i="9" s="1"/>
  <c r="BO34" i="9" s="1"/>
  <c r="BM27" i="2"/>
  <c r="BI26" i="2"/>
  <c r="G71" i="19"/>
  <c r="H71" i="19" s="1"/>
  <c r="J71" i="19" s="1"/>
  <c r="H70" i="19"/>
  <c r="J70" i="19" s="1"/>
  <c r="BI36" i="9"/>
  <c r="BM36" i="9" s="1"/>
  <c r="BM37" i="9"/>
  <c r="BO37" i="9" s="1"/>
  <c r="BI33" i="16"/>
  <c r="BM33" i="16" s="1"/>
  <c r="BO33" i="16" s="1"/>
  <c r="AQ129" i="16"/>
  <c r="AT129" i="16"/>
  <c r="H147" i="16"/>
  <c r="I147" i="16" s="1"/>
  <c r="BJ43" i="16"/>
  <c r="BJ30" i="16"/>
  <c r="BJ26" i="16" s="1"/>
  <c r="BJ129" i="16" s="1"/>
  <c r="BM31" i="16"/>
  <c r="BO31" i="16" s="1"/>
  <c r="BM27" i="16"/>
  <c r="Q32" i="20"/>
  <c r="AT45" i="16"/>
  <c r="H119" i="19"/>
  <c r="J119" i="19" s="1"/>
  <c r="H148" i="16"/>
  <c r="I148" i="16" s="1"/>
  <c r="BI37" i="16"/>
  <c r="BM44" i="9"/>
  <c r="BO44" i="9" s="1"/>
  <c r="BI41" i="9"/>
  <c r="BI44" i="16"/>
  <c r="BJ41" i="9"/>
  <c r="BJ40" i="9" s="1"/>
  <c r="BJ130" i="9" s="1"/>
  <c r="BJ133" i="9" s="1"/>
  <c r="BM43" i="9"/>
  <c r="H75" i="19"/>
  <c r="J75" i="19" s="1"/>
  <c r="H68" i="19"/>
  <c r="J68" i="19" s="1"/>
  <c r="H69" i="19"/>
  <c r="J69" i="19" s="1"/>
  <c r="H147" i="9"/>
  <c r="I147" i="9" s="1"/>
  <c r="BI30" i="9" l="1"/>
  <c r="BM30" i="9" s="1"/>
  <c r="BI30" i="16"/>
  <c r="BM30" i="16" s="1"/>
  <c r="BI129" i="2"/>
  <c r="BM26" i="2"/>
  <c r="BM129" i="2" s="1"/>
  <c r="BI36" i="16"/>
  <c r="BM37" i="16"/>
  <c r="BO37" i="16" s="1"/>
  <c r="BM43" i="16"/>
  <c r="BI26" i="9"/>
  <c r="BM44" i="16"/>
  <c r="BO44" i="16" s="1"/>
  <c r="BI41" i="16"/>
  <c r="BM41" i="9"/>
  <c r="BI40" i="9"/>
  <c r="BJ45" i="16"/>
  <c r="BM45" i="16" s="1"/>
  <c r="H144" i="16"/>
  <c r="I144" i="16" s="1"/>
  <c r="AT130" i="16"/>
  <c r="AT133" i="16" s="1"/>
  <c r="BT129" i="9" l="1"/>
  <c r="P10" i="4"/>
  <c r="Q10" i="4" s="1"/>
  <c r="O31" i="4"/>
  <c r="P31" i="4" s="1"/>
  <c r="Q31" i="4" s="1"/>
  <c r="J8" i="19"/>
  <c r="BO129" i="2"/>
  <c r="BR129" i="2" s="1"/>
  <c r="BJ41" i="16"/>
  <c r="BJ40" i="16" s="1"/>
  <c r="BJ130" i="16" s="1"/>
  <c r="BJ133" i="16" s="1"/>
  <c r="BI130" i="9"/>
  <c r="BM40" i="9"/>
  <c r="BM130" i="9" s="1"/>
  <c r="BI129" i="9"/>
  <c r="BM26" i="9"/>
  <c r="BM129" i="9" s="1"/>
  <c r="BM36" i="16"/>
  <c r="BI26" i="16"/>
  <c r="P8" i="19" l="1"/>
  <c r="Q8" i="19" s="1"/>
  <c r="BO129" i="9"/>
  <c r="BR129" i="9" s="1"/>
  <c r="J24" i="19"/>
  <c r="K10" i="14"/>
  <c r="L10" i="14" s="1"/>
  <c r="BU129" i="9"/>
  <c r="BI129" i="16"/>
  <c r="BM26" i="16"/>
  <c r="BM129" i="16" s="1"/>
  <c r="K11" i="14"/>
  <c r="L11" i="14" s="1"/>
  <c r="J25" i="19"/>
  <c r="BO130" i="9"/>
  <c r="BR130" i="9" s="1"/>
  <c r="BM41" i="16"/>
  <c r="P24" i="19" l="1"/>
  <c r="Q24" i="19" s="1"/>
  <c r="P25" i="19"/>
  <c r="Q25" i="19" s="1"/>
  <c r="BO129" i="16"/>
  <c r="BR129" i="16" s="1"/>
  <c r="O41" i="4"/>
  <c r="P41" i="4" s="1"/>
  <c r="J32" i="19"/>
  <c r="P32" i="19" l="1"/>
  <c r="Q32" i="19" s="1"/>
  <c r="H113" i="16" l="1"/>
  <c r="H348" i="17"/>
  <c r="H316" i="17"/>
  <c r="H383" i="17"/>
  <c r="H355" i="17"/>
  <c r="H323" i="17"/>
  <c r="AP113" i="9"/>
  <c r="H369" i="17"/>
  <c r="H341" i="17"/>
  <c r="H309" i="17"/>
  <c r="H376" i="17"/>
  <c r="BN92" i="20"/>
  <c r="H362" i="17"/>
  <c r="H334" i="17"/>
  <c r="H142" i="11"/>
  <c r="I142" i="11" s="1"/>
  <c r="H390" i="17"/>
  <c r="AP94" i="9"/>
  <c r="H298" i="17"/>
  <c r="H284" i="17"/>
  <c r="H235" i="17"/>
  <c r="BN73" i="20"/>
  <c r="H277" i="17"/>
  <c r="H217" i="17"/>
  <c r="H256" i="17"/>
  <c r="H189" i="17"/>
  <c r="H263" i="17"/>
  <c r="H203" i="17"/>
  <c r="H210" i="17"/>
  <c r="H249" i="17"/>
  <c r="H137" i="11"/>
  <c r="I137" i="11" s="1"/>
  <c r="H224" i="17"/>
  <c r="H94" i="16"/>
  <c r="H270" i="17"/>
  <c r="H196" i="17"/>
  <c r="H291" i="17"/>
  <c r="H242" i="17"/>
  <c r="T242" i="17" l="1"/>
  <c r="I242" i="17"/>
  <c r="T210" i="17"/>
  <c r="I210" i="17"/>
  <c r="T235" i="17"/>
  <c r="I235" i="17"/>
  <c r="T390" i="17"/>
  <c r="I390" i="17"/>
  <c r="T369" i="17"/>
  <c r="I369" i="17"/>
  <c r="T291" i="17"/>
  <c r="I291" i="17"/>
  <c r="T217" i="17"/>
  <c r="I217" i="17"/>
  <c r="BI113" i="9"/>
  <c r="T196" i="17"/>
  <c r="I196" i="17"/>
  <c r="T263" i="17"/>
  <c r="I263" i="17"/>
  <c r="T277" i="17"/>
  <c r="I277" i="17"/>
  <c r="T298" i="17"/>
  <c r="I298" i="17"/>
  <c r="T334" i="17"/>
  <c r="I334" i="17"/>
  <c r="T309" i="17"/>
  <c r="I309" i="17"/>
  <c r="T323" i="17"/>
  <c r="I323" i="17"/>
  <c r="T348" i="17"/>
  <c r="I348" i="17"/>
  <c r="AP94" i="16"/>
  <c r="F73" i="20"/>
  <c r="T256" i="17"/>
  <c r="I256" i="17"/>
  <c r="T383" i="17"/>
  <c r="I383" i="17"/>
  <c r="T224" i="17"/>
  <c r="I224" i="17"/>
  <c r="T203" i="17"/>
  <c r="I203" i="17"/>
  <c r="T284" i="17"/>
  <c r="I284" i="17"/>
  <c r="T376" i="17"/>
  <c r="I376" i="17"/>
  <c r="T316" i="17"/>
  <c r="I316" i="17"/>
  <c r="T270" i="17"/>
  <c r="I270" i="17"/>
  <c r="T249" i="17"/>
  <c r="I249" i="17"/>
  <c r="T189" i="17"/>
  <c r="I189" i="17"/>
  <c r="BI94" i="9"/>
  <c r="T362" i="17"/>
  <c r="I362" i="17"/>
  <c r="T341" i="17"/>
  <c r="I341" i="17"/>
  <c r="T355" i="17"/>
  <c r="I355" i="17"/>
  <c r="AP113" i="16"/>
  <c r="F92" i="20"/>
  <c r="BI113" i="16" l="1"/>
  <c r="BM94" i="9"/>
  <c r="H115" i="9"/>
  <c r="U316" i="17"/>
  <c r="H105" i="9"/>
  <c r="U256" i="17"/>
  <c r="H114" i="9"/>
  <c r="U309" i="17"/>
  <c r="H111" i="9"/>
  <c r="U298" i="17"/>
  <c r="BM113" i="9"/>
  <c r="H126" i="9"/>
  <c r="U390" i="17"/>
  <c r="H121" i="9"/>
  <c r="U355" i="17"/>
  <c r="H122" i="9"/>
  <c r="U362" i="17"/>
  <c r="H119" i="9"/>
  <c r="U341" i="17"/>
  <c r="H104" i="9"/>
  <c r="U249" i="17"/>
  <c r="H109" i="9"/>
  <c r="U284" i="17"/>
  <c r="H100" i="9"/>
  <c r="U224" i="17"/>
  <c r="H120" i="9"/>
  <c r="U348" i="17"/>
  <c r="H106" i="9"/>
  <c r="U263" i="17"/>
  <c r="H110" i="9"/>
  <c r="U291" i="17"/>
  <c r="H98" i="9"/>
  <c r="U210" i="17"/>
  <c r="H95" i="9"/>
  <c r="U189" i="17"/>
  <c r="H107" i="9"/>
  <c r="U270" i="17"/>
  <c r="H124" i="9"/>
  <c r="U376" i="17"/>
  <c r="H97" i="9"/>
  <c r="U203" i="17"/>
  <c r="H125" i="9"/>
  <c r="U383" i="17"/>
  <c r="BI94" i="16"/>
  <c r="H116" i="9"/>
  <c r="U323" i="17"/>
  <c r="H118" i="9"/>
  <c r="U334" i="17"/>
  <c r="H108" i="9"/>
  <c r="U277" i="17"/>
  <c r="H96" i="9"/>
  <c r="U196" i="17"/>
  <c r="H99" i="9"/>
  <c r="U217" i="17"/>
  <c r="H123" i="9"/>
  <c r="U369" i="17"/>
  <c r="H102" i="9"/>
  <c r="U235" i="17"/>
  <c r="H103" i="9"/>
  <c r="U242" i="17"/>
  <c r="BN86" i="20" l="1"/>
  <c r="AP107" i="9"/>
  <c r="BI107" i="9" s="1"/>
  <c r="BM107" i="9" s="1"/>
  <c r="BO107" i="9" s="1"/>
  <c r="H107" i="16"/>
  <c r="BN82" i="20"/>
  <c r="AP103" i="9"/>
  <c r="BI103" i="9" s="1"/>
  <c r="BM103" i="9" s="1"/>
  <c r="BO103" i="9" s="1"/>
  <c r="H103" i="16"/>
  <c r="BN102" i="20"/>
  <c r="AP123" i="9"/>
  <c r="BI123" i="9" s="1"/>
  <c r="BM123" i="9" s="1"/>
  <c r="BO123" i="9" s="1"/>
  <c r="H123" i="16"/>
  <c r="BN75" i="20"/>
  <c r="AP96" i="9"/>
  <c r="BI96" i="9" s="1"/>
  <c r="BM96" i="9" s="1"/>
  <c r="BO96" i="9" s="1"/>
  <c r="H96" i="16"/>
  <c r="BN97" i="20"/>
  <c r="AP118" i="9"/>
  <c r="H118" i="16"/>
  <c r="BM94" i="16"/>
  <c r="BN76" i="20"/>
  <c r="AP97" i="9"/>
  <c r="BI97" i="9" s="1"/>
  <c r="BM97" i="9" s="1"/>
  <c r="BO97" i="9" s="1"/>
  <c r="H97" i="16"/>
  <c r="BN85" i="20"/>
  <c r="AP106" i="9"/>
  <c r="BI106" i="9" s="1"/>
  <c r="BM106" i="9" s="1"/>
  <c r="BO106" i="9" s="1"/>
  <c r="H106" i="16"/>
  <c r="BN79" i="20"/>
  <c r="AP100" i="9"/>
  <c r="BI100" i="9" s="1"/>
  <c r="BM100" i="9" s="1"/>
  <c r="BO100" i="9" s="1"/>
  <c r="H100" i="16"/>
  <c r="BN83" i="20"/>
  <c r="AP104" i="9"/>
  <c r="BI104" i="9" s="1"/>
  <c r="BM104" i="9" s="1"/>
  <c r="BO104" i="9" s="1"/>
  <c r="H104" i="16"/>
  <c r="BN101" i="20"/>
  <c r="AP122" i="9"/>
  <c r="BI122" i="9" s="1"/>
  <c r="BM122" i="9" s="1"/>
  <c r="BO122" i="9" s="1"/>
  <c r="H122" i="16"/>
  <c r="BN105" i="20"/>
  <c r="AP126" i="9"/>
  <c r="BI126" i="9" s="1"/>
  <c r="BM126" i="9" s="1"/>
  <c r="BO126" i="9" s="1"/>
  <c r="H126" i="16"/>
  <c r="BN90" i="20"/>
  <c r="AP111" i="9"/>
  <c r="BI111" i="9" s="1"/>
  <c r="BM111" i="9" s="1"/>
  <c r="H111" i="16"/>
  <c r="BN84" i="20"/>
  <c r="AP105" i="9"/>
  <c r="BI105" i="9" s="1"/>
  <c r="BM105" i="9" s="1"/>
  <c r="BO105" i="9" s="1"/>
  <c r="H105" i="16"/>
  <c r="BN81" i="20"/>
  <c r="AP102" i="9"/>
  <c r="H102" i="16"/>
  <c r="BN78" i="20"/>
  <c r="AP99" i="9"/>
  <c r="BI99" i="9" s="1"/>
  <c r="BM99" i="9" s="1"/>
  <c r="BO99" i="9" s="1"/>
  <c r="H99" i="16"/>
  <c r="BN87" i="20"/>
  <c r="AP108" i="9"/>
  <c r="BI108" i="9" s="1"/>
  <c r="BM108" i="9" s="1"/>
  <c r="BO108" i="9" s="1"/>
  <c r="H108" i="16"/>
  <c r="BN95" i="20"/>
  <c r="AP116" i="9"/>
  <c r="BI116" i="9" s="1"/>
  <c r="BM116" i="9" s="1"/>
  <c r="BO116" i="9" s="1"/>
  <c r="H116" i="16"/>
  <c r="BN77" i="20"/>
  <c r="AP98" i="9"/>
  <c r="BI98" i="9" s="1"/>
  <c r="BM98" i="9" s="1"/>
  <c r="BO98" i="9" s="1"/>
  <c r="H98" i="16"/>
  <c r="BN104" i="20"/>
  <c r="AP125" i="9"/>
  <c r="BI125" i="9" s="1"/>
  <c r="BM125" i="9" s="1"/>
  <c r="BO125" i="9" s="1"/>
  <c r="H125" i="16"/>
  <c r="BN103" i="20"/>
  <c r="AP124" i="9"/>
  <c r="BI124" i="9" s="1"/>
  <c r="BM124" i="9" s="1"/>
  <c r="BO124" i="9" s="1"/>
  <c r="H124" i="16"/>
  <c r="BN74" i="20"/>
  <c r="AP95" i="9"/>
  <c r="H95" i="16"/>
  <c r="BN89" i="20"/>
  <c r="AP110" i="9"/>
  <c r="BI110" i="9" s="1"/>
  <c r="BM110" i="9" s="1"/>
  <c r="BO110" i="9" s="1"/>
  <c r="H110" i="16"/>
  <c r="BN99" i="20"/>
  <c r="AP120" i="9"/>
  <c r="BI120" i="9" s="1"/>
  <c r="BM120" i="9" s="1"/>
  <c r="BO120" i="9" s="1"/>
  <c r="H120" i="16"/>
  <c r="BN88" i="20"/>
  <c r="AP109" i="9"/>
  <c r="BI109" i="9" s="1"/>
  <c r="BM109" i="9" s="1"/>
  <c r="BO109" i="9" s="1"/>
  <c r="H109" i="16"/>
  <c r="BN98" i="20"/>
  <c r="AP119" i="9"/>
  <c r="BI119" i="9" s="1"/>
  <c r="BM119" i="9" s="1"/>
  <c r="BO119" i="9" s="1"/>
  <c r="H119" i="16"/>
  <c r="BN100" i="20"/>
  <c r="AP121" i="9"/>
  <c r="BI121" i="9" s="1"/>
  <c r="BM121" i="9" s="1"/>
  <c r="BO121" i="9" s="1"/>
  <c r="H121" i="16"/>
  <c r="BN93" i="20"/>
  <c r="AP114" i="9"/>
  <c r="H114" i="16"/>
  <c r="BN94" i="20"/>
  <c r="AP115" i="9"/>
  <c r="BI115" i="9" s="1"/>
  <c r="BM115" i="9" s="1"/>
  <c r="BO115" i="9" s="1"/>
  <c r="H115" i="16"/>
  <c r="BM113" i="16"/>
  <c r="AP114" i="16" l="1"/>
  <c r="F93" i="20"/>
  <c r="H158" i="9"/>
  <c r="I158" i="9" s="1"/>
  <c r="BI102" i="9"/>
  <c r="AP126" i="16"/>
  <c r="BI126" i="16" s="1"/>
  <c r="BM126" i="16" s="1"/>
  <c r="BO126" i="16" s="1"/>
  <c r="F105" i="20"/>
  <c r="AP106" i="16"/>
  <c r="BI106" i="16" s="1"/>
  <c r="BM106" i="16" s="1"/>
  <c r="BO106" i="16" s="1"/>
  <c r="F85" i="20"/>
  <c r="F97" i="20"/>
  <c r="AP118" i="16"/>
  <c r="F86" i="20"/>
  <c r="AP107" i="16"/>
  <c r="BI107" i="16" s="1"/>
  <c r="BM107" i="16" s="1"/>
  <c r="BO107" i="16" s="1"/>
  <c r="F94" i="20"/>
  <c r="AP115" i="16"/>
  <c r="BI115" i="16" s="1"/>
  <c r="BM115" i="16" s="1"/>
  <c r="BO115" i="16" s="1"/>
  <c r="BI118" i="9"/>
  <c r="H160" i="9"/>
  <c r="I160" i="9" s="1"/>
  <c r="F82" i="20"/>
  <c r="AP103" i="16"/>
  <c r="BI103" i="16" s="1"/>
  <c r="BM103" i="16" s="1"/>
  <c r="BO103" i="16" s="1"/>
  <c r="AP121" i="16"/>
  <c r="BI121" i="16" s="1"/>
  <c r="BM121" i="16" s="1"/>
  <c r="BO121" i="16" s="1"/>
  <c r="F100" i="20"/>
  <c r="AP110" i="16"/>
  <c r="BI110" i="16" s="1"/>
  <c r="BM110" i="16" s="1"/>
  <c r="BO110" i="16" s="1"/>
  <c r="F89" i="20"/>
  <c r="BI95" i="9"/>
  <c r="H157" i="9"/>
  <c r="AP132" i="9"/>
  <c r="AP133" i="9" s="1"/>
  <c r="F77" i="20"/>
  <c r="AP98" i="16"/>
  <c r="BI98" i="16" s="1"/>
  <c r="BM98" i="16" s="1"/>
  <c r="BO98" i="16" s="1"/>
  <c r="AP102" i="16"/>
  <c r="F81" i="20"/>
  <c r="AP122" i="16"/>
  <c r="BI122" i="16" s="1"/>
  <c r="BM122" i="16" s="1"/>
  <c r="BO122" i="16" s="1"/>
  <c r="F101" i="20"/>
  <c r="AP97" i="16"/>
  <c r="BI97" i="16" s="1"/>
  <c r="BM97" i="16" s="1"/>
  <c r="BO97" i="16" s="1"/>
  <c r="F76" i="20"/>
  <c r="F75" i="20"/>
  <c r="AP96" i="16"/>
  <c r="BI96" i="16" s="1"/>
  <c r="BM96" i="16" s="1"/>
  <c r="BO96" i="16" s="1"/>
  <c r="F99" i="20"/>
  <c r="AP120" i="16"/>
  <c r="BI120" i="16" s="1"/>
  <c r="BM120" i="16" s="1"/>
  <c r="BO120" i="16" s="1"/>
  <c r="F104" i="20"/>
  <c r="AP125" i="16"/>
  <c r="BI125" i="16" s="1"/>
  <c r="BM125" i="16" s="1"/>
  <c r="BO125" i="16" s="1"/>
  <c r="F78" i="20"/>
  <c r="AP99" i="16"/>
  <c r="BI99" i="16" s="1"/>
  <c r="BM99" i="16" s="1"/>
  <c r="BO99" i="16" s="1"/>
  <c r="BI114" i="9"/>
  <c r="H159" i="9"/>
  <c r="I159" i="9" s="1"/>
  <c r="AP109" i="16"/>
  <c r="BI109" i="16" s="1"/>
  <c r="BM109" i="16" s="1"/>
  <c r="BO109" i="16" s="1"/>
  <c r="F88" i="20"/>
  <c r="F103" i="20"/>
  <c r="AP124" i="16"/>
  <c r="BI124" i="16" s="1"/>
  <c r="BM124" i="16" s="1"/>
  <c r="BO124" i="16" s="1"/>
  <c r="AP108" i="16"/>
  <c r="BI108" i="16" s="1"/>
  <c r="BM108" i="16" s="1"/>
  <c r="BO108" i="16" s="1"/>
  <c r="F87" i="20"/>
  <c r="AP111" i="16"/>
  <c r="BI111" i="16" s="1"/>
  <c r="BM111" i="16" s="1"/>
  <c r="F90" i="20"/>
  <c r="F79" i="20"/>
  <c r="AP100" i="16"/>
  <c r="BI100" i="16" s="1"/>
  <c r="BM100" i="16" s="1"/>
  <c r="BO100" i="16" s="1"/>
  <c r="F98" i="20"/>
  <c r="AP119" i="16"/>
  <c r="BI119" i="16" s="1"/>
  <c r="BM119" i="16" s="1"/>
  <c r="BO119" i="16" s="1"/>
  <c r="F74" i="20"/>
  <c r="AP95" i="16"/>
  <c r="F95" i="20"/>
  <c r="AP116" i="16"/>
  <c r="BI116" i="16" s="1"/>
  <c r="BM116" i="16" s="1"/>
  <c r="BO116" i="16" s="1"/>
  <c r="AP105" i="16"/>
  <c r="BI105" i="16" s="1"/>
  <c r="BM105" i="16" s="1"/>
  <c r="BO105" i="16" s="1"/>
  <c r="F84" i="20"/>
  <c r="AP104" i="16"/>
  <c r="BI104" i="16" s="1"/>
  <c r="BM104" i="16" s="1"/>
  <c r="BO104" i="16" s="1"/>
  <c r="F83" i="20"/>
  <c r="F102" i="20"/>
  <c r="AP123" i="16"/>
  <c r="BI123" i="16" s="1"/>
  <c r="BM123" i="16" s="1"/>
  <c r="BO123" i="16" s="1"/>
  <c r="H158" i="16" l="1"/>
  <c r="I158" i="16" s="1"/>
  <c r="BI102" i="16"/>
  <c r="I157" i="9"/>
  <c r="I161" i="9" s="1"/>
  <c r="F12" i="14" s="1"/>
  <c r="H161" i="9"/>
  <c r="BM102" i="9"/>
  <c r="BO102" i="9" s="1"/>
  <c r="BI101" i="9"/>
  <c r="BM101" i="9" s="1"/>
  <c r="BM95" i="9"/>
  <c r="BO95" i="9" s="1"/>
  <c r="BI93" i="9"/>
  <c r="BM118" i="9"/>
  <c r="BO118" i="9" s="1"/>
  <c r="BI117" i="9"/>
  <c r="BM117" i="9" s="1"/>
  <c r="BM114" i="9"/>
  <c r="BO114" i="9" s="1"/>
  <c r="BI112" i="9"/>
  <c r="BM112" i="9" s="1"/>
  <c r="H160" i="16"/>
  <c r="I160" i="16" s="1"/>
  <c r="BI118" i="16"/>
  <c r="BI95" i="16"/>
  <c r="H157" i="16"/>
  <c r="AP132" i="16"/>
  <c r="AP133" i="16" s="1"/>
  <c r="BI114" i="16"/>
  <c r="H159" i="16"/>
  <c r="I159" i="16" s="1"/>
  <c r="I157" i="16" l="1"/>
  <c r="BM95" i="16"/>
  <c r="BO95" i="16" s="1"/>
  <c r="BI93" i="16"/>
  <c r="F18" i="14"/>
  <c r="F25" i="14"/>
  <c r="F26" i="14" s="1"/>
  <c r="F28" i="14" s="1"/>
  <c r="BM114" i="16"/>
  <c r="BO114" i="16" s="1"/>
  <c r="BI112" i="16"/>
  <c r="BM112" i="16" s="1"/>
  <c r="BM118" i="16"/>
  <c r="BO118" i="16" s="1"/>
  <c r="BI117" i="16"/>
  <c r="BM117" i="16" s="1"/>
  <c r="BI101" i="16"/>
  <c r="BM101" i="16" s="1"/>
  <c r="BM102" i="16"/>
  <c r="BO102" i="16" s="1"/>
  <c r="BI92" i="9"/>
  <c r="BM93" i="9"/>
  <c r="F70" i="17" l="1"/>
  <c r="F78" i="17"/>
  <c r="F68" i="11"/>
  <c r="I68" i="11" s="1"/>
  <c r="F86" i="17"/>
  <c r="AC34" i="20"/>
  <c r="F46" i="17"/>
  <c r="F54" i="17"/>
  <c r="F62" i="17"/>
  <c r="AS47" i="2"/>
  <c r="F94" i="17"/>
  <c r="K47" i="16"/>
  <c r="F22" i="17"/>
  <c r="F30" i="17"/>
  <c r="F38" i="17"/>
  <c r="F14" i="17"/>
  <c r="BM93" i="16"/>
  <c r="BI92" i="16"/>
  <c r="BM92" i="9"/>
  <c r="BM132" i="9" s="1"/>
  <c r="BI132" i="9"/>
  <c r="BI133" i="9" s="1"/>
  <c r="F102" i="17" l="1"/>
  <c r="AC35" i="20"/>
  <c r="F74" i="11"/>
  <c r="I74" i="11" s="1"/>
  <c r="K48" i="16"/>
  <c r="AS48" i="2"/>
  <c r="F85" i="17"/>
  <c r="F53" i="17"/>
  <c r="F45" i="17"/>
  <c r="F61" i="17"/>
  <c r="F69" i="17"/>
  <c r="F29" i="17"/>
  <c r="F21" i="17"/>
  <c r="F93" i="17"/>
  <c r="AQ47" i="2"/>
  <c r="AA34" i="20"/>
  <c r="F13" i="17"/>
  <c r="F77" i="17"/>
  <c r="F67" i="11"/>
  <c r="I67" i="11" s="1"/>
  <c r="F37" i="17"/>
  <c r="I47" i="16"/>
  <c r="AC60" i="20"/>
  <c r="K74" i="16"/>
  <c r="F120" i="11"/>
  <c r="I120" i="11" s="1"/>
  <c r="AS74" i="2"/>
  <c r="I22" i="17"/>
  <c r="R22" i="17"/>
  <c r="R62" i="17"/>
  <c r="I62" i="17"/>
  <c r="I86" i="17"/>
  <c r="R86" i="17"/>
  <c r="AS47" i="16"/>
  <c r="I34" i="20"/>
  <c r="H150" i="19" s="1"/>
  <c r="R54" i="17"/>
  <c r="I54" i="17"/>
  <c r="I14" i="17"/>
  <c r="R14" i="17"/>
  <c r="R38" i="17"/>
  <c r="I38" i="17"/>
  <c r="I94" i="17"/>
  <c r="R94" i="17"/>
  <c r="I46" i="17"/>
  <c r="R46" i="17"/>
  <c r="I78" i="17"/>
  <c r="R78" i="17"/>
  <c r="R30" i="17"/>
  <c r="I30" i="17"/>
  <c r="R70" i="17"/>
  <c r="I70" i="17"/>
  <c r="J27" i="19"/>
  <c r="K13" i="14"/>
  <c r="BO132" i="9"/>
  <c r="BR132" i="9" s="1"/>
  <c r="BU132" i="9"/>
  <c r="BM133" i="9"/>
  <c r="BN132" i="9" s="1"/>
  <c r="BI132" i="16"/>
  <c r="BM92" i="16"/>
  <c r="BM132" i="16" s="1"/>
  <c r="K60" i="2" l="1"/>
  <c r="U70" i="17"/>
  <c r="K61" i="2"/>
  <c r="U78" i="17"/>
  <c r="U94" i="17"/>
  <c r="K63" i="2"/>
  <c r="K53" i="2"/>
  <c r="U14" i="17"/>
  <c r="AQ47" i="16"/>
  <c r="G34" i="20"/>
  <c r="H149" i="19" s="1"/>
  <c r="R13" i="17"/>
  <c r="I13" i="17"/>
  <c r="R21" i="17"/>
  <c r="I21" i="17"/>
  <c r="R45" i="17"/>
  <c r="I45" i="17"/>
  <c r="I35" i="20"/>
  <c r="AS48" i="16"/>
  <c r="U62" i="17"/>
  <c r="K59" i="2"/>
  <c r="R37" i="17"/>
  <c r="I37" i="17"/>
  <c r="R29" i="17"/>
  <c r="I29" i="17"/>
  <c r="R53" i="17"/>
  <c r="I53" i="17"/>
  <c r="F119" i="11"/>
  <c r="I119" i="11" s="1"/>
  <c r="AA60" i="20"/>
  <c r="I74" i="16"/>
  <c r="AQ74" i="2"/>
  <c r="U46" i="17"/>
  <c r="K57" i="2"/>
  <c r="K62" i="2"/>
  <c r="U86" i="17"/>
  <c r="U22" i="17"/>
  <c r="K54" i="2"/>
  <c r="I60" i="20"/>
  <c r="AS74" i="16"/>
  <c r="BI47" i="2"/>
  <c r="BM47" i="2" s="1"/>
  <c r="BO47" i="2" s="1"/>
  <c r="R69" i="17"/>
  <c r="I69" i="17"/>
  <c r="R85" i="17"/>
  <c r="I85" i="17"/>
  <c r="F101" i="17"/>
  <c r="AA35" i="20"/>
  <c r="I48" i="16"/>
  <c r="F73" i="11"/>
  <c r="I73" i="11" s="1"/>
  <c r="AQ48" i="2"/>
  <c r="U30" i="17"/>
  <c r="K55" i="2"/>
  <c r="U38" i="17"/>
  <c r="K56" i="2"/>
  <c r="U54" i="17"/>
  <c r="K58" i="2"/>
  <c r="R77" i="17"/>
  <c r="I77" i="17"/>
  <c r="R93" i="17"/>
  <c r="I93" i="17"/>
  <c r="R61" i="17"/>
  <c r="I61" i="17"/>
  <c r="I102" i="17"/>
  <c r="R102" i="17"/>
  <c r="L13" i="14"/>
  <c r="K14" i="14"/>
  <c r="L14" i="14" s="1"/>
  <c r="O44" i="4"/>
  <c r="J35" i="19"/>
  <c r="BO132" i="16"/>
  <c r="BN129" i="9"/>
  <c r="BN130" i="9"/>
  <c r="BO133" i="9"/>
  <c r="BR133" i="9" s="1"/>
  <c r="I162" i="9"/>
  <c r="I163" i="9" s="1"/>
  <c r="BN133" i="9"/>
  <c r="BN128" i="9"/>
  <c r="BN131" i="9"/>
  <c r="BN136" i="9"/>
  <c r="BN135" i="9"/>
  <c r="P27" i="19"/>
  <c r="J28" i="19"/>
  <c r="K23" i="19" l="1"/>
  <c r="N23" i="19" s="1"/>
  <c r="K26" i="19"/>
  <c r="N26" i="19" s="1"/>
  <c r="K25" i="19"/>
  <c r="N25" i="19" s="1"/>
  <c r="K24" i="19"/>
  <c r="N24" i="19" s="1"/>
  <c r="K27" i="19"/>
  <c r="N27" i="19" s="1"/>
  <c r="I59" i="2"/>
  <c r="U61" i="17"/>
  <c r="I61" i="2"/>
  <c r="U77" i="17"/>
  <c r="AC47" i="20"/>
  <c r="K62" i="16"/>
  <c r="AS62" i="2"/>
  <c r="BI74" i="2"/>
  <c r="I57" i="2"/>
  <c r="U45" i="17"/>
  <c r="I53" i="2"/>
  <c r="U13" i="17"/>
  <c r="K64" i="2"/>
  <c r="U102" i="17"/>
  <c r="AS58" i="2"/>
  <c r="AC41" i="20"/>
  <c r="K58" i="16"/>
  <c r="AC40" i="20"/>
  <c r="AS55" i="2"/>
  <c r="K55" i="16"/>
  <c r="G35" i="20"/>
  <c r="AQ48" i="16"/>
  <c r="U85" i="17"/>
  <c r="I62" i="2"/>
  <c r="K54" i="16"/>
  <c r="AS54" i="2"/>
  <c r="AC39" i="20"/>
  <c r="AC43" i="20"/>
  <c r="K57" i="16"/>
  <c r="AS57" i="2"/>
  <c r="G60" i="20"/>
  <c r="AQ74" i="16"/>
  <c r="U53" i="17"/>
  <c r="I58" i="2"/>
  <c r="I56" i="2"/>
  <c r="U37" i="17"/>
  <c r="AC38" i="20"/>
  <c r="K53" i="16"/>
  <c r="AS53" i="2"/>
  <c r="AS61" i="2"/>
  <c r="AC46" i="20"/>
  <c r="K61" i="16"/>
  <c r="U93" i="17"/>
  <c r="I63" i="2"/>
  <c r="AS59" i="2"/>
  <c r="K59" i="16"/>
  <c r="AC44" i="20"/>
  <c r="G126" i="19"/>
  <c r="G150" i="19"/>
  <c r="J150" i="19" s="1"/>
  <c r="U21" i="17"/>
  <c r="I54" i="2"/>
  <c r="BI47" i="16"/>
  <c r="K63" i="16"/>
  <c r="AS63" i="2"/>
  <c r="AC48" i="20"/>
  <c r="K56" i="16"/>
  <c r="AS56" i="2"/>
  <c r="AC42" i="20"/>
  <c r="BI48" i="2"/>
  <c r="H151" i="2"/>
  <c r="I151" i="2" s="1"/>
  <c r="R101" i="17"/>
  <c r="I101" i="17"/>
  <c r="I60" i="2"/>
  <c r="U69" i="17"/>
  <c r="U29" i="17"/>
  <c r="I55" i="2"/>
  <c r="K60" i="16"/>
  <c r="AS60" i="2"/>
  <c r="AC45" i="20"/>
  <c r="P44" i="4"/>
  <c r="M13" i="14"/>
  <c r="M9" i="14"/>
  <c r="M10" i="14"/>
  <c r="M12" i="14"/>
  <c r="M11" i="14"/>
  <c r="P35" i="19"/>
  <c r="Q35" i="19" s="1"/>
  <c r="Q27" i="19"/>
  <c r="P28" i="19"/>
  <c r="Q28" i="19" s="1"/>
  <c r="K28" i="19" l="1"/>
  <c r="N28" i="19" s="1"/>
  <c r="I64" i="2"/>
  <c r="U101" i="17"/>
  <c r="AS63" i="16"/>
  <c r="I48" i="20"/>
  <c r="I54" i="16"/>
  <c r="AQ54" i="2"/>
  <c r="BI54" i="2" s="1"/>
  <c r="BM54" i="2" s="1"/>
  <c r="AA39" i="20"/>
  <c r="BI74" i="16"/>
  <c r="AA47" i="20"/>
  <c r="AQ62" i="2"/>
  <c r="BI62" i="2" s="1"/>
  <c r="BM62" i="2" s="1"/>
  <c r="I62" i="16"/>
  <c r="AS55" i="16"/>
  <c r="I40" i="20"/>
  <c r="AS62" i="16"/>
  <c r="I47" i="20"/>
  <c r="I42" i="20"/>
  <c r="AS56" i="16"/>
  <c r="AS59" i="16"/>
  <c r="I44" i="20"/>
  <c r="AS61" i="16"/>
  <c r="I46" i="20"/>
  <c r="I38" i="20"/>
  <c r="AS53" i="16"/>
  <c r="AA42" i="20"/>
  <c r="I56" i="16"/>
  <c r="AQ56" i="2"/>
  <c r="BI56" i="2" s="1"/>
  <c r="BM56" i="2" s="1"/>
  <c r="I53" i="16"/>
  <c r="AA38" i="20"/>
  <c r="AQ53" i="2"/>
  <c r="I59" i="16"/>
  <c r="AQ59" i="2"/>
  <c r="BI59" i="2" s="1"/>
  <c r="BM59" i="2" s="1"/>
  <c r="AA44" i="20"/>
  <c r="I45" i="20"/>
  <c r="AS60" i="16"/>
  <c r="I60" i="16"/>
  <c r="AQ60" i="2"/>
  <c r="BI60" i="2" s="1"/>
  <c r="BM60" i="2" s="1"/>
  <c r="AA45" i="20"/>
  <c r="BM48" i="2"/>
  <c r="BO48" i="2" s="1"/>
  <c r="I58" i="16"/>
  <c r="AA41" i="20"/>
  <c r="AQ58" i="2"/>
  <c r="BI58" i="2" s="1"/>
  <c r="BM58" i="2" s="1"/>
  <c r="BO58" i="2" s="1"/>
  <c r="BI48" i="16"/>
  <c r="BM48" i="16" s="1"/>
  <c r="BO48" i="16" s="1"/>
  <c r="H152" i="16"/>
  <c r="I152" i="16" s="1"/>
  <c r="BM74" i="2"/>
  <c r="BO74" i="2" s="1"/>
  <c r="I55" i="16"/>
  <c r="AQ55" i="2"/>
  <c r="BI55" i="2" s="1"/>
  <c r="BM55" i="2" s="1"/>
  <c r="AA40" i="20"/>
  <c r="BM47" i="16"/>
  <c r="BO47" i="16" s="1"/>
  <c r="I63" i="16"/>
  <c r="AQ63" i="2"/>
  <c r="BI63" i="2" s="1"/>
  <c r="BM63" i="2" s="1"/>
  <c r="BO63" i="2" s="1"/>
  <c r="AA48" i="20"/>
  <c r="I43" i="20"/>
  <c r="AS57" i="16"/>
  <c r="I39" i="20"/>
  <c r="AS54" i="16"/>
  <c r="G125" i="19"/>
  <c r="G149" i="19"/>
  <c r="J149" i="19" s="1"/>
  <c r="I41" i="20"/>
  <c r="AS58" i="16"/>
  <c r="AC49" i="20"/>
  <c r="K64" i="16"/>
  <c r="AS64" i="2"/>
  <c r="AS130" i="2" s="1"/>
  <c r="AA43" i="20"/>
  <c r="AQ57" i="2"/>
  <c r="BI57" i="2" s="1"/>
  <c r="BM57" i="2" s="1"/>
  <c r="BO57" i="2" s="1"/>
  <c r="I57" i="16"/>
  <c r="AA46" i="20"/>
  <c r="AQ61" i="2"/>
  <c r="BI61" i="2" s="1"/>
  <c r="BM61" i="2" s="1"/>
  <c r="I61" i="16"/>
  <c r="AQ57" i="16" l="1"/>
  <c r="BI57" i="16" s="1"/>
  <c r="BM57" i="16" s="1"/>
  <c r="BO57" i="16" s="1"/>
  <c r="G43" i="20"/>
  <c r="AS64" i="16"/>
  <c r="AS130" i="16" s="1"/>
  <c r="I49" i="20"/>
  <c r="AQ63" i="16"/>
  <c r="BI63" i="16" s="1"/>
  <c r="BM63" i="16" s="1"/>
  <c r="BO63" i="16" s="1"/>
  <c r="G48" i="20"/>
  <c r="AQ58" i="16"/>
  <c r="BI58" i="16" s="1"/>
  <c r="BM58" i="16" s="1"/>
  <c r="BO58" i="16" s="1"/>
  <c r="G41" i="20"/>
  <c r="G131" i="19"/>
  <c r="H131" i="19"/>
  <c r="J131" i="19" s="1"/>
  <c r="G127" i="19"/>
  <c r="AQ55" i="16"/>
  <c r="BI55" i="16" s="1"/>
  <c r="BM55" i="16" s="1"/>
  <c r="G40" i="20"/>
  <c r="AQ60" i="16"/>
  <c r="BI60" i="16" s="1"/>
  <c r="BM60" i="16" s="1"/>
  <c r="G45" i="20"/>
  <c r="G38" i="20"/>
  <c r="AQ53" i="16"/>
  <c r="G46" i="20"/>
  <c r="AQ61" i="16"/>
  <c r="BI61" i="16" s="1"/>
  <c r="BM61" i="16" s="1"/>
  <c r="G44" i="20"/>
  <c r="AQ59" i="16"/>
  <c r="BI59" i="16" s="1"/>
  <c r="BM59" i="16" s="1"/>
  <c r="G47" i="20"/>
  <c r="AQ62" i="16"/>
  <c r="BI62" i="16" s="1"/>
  <c r="BM62" i="16" s="1"/>
  <c r="BI53" i="2"/>
  <c r="G42" i="20"/>
  <c r="AQ56" i="16"/>
  <c r="BI56" i="16" s="1"/>
  <c r="BM56" i="16" s="1"/>
  <c r="BM74" i="16"/>
  <c r="BO74" i="16" s="1"/>
  <c r="G39" i="20"/>
  <c r="AQ54" i="16"/>
  <c r="BI54" i="16" s="1"/>
  <c r="BM54" i="16" s="1"/>
  <c r="AA49" i="20"/>
  <c r="I64" i="16"/>
  <c r="AQ64" i="2"/>
  <c r="BI64" i="2" s="1"/>
  <c r="BM64" i="2" s="1"/>
  <c r="BO64" i="2" s="1"/>
  <c r="AQ130" i="2" l="1"/>
  <c r="H150" i="2"/>
  <c r="BM53" i="2"/>
  <c r="BI46" i="2"/>
  <c r="AQ64" i="16"/>
  <c r="BI64" i="16" s="1"/>
  <c r="BM64" i="16" s="1"/>
  <c r="BO64" i="16" s="1"/>
  <c r="G49" i="20"/>
  <c r="BI53" i="16"/>
  <c r="H151" i="16"/>
  <c r="AQ130" i="16"/>
  <c r="BI40" i="2" l="1"/>
  <c r="BM46" i="2"/>
  <c r="I151" i="16"/>
  <c r="BM53" i="16"/>
  <c r="BI46" i="16"/>
  <c r="I150" i="2"/>
  <c r="BI130" i="2" l="1"/>
  <c r="BM40" i="2"/>
  <c r="BM130" i="2" s="1"/>
  <c r="BM46" i="16"/>
  <c r="BI40" i="16"/>
  <c r="BI130" i="16" l="1"/>
  <c r="BM40" i="16"/>
  <c r="BM130" i="16" s="1"/>
  <c r="BO130" i="2"/>
  <c r="BR130" i="2" s="1"/>
  <c r="BT130" i="9"/>
  <c r="O32" i="4"/>
  <c r="P11" i="4"/>
  <c r="J9" i="19"/>
  <c r="Q11" i="4" l="1"/>
  <c r="P32" i="4"/>
  <c r="Q32" i="4" s="1"/>
  <c r="P9" i="19"/>
  <c r="BU130" i="9"/>
  <c r="BO130" i="16"/>
  <c r="BR130" i="16" s="1"/>
  <c r="J33" i="19"/>
  <c r="O42" i="4"/>
  <c r="P33" i="19" l="1"/>
  <c r="Q33" i="19" s="1"/>
  <c r="Q9" i="19"/>
  <c r="P42" i="4"/>
  <c r="F169" i="17" l="1"/>
  <c r="F153" i="17"/>
  <c r="F113" i="17"/>
  <c r="F129" i="17"/>
  <c r="F145" i="17"/>
  <c r="F107" i="11"/>
  <c r="I107" i="11" s="1"/>
  <c r="F177" i="17"/>
  <c r="F137" i="17"/>
  <c r="AA57" i="20"/>
  <c r="F161" i="17"/>
  <c r="F121" i="17"/>
  <c r="AQ70" i="2"/>
  <c r="I70" i="16"/>
  <c r="F170" i="17"/>
  <c r="F178" i="17"/>
  <c r="F138" i="17"/>
  <c r="F162" i="17"/>
  <c r="F114" i="17"/>
  <c r="AC57" i="20"/>
  <c r="F130" i="17"/>
  <c r="F146" i="17"/>
  <c r="F108" i="11"/>
  <c r="I108" i="11" s="1"/>
  <c r="F122" i="17"/>
  <c r="F154" i="17"/>
  <c r="AS70" i="2"/>
  <c r="K70" i="16"/>
  <c r="R122" i="17" l="1"/>
  <c r="I122" i="17"/>
  <c r="R177" i="17"/>
  <c r="I177" i="17"/>
  <c r="AA58" i="20"/>
  <c r="F113" i="11"/>
  <c r="I113" i="11" s="1"/>
  <c r="AQ71" i="2"/>
  <c r="I71" i="16"/>
  <c r="F114" i="11"/>
  <c r="I114" i="11" s="1"/>
  <c r="AC58" i="20"/>
  <c r="AS71" i="2"/>
  <c r="K71" i="16"/>
  <c r="R154" i="17"/>
  <c r="I154" i="17"/>
  <c r="R130" i="17"/>
  <c r="I130" i="17"/>
  <c r="R138" i="17"/>
  <c r="I138" i="17"/>
  <c r="BI70" i="2"/>
  <c r="R137" i="17"/>
  <c r="I137" i="17"/>
  <c r="R129" i="17"/>
  <c r="I129" i="17"/>
  <c r="R178" i="17"/>
  <c r="I178" i="17"/>
  <c r="R121" i="17"/>
  <c r="I121" i="17"/>
  <c r="R113" i="17"/>
  <c r="I113" i="17"/>
  <c r="AS70" i="16"/>
  <c r="I57" i="20"/>
  <c r="H155" i="19" s="1"/>
  <c r="R114" i="17"/>
  <c r="I114" i="17"/>
  <c r="R170" i="17"/>
  <c r="I170" i="17"/>
  <c r="R161" i="17"/>
  <c r="I161" i="17"/>
  <c r="R153" i="17"/>
  <c r="I153" i="17"/>
  <c r="R146" i="17"/>
  <c r="I146" i="17"/>
  <c r="R162" i="17"/>
  <c r="I162" i="17"/>
  <c r="AQ70" i="16"/>
  <c r="G57" i="20"/>
  <c r="H154" i="19" s="1"/>
  <c r="R145" i="17"/>
  <c r="I145" i="17"/>
  <c r="R169" i="17"/>
  <c r="I169" i="17"/>
  <c r="I83" i="2" l="1"/>
  <c r="U161" i="17"/>
  <c r="K79" i="2"/>
  <c r="U130" i="17"/>
  <c r="BI71" i="2"/>
  <c r="BM71" i="2" s="1"/>
  <c r="BO71" i="2" s="1"/>
  <c r="H154" i="2"/>
  <c r="I154" i="2" s="1"/>
  <c r="I84" i="2"/>
  <c r="U169" i="17"/>
  <c r="BI70" i="16"/>
  <c r="K81" i="2"/>
  <c r="U146" i="17"/>
  <c r="I78" i="2"/>
  <c r="U121" i="17"/>
  <c r="I79" i="2"/>
  <c r="U129" i="17"/>
  <c r="AS71" i="16"/>
  <c r="I58" i="20"/>
  <c r="G58" i="20"/>
  <c r="AQ71" i="16"/>
  <c r="I81" i="2"/>
  <c r="U145" i="17"/>
  <c r="K83" i="2"/>
  <c r="U162" i="17"/>
  <c r="I77" i="2"/>
  <c r="U113" i="17"/>
  <c r="K85" i="2"/>
  <c r="U178" i="17"/>
  <c r="I80" i="2"/>
  <c r="U137" i="17"/>
  <c r="K77" i="2"/>
  <c r="U114" i="17"/>
  <c r="BM70" i="2"/>
  <c r="BO70" i="2" s="1"/>
  <c r="BI69" i="2"/>
  <c r="I85" i="2"/>
  <c r="U177" i="17"/>
  <c r="I82" i="2"/>
  <c r="U153" i="17"/>
  <c r="K84" i="2"/>
  <c r="U170" i="17"/>
  <c r="K80" i="2"/>
  <c r="U138" i="17"/>
  <c r="K82" i="2"/>
  <c r="U154" i="17"/>
  <c r="K78" i="2"/>
  <c r="U122" i="17"/>
  <c r="AC67" i="20" l="1"/>
  <c r="AS82" i="2"/>
  <c r="K82" i="16"/>
  <c r="AC63" i="20"/>
  <c r="AS78" i="2"/>
  <c r="K78" i="16"/>
  <c r="AC65" i="20"/>
  <c r="AS80" i="2"/>
  <c r="K80" i="16"/>
  <c r="BM69" i="2"/>
  <c r="H126" i="19"/>
  <c r="G132" i="19" s="1"/>
  <c r="G155" i="19"/>
  <c r="J155" i="19" s="1"/>
  <c r="AQ79" i="2"/>
  <c r="I79" i="16"/>
  <c r="AQ79" i="16" s="1"/>
  <c r="AS81" i="2"/>
  <c r="AC66" i="20"/>
  <c r="K81" i="16"/>
  <c r="AA67" i="20"/>
  <c r="AQ82" i="2"/>
  <c r="I82" i="16"/>
  <c r="AA65" i="20"/>
  <c r="AQ80" i="2"/>
  <c r="I80" i="16"/>
  <c r="AQ77" i="2"/>
  <c r="AA62" i="20"/>
  <c r="I77" i="16"/>
  <c r="AA66" i="20"/>
  <c r="AQ81" i="2"/>
  <c r="I81" i="16"/>
  <c r="AA69" i="20"/>
  <c r="AQ84" i="2"/>
  <c r="I84" i="16"/>
  <c r="AS79" i="2"/>
  <c r="BI79" i="2" s="1"/>
  <c r="BM79" i="2" s="1"/>
  <c r="BO79" i="2" s="1"/>
  <c r="K79" i="16"/>
  <c r="AS79" i="16" s="1"/>
  <c r="BI71" i="16"/>
  <c r="BM71" i="16" s="1"/>
  <c r="BO71" i="16" s="1"/>
  <c r="H155" i="16"/>
  <c r="I155" i="16" s="1"/>
  <c r="AA63" i="20"/>
  <c r="AQ78" i="2"/>
  <c r="I78" i="16"/>
  <c r="AC69" i="20"/>
  <c r="AS84" i="2"/>
  <c r="K84" i="16"/>
  <c r="AQ85" i="2"/>
  <c r="AA70" i="20"/>
  <c r="I85" i="16"/>
  <c r="AC62" i="20"/>
  <c r="AS77" i="2"/>
  <c r="K77" i="16"/>
  <c r="AC70" i="20"/>
  <c r="AS85" i="2"/>
  <c r="K85" i="16"/>
  <c r="AS83" i="2"/>
  <c r="AC68" i="20"/>
  <c r="K83" i="16"/>
  <c r="H125" i="19"/>
  <c r="G154" i="19"/>
  <c r="J154" i="19" s="1"/>
  <c r="BM70" i="16"/>
  <c r="BO70" i="16" s="1"/>
  <c r="AA68" i="20"/>
  <c r="AQ83" i="2"/>
  <c r="I83" i="16"/>
  <c r="BI84" i="2" l="1"/>
  <c r="BM84" i="2" s="1"/>
  <c r="BO84" i="2" s="1"/>
  <c r="BI69" i="16"/>
  <c r="BM69" i="16" s="1"/>
  <c r="BI83" i="2"/>
  <c r="BM83" i="2" s="1"/>
  <c r="BO83" i="2" s="1"/>
  <c r="BI82" i="2"/>
  <c r="BM82" i="2" s="1"/>
  <c r="BO82" i="2" s="1"/>
  <c r="I63" i="20"/>
  <c r="AS78" i="16"/>
  <c r="I68" i="20"/>
  <c r="AS83" i="16"/>
  <c r="BI85" i="2"/>
  <c r="BM85" i="2" s="1"/>
  <c r="BO85" i="2" s="1"/>
  <c r="AS84" i="16"/>
  <c r="I69" i="20"/>
  <c r="AQ78" i="16"/>
  <c r="G63" i="20"/>
  <c r="G65" i="20"/>
  <c r="AQ80" i="16"/>
  <c r="BI81" i="2"/>
  <c r="BM81" i="2" s="1"/>
  <c r="BO81" i="2" s="1"/>
  <c r="BI80" i="2"/>
  <c r="BM80" i="2" s="1"/>
  <c r="BO80" i="2" s="1"/>
  <c r="G68" i="20"/>
  <c r="AQ83" i="16"/>
  <c r="AQ85" i="16"/>
  <c r="G70" i="20"/>
  <c r="G62" i="20"/>
  <c r="AQ77" i="16"/>
  <c r="BI79" i="16"/>
  <c r="BM79" i="16" s="1"/>
  <c r="BO79" i="16" s="1"/>
  <c r="I67" i="20"/>
  <c r="AS82" i="16"/>
  <c r="I62" i="20"/>
  <c r="AS77" i="16"/>
  <c r="G66" i="20"/>
  <c r="AQ81" i="16"/>
  <c r="I66" i="20"/>
  <c r="AS81" i="16"/>
  <c r="H127" i="19"/>
  <c r="H132" i="19"/>
  <c r="J132" i="19" s="1"/>
  <c r="AS85" i="16"/>
  <c r="I70" i="20"/>
  <c r="AS131" i="2"/>
  <c r="AS133" i="2" s="1"/>
  <c r="G69" i="20"/>
  <c r="AQ84" i="16"/>
  <c r="BI77" i="2"/>
  <c r="H153" i="2"/>
  <c r="AQ131" i="2"/>
  <c r="AQ133" i="2" s="1"/>
  <c r="G67" i="20"/>
  <c r="AQ82" i="16"/>
  <c r="I65" i="20"/>
  <c r="AS80" i="16"/>
  <c r="BI78" i="2"/>
  <c r="BM78" i="2" s="1"/>
  <c r="BO78" i="2" s="1"/>
  <c r="BI78" i="16" l="1"/>
  <c r="BM78" i="16" s="1"/>
  <c r="BO78" i="16" s="1"/>
  <c r="BI83" i="16"/>
  <c r="BM83" i="16" s="1"/>
  <c r="BO83" i="16" s="1"/>
  <c r="BI81" i="16"/>
  <c r="BM81" i="16" s="1"/>
  <c r="BO81" i="16" s="1"/>
  <c r="BI85" i="16"/>
  <c r="BM85" i="16" s="1"/>
  <c r="BO85" i="16" s="1"/>
  <c r="I153" i="2"/>
  <c r="I160" i="2" s="1"/>
  <c r="J12" i="4" s="1"/>
  <c r="H160" i="2"/>
  <c r="BI82" i="16"/>
  <c r="BM82" i="16" s="1"/>
  <c r="BO82" i="16" s="1"/>
  <c r="BM77" i="2"/>
  <c r="BO77" i="2" s="1"/>
  <c r="BI68" i="2"/>
  <c r="AS131" i="16"/>
  <c r="AS133" i="16" s="1"/>
  <c r="BI84" i="16"/>
  <c r="BM84" i="16" s="1"/>
  <c r="BO84" i="16" s="1"/>
  <c r="BI77" i="16"/>
  <c r="H154" i="16"/>
  <c r="AQ131" i="16"/>
  <c r="AQ133" i="16" s="1"/>
  <c r="BI80" i="16"/>
  <c r="BM80" i="16" s="1"/>
  <c r="BO80" i="16" s="1"/>
  <c r="BM77" i="16" l="1"/>
  <c r="BO77" i="16" s="1"/>
  <c r="BI68" i="16"/>
  <c r="I154" i="16"/>
  <c r="I161" i="16" s="1"/>
  <c r="H161" i="16"/>
  <c r="BI131" i="2"/>
  <c r="BI133" i="2" s="1"/>
  <c r="BM68" i="2"/>
  <c r="BM131" i="2" s="1"/>
  <c r="J35" i="4"/>
  <c r="J21" i="4"/>
  <c r="J28" i="4"/>
  <c r="C8" i="4"/>
  <c r="C19" i="4" l="1"/>
  <c r="C20" i="4" s="1"/>
  <c r="C9" i="4" s="1"/>
  <c r="C10" i="4" s="1"/>
  <c r="BO131" i="2"/>
  <c r="BR131" i="2" s="1"/>
  <c r="BT131" i="9"/>
  <c r="J10" i="19"/>
  <c r="P12" i="4"/>
  <c r="O33" i="4"/>
  <c r="BM133" i="2"/>
  <c r="BN131" i="2" s="1"/>
  <c r="BM68" i="16"/>
  <c r="BM131" i="16" s="1"/>
  <c r="BI131" i="16"/>
  <c r="BI133" i="16" s="1"/>
  <c r="J29" i="4"/>
  <c r="J31" i="4" s="1"/>
  <c r="J37" i="4"/>
  <c r="BO131" i="16" l="1"/>
  <c r="J34" i="19"/>
  <c r="O43" i="4"/>
  <c r="BM133" i="16"/>
  <c r="BN131" i="16" s="1"/>
  <c r="P33" i="4"/>
  <c r="Q33" i="4" s="1"/>
  <c r="O35" i="4"/>
  <c r="P35" i="4" s="1"/>
  <c r="P10" i="19"/>
  <c r="J12" i="19"/>
  <c r="K10" i="19" s="1"/>
  <c r="N10" i="19" s="1"/>
  <c r="Q12" i="4"/>
  <c r="P14" i="4"/>
  <c r="J45" i="4"/>
  <c r="J46" i="4" s="1"/>
  <c r="J39" i="4"/>
  <c r="J40" i="4" s="1"/>
  <c r="J42" i="4" s="1"/>
  <c r="BN136" i="2"/>
  <c r="BN129" i="2"/>
  <c r="I161" i="2"/>
  <c r="I162" i="2" s="1"/>
  <c r="BN132" i="2"/>
  <c r="BN130" i="2"/>
  <c r="BN128" i="2"/>
  <c r="BN133" i="2"/>
  <c r="BO133" i="2"/>
  <c r="BR133" i="2" s="1"/>
  <c r="BN135" i="2"/>
  <c r="BU131" i="9"/>
  <c r="BT133" i="9"/>
  <c r="BU133" i="9" s="1"/>
  <c r="J48" i="4" l="1"/>
  <c r="J50" i="4" s="1"/>
  <c r="K11" i="19"/>
  <c r="N11" i="19" s="1"/>
  <c r="K7" i="19"/>
  <c r="N7" i="19" s="1"/>
  <c r="K8" i="19"/>
  <c r="N8" i="19" s="1"/>
  <c r="K9" i="19"/>
  <c r="N9" i="19" s="1"/>
  <c r="P43" i="4"/>
  <c r="O45" i="4"/>
  <c r="P45" i="4" s="1"/>
  <c r="BV130" i="9"/>
  <c r="BW130" i="9" s="1"/>
  <c r="BV132" i="9"/>
  <c r="BW132" i="9" s="1"/>
  <c r="BV129" i="9"/>
  <c r="P34" i="19"/>
  <c r="Q34" i="19" s="1"/>
  <c r="J36" i="19"/>
  <c r="BV131" i="9"/>
  <c r="BW131" i="9" s="1"/>
  <c r="Q10" i="19"/>
  <c r="P12" i="19"/>
  <c r="Q12" i="19" s="1"/>
  <c r="BN130" i="16"/>
  <c r="BN132" i="16"/>
  <c r="BN128" i="16"/>
  <c r="I162" i="16"/>
  <c r="I163" i="16" s="1"/>
  <c r="BN129" i="16"/>
  <c r="BO133" i="16"/>
  <c r="BR133" i="16" s="1"/>
  <c r="BN136" i="16"/>
  <c r="BN135" i="16"/>
  <c r="BN133" i="16"/>
  <c r="K12" i="19" l="1"/>
  <c r="N12" i="19" s="1"/>
  <c r="K31" i="19"/>
  <c r="N31" i="19" s="1"/>
  <c r="K34" i="19"/>
  <c r="N34" i="19" s="1"/>
  <c r="K35" i="19"/>
  <c r="N35" i="19" s="1"/>
  <c r="K32" i="19"/>
  <c r="N32" i="19" s="1"/>
  <c r="K33" i="19"/>
  <c r="N33" i="19" s="1"/>
  <c r="BV133" i="9"/>
  <c r="BW133" i="9" s="1"/>
  <c r="BW129" i="9"/>
  <c r="G36" i="19" l="1"/>
  <c r="P31" i="19"/>
  <c r="H31" i="19" l="1"/>
  <c r="M31" i="19" s="1"/>
  <c r="H32" i="19"/>
  <c r="M32" i="19" s="1"/>
  <c r="H33" i="19"/>
  <c r="M33" i="19" s="1"/>
  <c r="H35" i="19"/>
  <c r="M35" i="19" s="1"/>
  <c r="H34" i="19"/>
  <c r="M34" i="19" s="1"/>
  <c r="Q31" i="19"/>
  <c r="P36" i="19"/>
  <c r="Q36" i="19" s="1"/>
  <c r="H36" i="19" l="1"/>
  <c r="M36" i="19" s="1"/>
  <c r="K36" i="19"/>
  <c r="N36" i="19" s="1"/>
  <c r="E45" i="13" l="1"/>
  <c r="E14" i="13" s="1"/>
  <c r="E13" i="13" s="1"/>
  <c r="H50" i="18" s="1"/>
  <c r="H53" i="18" s="1"/>
  <c r="E18" i="13" l="1"/>
  <c r="E25" i="13"/>
  <c r="E26" i="13" s="1"/>
  <c r="E28" i="13" l="1"/>
  <c r="F23" i="13" s="1"/>
  <c r="F24" i="13" s="1"/>
  <c r="F2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Bernhardt</author>
    <author>James Bennett</author>
  </authors>
  <commentList>
    <comment ref="E18" authorId="0" shapeId="0" xr:uid="{51018C06-1645-4419-AF34-444F840FAD36}">
      <text>
        <r>
          <rPr>
            <b/>
            <sz val="9"/>
            <color indexed="81"/>
            <rFont val="Tahoma"/>
            <family val="2"/>
          </rPr>
          <t>Percentage change in Consumer Price Index (all groups, Weighted Average, 8 Capital Cities)</t>
        </r>
      </text>
    </comment>
    <comment ref="G18" authorId="0" shapeId="0" xr:uid="{AA003AFB-BAEF-4EC9-B82C-476E1F41F325}">
      <text>
        <r>
          <rPr>
            <b/>
            <sz val="9"/>
            <color indexed="81"/>
            <rFont val="Tahoma"/>
            <family val="2"/>
          </rPr>
          <t>Annual Cost of Debt update</t>
        </r>
      </text>
    </comment>
    <comment ref="L18" authorId="0" shapeId="0" xr:uid="{8A1D74B5-FD95-44B3-9FC0-4ADED40723E5}">
      <text>
        <r>
          <rPr>
            <b/>
            <sz val="9"/>
            <color indexed="81"/>
            <rFont val="Tahoma"/>
            <family val="2"/>
          </rPr>
          <t>On request from the AER:
To reflect actual inflation in the WACC used to escalate under/over recoveries and other adjustments the following formula has been used:</t>
        </r>
        <r>
          <rPr>
            <sz val="9"/>
            <color indexed="81"/>
            <rFont val="Tahoma"/>
            <family val="2"/>
          </rPr>
          <t xml:space="preserve">
Nominal WACC = (1+ real vanilla WACC) x (1 + actual inflation) - 1</t>
        </r>
      </text>
    </comment>
    <comment ref="G26" authorId="0" shapeId="0" xr:uid="{1D4CABC5-64E9-4652-93C4-A3375A06712A}">
      <text>
        <r>
          <rPr>
            <b/>
            <sz val="9"/>
            <color indexed="81"/>
            <rFont val="Tahoma"/>
            <family val="2"/>
          </rPr>
          <t>Annual Cost of Debt update</t>
        </r>
      </text>
    </comment>
    <comment ref="I26" authorId="0" shapeId="0" xr:uid="{2390F38C-4916-4AFA-BB16-4F96208B01BF}">
      <text>
        <r>
          <rPr>
            <b/>
            <sz val="9"/>
            <color indexed="81"/>
            <rFont val="Tahoma"/>
            <family val="2"/>
          </rPr>
          <t>STPIS Factor in RCP 2015-20</t>
        </r>
      </text>
    </comment>
    <comment ref="H27" authorId="1" shapeId="0" xr:uid="{92AE7510-3A17-4F3A-A378-2B6B0975751D}">
      <text>
        <r>
          <rPr>
            <b/>
            <sz val="9"/>
            <color indexed="81"/>
            <rFont val="Tahoma"/>
            <family val="2"/>
          </rPr>
          <t>James Bennett:</t>
        </r>
        <r>
          <rPr>
            <sz val="9"/>
            <color indexed="81"/>
            <rFont val="Tahoma"/>
            <family val="2"/>
          </rPr>
          <t xml:space="preserve">
updated from AER cost of debt update 4 April 2017</t>
        </r>
      </text>
    </comment>
    <comment ref="I27" authorId="1" shapeId="0" xr:uid="{B75494B0-BCD5-4BE1-A741-50D486375D05}">
      <text>
        <r>
          <rPr>
            <b/>
            <sz val="9"/>
            <color indexed="81"/>
            <rFont val="Tahoma"/>
            <family val="2"/>
          </rPr>
          <t>James Bennett:</t>
        </r>
        <r>
          <rPr>
            <sz val="9"/>
            <color indexed="81"/>
            <rFont val="Tahoma"/>
            <family val="2"/>
          </rPr>
          <t xml:space="preserve">
banked a negative outcome</t>
        </r>
      </text>
    </comment>
    <comment ref="H28" authorId="1" shapeId="0" xr:uid="{20E517DE-7AF3-4932-9A6C-8AC907052F4B}">
      <text>
        <r>
          <rPr>
            <b/>
            <sz val="9"/>
            <color indexed="81"/>
            <rFont val="Tahoma"/>
            <family val="2"/>
          </rPr>
          <t>James Bennett:</t>
        </r>
        <r>
          <rPr>
            <sz val="9"/>
            <color indexed="81"/>
            <rFont val="Tahoma"/>
            <family val="2"/>
          </rPr>
          <t xml:space="preserve">
updated from AER cost of debt update 4 April 2017</t>
        </r>
      </text>
    </comment>
    <comment ref="G29" authorId="1" shapeId="0" xr:uid="{70AC8EF6-AFB6-4374-AD1F-14CAE4290944}">
      <text>
        <r>
          <rPr>
            <b/>
            <sz val="9"/>
            <color indexed="81"/>
            <rFont val="Tahoma"/>
            <family val="2"/>
          </rPr>
          <t>James Bennett:</t>
        </r>
        <r>
          <rPr>
            <sz val="9"/>
            <color indexed="81"/>
            <rFont val="Tahoma"/>
            <family val="2"/>
          </rPr>
          <t xml:space="preserve">
updated from AER cost of debt update 4 April 2017</t>
        </r>
      </text>
    </comment>
    <comment ref="H29" authorId="1" shapeId="0" xr:uid="{5455DE32-C9ED-466D-B56E-ABC3250DFDFF}">
      <text>
        <r>
          <rPr>
            <b/>
            <sz val="9"/>
            <color indexed="81"/>
            <rFont val="Tahoma"/>
            <family val="2"/>
          </rPr>
          <t>James Bennett:</t>
        </r>
        <r>
          <rPr>
            <sz val="9"/>
            <color indexed="81"/>
            <rFont val="Tahoma"/>
            <family val="2"/>
          </rPr>
          <t xml:space="preserve">
updated from AER cost of debt update 4 April 2017</t>
        </r>
      </text>
    </comment>
    <comment ref="I29" authorId="1" shapeId="0" xr:uid="{5EEAA547-BAA6-4963-AB0E-7E0E4D728D2B}">
      <text>
        <r>
          <rPr>
            <b/>
            <sz val="9"/>
            <color indexed="81"/>
            <rFont val="Tahoma"/>
            <family val="2"/>
          </rPr>
          <t>James Bennett:</t>
        </r>
        <r>
          <rPr>
            <sz val="9"/>
            <color indexed="81"/>
            <rFont val="Tahoma"/>
            <family val="2"/>
          </rPr>
          <t xml:space="preserve">
from AER Advice March 2017</t>
        </r>
      </text>
    </comment>
    <comment ref="G30" authorId="1" shapeId="0" xr:uid="{0B870B2F-11F6-45DF-9BD5-2BDE8E79034C}">
      <text>
        <r>
          <rPr>
            <b/>
            <sz val="9"/>
            <color indexed="81"/>
            <rFont val="Tahoma"/>
            <family val="2"/>
          </rPr>
          <t>James Bennett:</t>
        </r>
        <r>
          <rPr>
            <sz val="9"/>
            <color indexed="81"/>
            <rFont val="Tahoma"/>
            <family val="2"/>
          </rPr>
          <t xml:space="preserve">
update when PTRM cost of debt update arrives, near 31 March 2018</t>
        </r>
      </text>
    </comment>
    <comment ref="H30" authorId="1" shapeId="0" xr:uid="{F274B766-05CF-4E8F-9083-5867A3DBA465}">
      <text>
        <r>
          <rPr>
            <b/>
            <sz val="9"/>
            <color indexed="81"/>
            <rFont val="Tahoma"/>
            <family val="2"/>
          </rPr>
          <t>James Bennett:</t>
        </r>
        <r>
          <rPr>
            <sz val="9"/>
            <color indexed="81"/>
            <rFont val="Tahoma"/>
            <family val="2"/>
          </rPr>
          <t xml:space="preserve">
updated from AER cost of debt update April 2018</t>
        </r>
      </text>
    </comment>
    <comment ref="G31" authorId="1" shapeId="0" xr:uid="{23052C96-8DAF-4950-BC52-16D5AF62158E}">
      <text>
        <r>
          <rPr>
            <b/>
            <sz val="9"/>
            <color indexed="81"/>
            <rFont val="Tahoma"/>
            <family val="2"/>
          </rPr>
          <t>James Bennett:</t>
        </r>
        <r>
          <rPr>
            <sz val="9"/>
            <color indexed="81"/>
            <rFont val="Tahoma"/>
            <family val="2"/>
          </rPr>
          <t xml:space="preserve">
updated from AER cost of debt update - 12 March 2019</t>
        </r>
      </text>
    </comment>
    <comment ref="H31" authorId="1" shapeId="0" xr:uid="{FDC43821-D5E4-425D-9E68-650C740A2140}">
      <text>
        <r>
          <rPr>
            <b/>
            <sz val="9"/>
            <color indexed="81"/>
            <rFont val="Tahoma"/>
            <family val="2"/>
          </rPr>
          <t>James Bennett:</t>
        </r>
        <r>
          <rPr>
            <sz val="9"/>
            <color indexed="81"/>
            <rFont val="Tahoma"/>
            <family val="2"/>
          </rPr>
          <t xml:space="preserve">
updated from AER cost of debt update - 12 March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Kelly Bernhardt</author>
  </authors>
  <commentList>
    <comment ref="B24" authorId="0" shapeId="0" xr:uid="{CDAE9ACC-B02F-40E0-A184-2771DB130107}">
      <text>
        <r>
          <rPr>
            <b/>
            <sz val="9"/>
            <color indexed="81"/>
            <rFont val="Tahoma"/>
            <family val="2"/>
          </rPr>
          <t>Revenue input for year t, when year one of a new RCP.</t>
        </r>
      </text>
    </comment>
    <comment ref="N24" authorId="0" shapeId="0" xr:uid="{57415031-0617-474E-9EEB-232F45919BE5}">
      <text>
        <r>
          <rPr>
            <b/>
            <sz val="9"/>
            <color indexed="81"/>
            <rFont val="Tahoma"/>
            <family val="2"/>
          </rPr>
          <t xml:space="preserve">Refer to formula worksheet - Side constraint formula </t>
        </r>
        <r>
          <rPr>
            <sz val="9"/>
            <color indexed="81"/>
            <rFont val="Tahoma"/>
            <family val="2"/>
          </rPr>
          <t xml:space="preserve">No Side constraint controls not applicable for year 1
Formula for years 2 and 3 differ to 4 and 5. 
To be factored into 2021/22 APP.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Q15" authorId="0" shapeId="0" xr:uid="{C7FE0B10-2E71-4D33-A435-8BB5DA516BC3}">
      <text>
        <r>
          <rPr>
            <b/>
            <sz val="9"/>
            <color indexed="81"/>
            <rFont val="Tahoma"/>
            <family val="2"/>
          </rPr>
          <t>James Bennett:</t>
        </r>
        <r>
          <rPr>
            <sz val="9"/>
            <color indexed="81"/>
            <rFont val="Tahoma"/>
            <family val="2"/>
          </rPr>
          <t xml:space="preserve">
transition tariff</t>
        </r>
      </text>
    </comment>
    <comment ref="R15" authorId="0" shapeId="0" xr:uid="{E7AE6D37-563E-4AB3-8DE4-DC512C3B30FF}">
      <text>
        <r>
          <rPr>
            <b/>
            <sz val="9"/>
            <color indexed="81"/>
            <rFont val="Tahoma"/>
            <family val="2"/>
          </rPr>
          <t>James Bennett:</t>
        </r>
        <r>
          <rPr>
            <sz val="9"/>
            <color indexed="81"/>
            <rFont val="Tahoma"/>
            <family val="2"/>
          </rPr>
          <t xml:space="preserve">
transition tariff</t>
        </r>
      </text>
    </comment>
    <comment ref="AH15" authorId="0" shapeId="0" xr:uid="{AFE6D6A3-2219-4445-927E-164B766EF9B7}">
      <text>
        <r>
          <rPr>
            <b/>
            <sz val="9"/>
            <color indexed="81"/>
            <rFont val="Tahoma"/>
            <family val="2"/>
          </rPr>
          <t>James Bennett:</t>
        </r>
        <r>
          <rPr>
            <sz val="9"/>
            <color indexed="81"/>
            <rFont val="Tahoma"/>
            <family val="2"/>
          </rPr>
          <t xml:space="preserve">
transition tariff</t>
        </r>
      </text>
    </comment>
    <comment ref="AI15" authorId="0" shapeId="0" xr:uid="{6E6AE545-D684-47AC-BA40-12A8ADE45C47}">
      <text>
        <r>
          <rPr>
            <b/>
            <sz val="9"/>
            <color indexed="81"/>
            <rFont val="Tahoma"/>
            <family val="2"/>
          </rPr>
          <t>James Bennett:</t>
        </r>
        <r>
          <rPr>
            <sz val="9"/>
            <color indexed="81"/>
            <rFont val="Tahoma"/>
            <family val="2"/>
          </rPr>
          <t xml:space="preserve">
transition tariff</t>
        </r>
      </text>
    </comment>
    <comment ref="AY15" authorId="0" shapeId="0" xr:uid="{B0C04554-0653-46FE-9CA5-16ACCD8E046E}">
      <text>
        <r>
          <rPr>
            <b/>
            <sz val="9"/>
            <color indexed="81"/>
            <rFont val="Tahoma"/>
            <family val="2"/>
          </rPr>
          <t>James Bennett:</t>
        </r>
        <r>
          <rPr>
            <sz val="9"/>
            <color indexed="81"/>
            <rFont val="Tahoma"/>
            <family val="2"/>
          </rPr>
          <t xml:space="preserve">
transition tariff</t>
        </r>
      </text>
    </comment>
    <comment ref="AZ15" authorId="0" shapeId="0" xr:uid="{7A379CB6-E5C5-4555-A671-AA014C342C3D}">
      <text>
        <r>
          <rPr>
            <b/>
            <sz val="9"/>
            <color indexed="81"/>
            <rFont val="Tahoma"/>
            <family val="2"/>
          </rPr>
          <t>James Bennett:</t>
        </r>
        <r>
          <rPr>
            <sz val="9"/>
            <color indexed="81"/>
            <rFont val="Tahoma"/>
            <family val="2"/>
          </rPr>
          <t xml:space="preserve">
transition tariff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Q15" authorId="0" shapeId="0" xr:uid="{13DB3B4E-A150-4F99-A6FE-5D5C4F43745B}">
      <text>
        <r>
          <rPr>
            <b/>
            <sz val="9"/>
            <color indexed="81"/>
            <rFont val="Tahoma"/>
            <family val="2"/>
          </rPr>
          <t>James Bennett:</t>
        </r>
        <r>
          <rPr>
            <sz val="9"/>
            <color indexed="81"/>
            <rFont val="Tahoma"/>
            <family val="2"/>
          </rPr>
          <t xml:space="preserve">
transition tariff</t>
        </r>
      </text>
    </comment>
    <comment ref="R15" authorId="0" shapeId="0" xr:uid="{F9CFE3B3-4B16-448A-BB6D-EE57BCDF66DA}">
      <text>
        <r>
          <rPr>
            <b/>
            <sz val="9"/>
            <color indexed="81"/>
            <rFont val="Tahoma"/>
            <family val="2"/>
          </rPr>
          <t>James Bennett:</t>
        </r>
        <r>
          <rPr>
            <sz val="9"/>
            <color indexed="81"/>
            <rFont val="Tahoma"/>
            <family val="2"/>
          </rPr>
          <t xml:space="preserve">
transition tariff</t>
        </r>
      </text>
    </comment>
    <comment ref="AH15" authorId="0" shapeId="0" xr:uid="{EAC23CD3-CABD-4C09-9416-9E32BC5CC030}">
      <text>
        <r>
          <rPr>
            <b/>
            <sz val="9"/>
            <color indexed="81"/>
            <rFont val="Tahoma"/>
            <family val="2"/>
          </rPr>
          <t>James Bennett:</t>
        </r>
        <r>
          <rPr>
            <sz val="9"/>
            <color indexed="81"/>
            <rFont val="Tahoma"/>
            <family val="2"/>
          </rPr>
          <t xml:space="preserve">
transition tariff</t>
        </r>
      </text>
    </comment>
    <comment ref="AI15" authorId="0" shapeId="0" xr:uid="{486F6FCB-BF59-48FE-B035-50B307022D50}">
      <text>
        <r>
          <rPr>
            <b/>
            <sz val="9"/>
            <color indexed="81"/>
            <rFont val="Tahoma"/>
            <family val="2"/>
          </rPr>
          <t>James Bennett:</t>
        </r>
        <r>
          <rPr>
            <sz val="9"/>
            <color indexed="81"/>
            <rFont val="Tahoma"/>
            <family val="2"/>
          </rPr>
          <t xml:space="preserve">
transition tariff</t>
        </r>
      </text>
    </comment>
    <comment ref="AY15" authorId="0" shapeId="0" xr:uid="{5564483E-6A17-4649-B211-5067A09DA558}">
      <text>
        <r>
          <rPr>
            <b/>
            <sz val="9"/>
            <color indexed="81"/>
            <rFont val="Tahoma"/>
            <family val="2"/>
          </rPr>
          <t>James Bennett:</t>
        </r>
        <r>
          <rPr>
            <sz val="9"/>
            <color indexed="81"/>
            <rFont val="Tahoma"/>
            <family val="2"/>
          </rPr>
          <t xml:space="preserve">
transition tariff</t>
        </r>
      </text>
    </comment>
    <comment ref="AZ15" authorId="0" shapeId="0" xr:uid="{EDDB28FE-30CF-4B77-96D7-1DA610BF104F}">
      <text>
        <r>
          <rPr>
            <b/>
            <sz val="9"/>
            <color indexed="81"/>
            <rFont val="Tahoma"/>
            <family val="2"/>
          </rPr>
          <t>James Bennett:</t>
        </r>
        <r>
          <rPr>
            <sz val="9"/>
            <color indexed="81"/>
            <rFont val="Tahoma"/>
            <family val="2"/>
          </rPr>
          <t xml:space="preserve">
transition tariff</t>
        </r>
      </text>
    </comment>
    <comment ref="H28" authorId="0" shapeId="0" xr:uid="{944FCE4C-1A99-4757-A7C1-0A6252C1A426}">
      <text>
        <r>
          <rPr>
            <b/>
            <sz val="9"/>
            <color indexed="81"/>
            <rFont val="Tahoma"/>
            <charset val="1"/>
          </rPr>
          <t>James Bennett:</t>
        </r>
        <r>
          <rPr>
            <sz val="9"/>
            <color indexed="81"/>
            <rFont val="Tahoma"/>
            <charset val="1"/>
          </rPr>
          <t xml:space="preserve">
rounding option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Q15" authorId="0" shapeId="0" xr:uid="{962E2783-4DA4-4C87-8190-9FDA7D9FB5EE}">
      <text>
        <r>
          <rPr>
            <b/>
            <sz val="9"/>
            <color indexed="81"/>
            <rFont val="Tahoma"/>
            <family val="2"/>
          </rPr>
          <t>James Bennett:</t>
        </r>
        <r>
          <rPr>
            <sz val="9"/>
            <color indexed="81"/>
            <rFont val="Tahoma"/>
            <family val="2"/>
          </rPr>
          <t xml:space="preserve">
transition tariff</t>
        </r>
      </text>
    </comment>
    <comment ref="R15" authorId="0" shapeId="0" xr:uid="{EBDCE283-972C-483A-A1B9-F3478FEAA330}">
      <text>
        <r>
          <rPr>
            <b/>
            <sz val="9"/>
            <color indexed="81"/>
            <rFont val="Tahoma"/>
            <family val="2"/>
          </rPr>
          <t>James Bennett:</t>
        </r>
        <r>
          <rPr>
            <sz val="9"/>
            <color indexed="81"/>
            <rFont val="Tahoma"/>
            <family val="2"/>
          </rPr>
          <t xml:space="preserve">
transition tariff</t>
        </r>
      </text>
    </comment>
    <comment ref="AH15" authorId="0" shapeId="0" xr:uid="{E1383C6A-851F-4F3B-B0FD-C25B22253A04}">
      <text>
        <r>
          <rPr>
            <b/>
            <sz val="9"/>
            <color indexed="81"/>
            <rFont val="Tahoma"/>
            <family val="2"/>
          </rPr>
          <t>James Bennett:</t>
        </r>
        <r>
          <rPr>
            <sz val="9"/>
            <color indexed="81"/>
            <rFont val="Tahoma"/>
            <family val="2"/>
          </rPr>
          <t xml:space="preserve">
transition tariff</t>
        </r>
      </text>
    </comment>
    <comment ref="AI15" authorId="0" shapeId="0" xr:uid="{D67C0B98-03EE-4970-AF5F-F56C79D2F250}">
      <text>
        <r>
          <rPr>
            <b/>
            <sz val="9"/>
            <color indexed="81"/>
            <rFont val="Tahoma"/>
            <family val="2"/>
          </rPr>
          <t>James Bennett:</t>
        </r>
        <r>
          <rPr>
            <sz val="9"/>
            <color indexed="81"/>
            <rFont val="Tahoma"/>
            <family val="2"/>
          </rPr>
          <t xml:space="preserve">
transition tariff</t>
        </r>
      </text>
    </comment>
    <comment ref="AY15" authorId="0" shapeId="0" xr:uid="{0D6FF9C7-948A-44E5-87DC-23B172B76E17}">
      <text>
        <r>
          <rPr>
            <b/>
            <sz val="9"/>
            <color indexed="81"/>
            <rFont val="Tahoma"/>
            <family val="2"/>
          </rPr>
          <t>James Bennett:</t>
        </r>
        <r>
          <rPr>
            <sz val="9"/>
            <color indexed="81"/>
            <rFont val="Tahoma"/>
            <family val="2"/>
          </rPr>
          <t xml:space="preserve">
transition tariff</t>
        </r>
      </text>
    </comment>
    <comment ref="AZ15" authorId="0" shapeId="0" xr:uid="{3ACA979B-DFBF-437A-BB21-CF3A0B6DCA62}">
      <text>
        <r>
          <rPr>
            <b/>
            <sz val="9"/>
            <color indexed="81"/>
            <rFont val="Tahoma"/>
            <family val="2"/>
          </rPr>
          <t>James Bennett:</t>
        </r>
        <r>
          <rPr>
            <sz val="9"/>
            <color indexed="81"/>
            <rFont val="Tahoma"/>
            <family val="2"/>
          </rPr>
          <t xml:space="preserve">
transition tariff</t>
        </r>
      </text>
    </comment>
    <comment ref="L32" authorId="0" shapeId="0" xr:uid="{0800FE3E-71EC-4264-89FA-D1E6EC787408}">
      <text>
        <r>
          <rPr>
            <b/>
            <sz val="9"/>
            <color indexed="81"/>
            <rFont val="Tahoma"/>
            <charset val="1"/>
          </rPr>
          <t>James Bennett:</t>
        </r>
        <r>
          <rPr>
            <sz val="9"/>
            <color indexed="81"/>
            <rFont val="Tahoma"/>
            <charset val="1"/>
          </rPr>
          <t xml:space="preserve">
rounding option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Q15" authorId="0" shapeId="0" xr:uid="{F6D605D1-101B-440C-AD5E-90129F5BF13E}">
      <text>
        <r>
          <rPr>
            <b/>
            <sz val="9"/>
            <color indexed="81"/>
            <rFont val="Tahoma"/>
            <family val="2"/>
          </rPr>
          <t>James Bennett:</t>
        </r>
        <r>
          <rPr>
            <sz val="9"/>
            <color indexed="81"/>
            <rFont val="Tahoma"/>
            <family val="2"/>
          </rPr>
          <t xml:space="preserve">
transition tariff</t>
        </r>
      </text>
    </comment>
    <comment ref="R15" authorId="0" shapeId="0" xr:uid="{EF3F1553-BF6D-472E-AAC9-CC776B63290C}">
      <text>
        <r>
          <rPr>
            <b/>
            <sz val="9"/>
            <color indexed="81"/>
            <rFont val="Tahoma"/>
            <family val="2"/>
          </rPr>
          <t>James Bennett:</t>
        </r>
        <r>
          <rPr>
            <sz val="9"/>
            <color indexed="81"/>
            <rFont val="Tahoma"/>
            <family val="2"/>
          </rPr>
          <t xml:space="preserve">
transition tariff</t>
        </r>
      </text>
    </comment>
    <comment ref="AH15" authorId="0" shapeId="0" xr:uid="{1C7F0465-173C-4A49-B51E-122B9ACF42EF}">
      <text>
        <r>
          <rPr>
            <b/>
            <sz val="9"/>
            <color indexed="81"/>
            <rFont val="Tahoma"/>
            <family val="2"/>
          </rPr>
          <t>James Bennett:</t>
        </r>
        <r>
          <rPr>
            <sz val="9"/>
            <color indexed="81"/>
            <rFont val="Tahoma"/>
            <family val="2"/>
          </rPr>
          <t xml:space="preserve">
transition tariff</t>
        </r>
      </text>
    </comment>
    <comment ref="AI15" authorId="0" shapeId="0" xr:uid="{97C3035D-D5CD-49C5-902C-70CFED19E348}">
      <text>
        <r>
          <rPr>
            <b/>
            <sz val="9"/>
            <color indexed="81"/>
            <rFont val="Tahoma"/>
            <family val="2"/>
          </rPr>
          <t>James Bennett:</t>
        </r>
        <r>
          <rPr>
            <sz val="9"/>
            <color indexed="81"/>
            <rFont val="Tahoma"/>
            <family val="2"/>
          </rPr>
          <t xml:space="preserve">
transition tariff</t>
        </r>
      </text>
    </comment>
    <comment ref="AY15" authorId="0" shapeId="0" xr:uid="{0C53DF20-D622-45D2-988B-587708E18383}">
      <text>
        <r>
          <rPr>
            <b/>
            <sz val="9"/>
            <color indexed="81"/>
            <rFont val="Tahoma"/>
            <family val="2"/>
          </rPr>
          <t>James Bennett:</t>
        </r>
        <r>
          <rPr>
            <sz val="9"/>
            <color indexed="81"/>
            <rFont val="Tahoma"/>
            <family val="2"/>
          </rPr>
          <t xml:space="preserve">
transition tariff</t>
        </r>
      </text>
    </comment>
    <comment ref="AZ15" authorId="0" shapeId="0" xr:uid="{22E6EBD9-3A1F-498A-AB60-216A88B179E4}">
      <text>
        <r>
          <rPr>
            <b/>
            <sz val="9"/>
            <color indexed="81"/>
            <rFont val="Tahoma"/>
            <family val="2"/>
          </rPr>
          <t>James Bennett:</t>
        </r>
        <r>
          <rPr>
            <sz val="9"/>
            <color indexed="81"/>
            <rFont val="Tahoma"/>
            <family val="2"/>
          </rPr>
          <t xml:space="preserve">
transition tariff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Bennett</author>
    <author>Kelly Bernhardt</author>
  </authors>
  <commentList>
    <comment ref="Q15" authorId="0" shapeId="0" xr:uid="{A0AD3C7A-4577-468B-9FBB-7651DF64273A}">
      <text>
        <r>
          <rPr>
            <b/>
            <sz val="9"/>
            <color indexed="81"/>
            <rFont val="Tahoma"/>
            <family val="2"/>
          </rPr>
          <t>James Bennett:</t>
        </r>
        <r>
          <rPr>
            <sz val="9"/>
            <color indexed="81"/>
            <rFont val="Tahoma"/>
            <family val="2"/>
          </rPr>
          <t xml:space="preserve">
transition tariff</t>
        </r>
      </text>
    </comment>
    <comment ref="R15" authorId="0" shapeId="0" xr:uid="{DC167EA2-5CF5-4DB7-803B-5C84D98336E5}">
      <text>
        <r>
          <rPr>
            <b/>
            <sz val="9"/>
            <color indexed="81"/>
            <rFont val="Tahoma"/>
            <family val="2"/>
          </rPr>
          <t>James Bennett:</t>
        </r>
        <r>
          <rPr>
            <sz val="9"/>
            <color indexed="81"/>
            <rFont val="Tahoma"/>
            <family val="2"/>
          </rPr>
          <t xml:space="preserve">
transition tariff</t>
        </r>
      </text>
    </comment>
    <comment ref="G162" authorId="1" shapeId="0" xr:uid="{8A8A02C6-FFBC-49CE-81CB-0F97C72E1A5C}">
      <text>
        <r>
          <rPr>
            <b/>
            <sz val="9"/>
            <color indexed="81"/>
            <rFont val="Tahoma"/>
            <family val="2"/>
          </rPr>
          <t>Incorporates forecast reductions as a result of COVID-19 Impacts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M10" authorId="0" shapeId="0" xr:uid="{D280D3E9-1079-4685-ABA3-64448A388708}">
      <text>
        <r>
          <rPr>
            <b/>
            <sz val="9"/>
            <color indexed="81"/>
            <rFont val="Tahoma"/>
            <family val="2"/>
          </rPr>
          <t>James Bennett:</t>
        </r>
        <r>
          <rPr>
            <sz val="9"/>
            <color indexed="81"/>
            <rFont val="Tahoma"/>
            <family val="2"/>
          </rPr>
          <t xml:space="preserve">
transition tariff</t>
        </r>
      </text>
    </comment>
    <comment ref="N10" authorId="0" shapeId="0" xr:uid="{70E7D780-CB58-4473-AAA7-31B0D9A6E84B}">
      <text>
        <r>
          <rPr>
            <b/>
            <sz val="9"/>
            <color indexed="81"/>
            <rFont val="Tahoma"/>
            <family val="2"/>
          </rPr>
          <t>James Bennett:</t>
        </r>
        <r>
          <rPr>
            <sz val="9"/>
            <color indexed="81"/>
            <rFont val="Tahoma"/>
            <family val="2"/>
          </rPr>
          <t xml:space="preserve">
transition tariff</t>
        </r>
      </text>
    </comment>
    <comment ref="AG10" authorId="0" shapeId="0" xr:uid="{F592BC09-C3B8-4C5F-8EA1-68CA2AC978E5}">
      <text>
        <r>
          <rPr>
            <b/>
            <sz val="9"/>
            <color indexed="81"/>
            <rFont val="Tahoma"/>
            <family val="2"/>
          </rPr>
          <t>James Bennett:</t>
        </r>
        <r>
          <rPr>
            <sz val="9"/>
            <color indexed="81"/>
            <rFont val="Tahoma"/>
            <family val="2"/>
          </rPr>
          <t xml:space="preserve">
transition tariff</t>
        </r>
      </text>
    </comment>
    <comment ref="AH10" authorId="0" shapeId="0" xr:uid="{90627647-7ED5-4D60-98AC-09F2ED6A8FEF}">
      <text>
        <r>
          <rPr>
            <b/>
            <sz val="9"/>
            <color indexed="81"/>
            <rFont val="Tahoma"/>
            <family val="2"/>
          </rPr>
          <t>James Bennett:</t>
        </r>
        <r>
          <rPr>
            <sz val="9"/>
            <color indexed="81"/>
            <rFont val="Tahoma"/>
            <family val="2"/>
          </rPr>
          <t xml:space="preserve">
transition tariff</t>
        </r>
      </text>
    </comment>
    <comment ref="BA10" authorId="0" shapeId="0" xr:uid="{56276611-0A2C-4A25-9E24-C088D87E045D}">
      <text>
        <r>
          <rPr>
            <b/>
            <sz val="9"/>
            <color indexed="81"/>
            <rFont val="Tahoma"/>
            <family val="2"/>
          </rPr>
          <t>James Bennett:</t>
        </r>
        <r>
          <rPr>
            <sz val="9"/>
            <color indexed="81"/>
            <rFont val="Tahoma"/>
            <family val="2"/>
          </rPr>
          <t xml:space="preserve">
transition tariff</t>
        </r>
      </text>
    </comment>
    <comment ref="BB10" authorId="0" shapeId="0" xr:uid="{6610FC54-A5EB-4C6F-A290-D8DCC93134ED}">
      <text>
        <r>
          <rPr>
            <b/>
            <sz val="9"/>
            <color indexed="81"/>
            <rFont val="Tahoma"/>
            <family val="2"/>
          </rPr>
          <t>James Bennett:</t>
        </r>
        <r>
          <rPr>
            <sz val="9"/>
            <color indexed="81"/>
            <rFont val="Tahoma"/>
            <family val="2"/>
          </rPr>
          <t xml:space="preserve">
transition tariff</t>
        </r>
      </text>
    </comment>
    <comment ref="BU10" authorId="0" shapeId="0" xr:uid="{27C6E3C7-ED19-4089-A11D-0FDF5A849660}">
      <text>
        <r>
          <rPr>
            <b/>
            <sz val="9"/>
            <color indexed="81"/>
            <rFont val="Tahoma"/>
            <family val="2"/>
          </rPr>
          <t>James Bennett:</t>
        </r>
        <r>
          <rPr>
            <sz val="9"/>
            <color indexed="81"/>
            <rFont val="Tahoma"/>
            <family val="2"/>
          </rPr>
          <t xml:space="preserve">
transition tariff</t>
        </r>
      </text>
    </comment>
    <comment ref="BV10" authorId="0" shapeId="0" xr:uid="{52B38D4E-315E-48DC-A365-0DD7656DECC2}">
      <text>
        <r>
          <rPr>
            <b/>
            <sz val="9"/>
            <color indexed="81"/>
            <rFont val="Tahoma"/>
            <family val="2"/>
          </rPr>
          <t>James Bennett:</t>
        </r>
        <r>
          <rPr>
            <sz val="9"/>
            <color indexed="81"/>
            <rFont val="Tahoma"/>
            <family val="2"/>
          </rPr>
          <t xml:space="preserve">
transition tariff</t>
        </r>
      </text>
    </comment>
    <comment ref="M54" authorId="0" shapeId="0" xr:uid="{EA3593A3-2192-4B2F-B0CF-5BFE12B45011}">
      <text>
        <r>
          <rPr>
            <b/>
            <sz val="9"/>
            <color indexed="81"/>
            <rFont val="Tahoma"/>
            <family val="2"/>
          </rPr>
          <t>James Bennett:</t>
        </r>
        <r>
          <rPr>
            <sz val="9"/>
            <color indexed="81"/>
            <rFont val="Tahoma"/>
            <family val="2"/>
          </rPr>
          <t xml:space="preserve">
transition tariff</t>
        </r>
      </text>
    </comment>
    <comment ref="N54" authorId="0" shapeId="0" xr:uid="{00EDA14C-BD5C-4E59-A65D-6D03C734F532}">
      <text>
        <r>
          <rPr>
            <b/>
            <sz val="9"/>
            <color indexed="81"/>
            <rFont val="Tahoma"/>
            <family val="2"/>
          </rPr>
          <t>James Bennett:</t>
        </r>
        <r>
          <rPr>
            <sz val="9"/>
            <color indexed="81"/>
            <rFont val="Tahoma"/>
            <family val="2"/>
          </rPr>
          <t xml:space="preserve">
transition tariff</t>
        </r>
      </text>
    </comment>
    <comment ref="AG54" authorId="0" shapeId="0" xr:uid="{8FE2174B-8895-46D2-A99E-D2AB54891087}">
      <text>
        <r>
          <rPr>
            <b/>
            <sz val="9"/>
            <color indexed="81"/>
            <rFont val="Tahoma"/>
            <family val="2"/>
          </rPr>
          <t>James Bennett:</t>
        </r>
        <r>
          <rPr>
            <sz val="9"/>
            <color indexed="81"/>
            <rFont val="Tahoma"/>
            <family val="2"/>
          </rPr>
          <t xml:space="preserve">
transition tariff</t>
        </r>
      </text>
    </comment>
    <comment ref="AH54" authorId="0" shapeId="0" xr:uid="{ADEE26D4-AAFC-4F97-A8D2-29624E985EE3}">
      <text>
        <r>
          <rPr>
            <b/>
            <sz val="9"/>
            <color indexed="81"/>
            <rFont val="Tahoma"/>
            <family val="2"/>
          </rPr>
          <t>James Bennett:</t>
        </r>
        <r>
          <rPr>
            <sz val="9"/>
            <color indexed="81"/>
            <rFont val="Tahoma"/>
            <family val="2"/>
          </rPr>
          <t xml:space="preserve">
transition tariff</t>
        </r>
      </text>
    </comment>
    <comment ref="BA54" authorId="0" shapeId="0" xr:uid="{70A443D5-7E31-4828-8856-0A3248DF8EBB}">
      <text>
        <r>
          <rPr>
            <b/>
            <sz val="9"/>
            <color indexed="81"/>
            <rFont val="Tahoma"/>
            <family val="2"/>
          </rPr>
          <t>James Bennett:</t>
        </r>
        <r>
          <rPr>
            <sz val="9"/>
            <color indexed="81"/>
            <rFont val="Tahoma"/>
            <family val="2"/>
          </rPr>
          <t xml:space="preserve">
transition tariff</t>
        </r>
      </text>
    </comment>
    <comment ref="BB54" authorId="0" shapeId="0" xr:uid="{CF628D4F-605B-4EDB-8590-19B2857AF047}">
      <text>
        <r>
          <rPr>
            <b/>
            <sz val="9"/>
            <color indexed="81"/>
            <rFont val="Tahoma"/>
            <family val="2"/>
          </rPr>
          <t>James Bennett:</t>
        </r>
        <r>
          <rPr>
            <sz val="9"/>
            <color indexed="81"/>
            <rFont val="Tahoma"/>
            <family val="2"/>
          </rPr>
          <t xml:space="preserve">
transition tariff</t>
        </r>
      </text>
    </comment>
    <comment ref="BU54" authorId="0" shapeId="0" xr:uid="{2C602066-7ADF-4657-85B1-72206511160C}">
      <text>
        <r>
          <rPr>
            <b/>
            <sz val="9"/>
            <color indexed="81"/>
            <rFont val="Tahoma"/>
            <family val="2"/>
          </rPr>
          <t>James Bennett:</t>
        </r>
        <r>
          <rPr>
            <sz val="9"/>
            <color indexed="81"/>
            <rFont val="Tahoma"/>
            <family val="2"/>
          </rPr>
          <t xml:space="preserve">
transition tariff</t>
        </r>
      </text>
    </comment>
    <comment ref="BV54" authorId="0" shapeId="0" xr:uid="{FC7398E8-1DAA-4722-9AE4-2AB6824223AA}">
      <text>
        <r>
          <rPr>
            <b/>
            <sz val="9"/>
            <color indexed="81"/>
            <rFont val="Tahoma"/>
            <family val="2"/>
          </rPr>
          <t>James Bennett:</t>
        </r>
        <r>
          <rPr>
            <sz val="9"/>
            <color indexed="81"/>
            <rFont val="Tahoma"/>
            <family val="2"/>
          </rPr>
          <t xml:space="preserve">
transition tariff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Kelly Bernhardt</author>
  </authors>
  <commentList>
    <comment ref="C68" authorId="0" shapeId="0" xr:uid="{2138CFF4-4E82-473D-A262-F256A3C8B6C8}">
      <text>
        <r>
          <rPr>
            <b/>
            <sz val="9"/>
            <color indexed="81"/>
            <rFont val="Tahoma"/>
            <family val="2"/>
          </rPr>
          <t xml:space="preserve">Single-rate is the equivalent of:
</t>
        </r>
        <r>
          <rPr>
            <b/>
            <sz val="9"/>
            <color indexed="81"/>
            <rFont val="Tahoma"/>
            <family val="2"/>
          </rPr>
          <t>two-rate peak 77.5%
two-rate off-peak 22.5%</t>
        </r>
      </text>
    </comment>
    <comment ref="G86" authorId="0" shapeId="0" xr:uid="{F1238621-9073-4348-8849-2357ECD47B32}">
      <text>
        <r>
          <rPr>
            <b/>
            <sz val="9"/>
            <color indexed="81"/>
            <rFont val="Tahoma"/>
            <family val="2"/>
          </rPr>
          <t>November to March
5 Months = 152 Days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B56" authorId="0" shapeId="0" xr:uid="{B47CF3F8-1F7F-40AA-8552-6C8F054681C5}">
      <text>
        <r>
          <rPr>
            <b/>
            <sz val="9"/>
            <color indexed="81"/>
            <rFont val="Tahoma"/>
            <family val="2"/>
          </rPr>
          <t>Difference between accrued unread at 30 June and actual payments post 1 July</t>
        </r>
      </text>
    </comment>
    <comment ref="B72" authorId="0" shapeId="0" xr:uid="{F1545257-8293-41C9-9D6C-6EEECE52AF7B}">
      <text>
        <r>
          <rPr>
            <b/>
            <sz val="9"/>
            <color indexed="81"/>
            <rFont val="Tahoma"/>
            <family val="2"/>
          </rPr>
          <t>Difference between accrued unread at 30 June and actual payments post 1 July</t>
        </r>
      </text>
    </comment>
  </commentList>
</comments>
</file>

<file path=xl/sharedStrings.xml><?xml version="1.0" encoding="utf-8"?>
<sst xmlns="http://schemas.openxmlformats.org/spreadsheetml/2006/main" count="4700" uniqueCount="711">
  <si>
    <t xml:space="preserve">Prices for Standard Control Services </t>
  </si>
  <si>
    <t>Revenue Cap formulae</t>
  </si>
  <si>
    <t>I = 1,...,n and j = 1,...,m and t = 1,2...,5</t>
  </si>
  <si>
    <t>Where:</t>
  </si>
  <si>
    <t>is the total allowable revenue in year t.</t>
  </si>
  <si>
    <t>is the price of component ‘j’ of tariff ‘i’ in year t.</t>
  </si>
  <si>
    <t>is the forecast quantity of component ‘j’ of tariff ‘i’ in year t.</t>
  </si>
  <si>
    <t>is the regulatory year.</t>
  </si>
  <si>
    <t>is the sum of annual adjustments factors for year t and includes the true-up for any under or over recovery of actual revenue collected through DUoS charges.</t>
  </si>
  <si>
    <t>Side constraints</t>
  </si>
  <si>
    <t>DNSP</t>
  </si>
  <si>
    <t>SA Power Networks</t>
  </si>
  <si>
    <t>DUOS proposed tariffs for financial year t (excluding GST)</t>
  </si>
  <si>
    <t>** NEW Tariffs and Billing assignment applied from 2020/21</t>
  </si>
  <si>
    <t>PROPOSED TARIFFS</t>
  </si>
  <si>
    <t>FORECAST QUANTITIES</t>
  </si>
  <si>
    <t>Network Tariff</t>
  </si>
  <si>
    <t>Totals</t>
  </si>
  <si>
    <t>Fixed Charge</t>
  </si>
  <si>
    <t>Single and ToU consumption</t>
  </si>
  <si>
    <t>CL Single and TOU consumption billed (MWh)</t>
  </si>
  <si>
    <t>Actual Monthly Demand</t>
  </si>
  <si>
    <t>Customers</t>
  </si>
  <si>
    <t>MWh</t>
  </si>
  <si>
    <t>kVA/day</t>
  </si>
  <si>
    <t>kW/day</t>
  </si>
  <si>
    <t>No.</t>
  </si>
  <si>
    <t>Code</t>
  </si>
  <si>
    <t>Name (Residential)</t>
  </si>
  <si>
    <t>(days)</t>
  </si>
  <si>
    <t>Non-TOU</t>
  </si>
  <si>
    <t>Peak</t>
  </si>
  <si>
    <t>Off-Peak</t>
  </si>
  <si>
    <t>Solar Sponge</t>
  </si>
  <si>
    <t>Mth Peak 5</t>
  </si>
  <si>
    <t>Energy sold</t>
  </si>
  <si>
    <t>SA</t>
  </si>
  <si>
    <t>CBD only</t>
  </si>
  <si>
    <t>Name (Business)</t>
  </si>
  <si>
    <t>Shoulder</t>
  </si>
  <si>
    <t>Peak 5</t>
  </si>
  <si>
    <t>A</t>
  </si>
  <si>
    <t>Residential (Domestic tariffs)</t>
  </si>
  <si>
    <t>Residential Type 5, 6 Meters</t>
  </si>
  <si>
    <t>RSR</t>
  </si>
  <si>
    <t>Residential Single Rate</t>
  </si>
  <si>
    <t>RSRCL</t>
  </si>
  <si>
    <t>Residential Single Rate with controlled load</t>
  </si>
  <si>
    <t>Residential Type 4 Meters</t>
  </si>
  <si>
    <t>RTOU</t>
  </si>
  <si>
    <t>Residential Time of Use</t>
  </si>
  <si>
    <t>RTOUCL</t>
  </si>
  <si>
    <t>Residential Time of Use with controlled load</t>
  </si>
  <si>
    <t>RPRO</t>
  </si>
  <si>
    <t>Residential Prosumer</t>
  </si>
  <si>
    <t>RPROCL</t>
  </si>
  <si>
    <t>Residential Prosumer with controlled load</t>
  </si>
  <si>
    <t>B</t>
  </si>
  <si>
    <t>Small Business &lt;160 MWh</t>
  </si>
  <si>
    <t>Small Business Unmetered Tariffs</t>
  </si>
  <si>
    <t>LVUU</t>
  </si>
  <si>
    <t>Overnight Unmetered</t>
  </si>
  <si>
    <t>LVUU24</t>
  </si>
  <si>
    <t>24 hr Unmetered</t>
  </si>
  <si>
    <t>Small Business Type 6 Meters</t>
  </si>
  <si>
    <t>BSR</t>
  </si>
  <si>
    <t>Business Single Rate</t>
  </si>
  <si>
    <t>BSRCL</t>
  </si>
  <si>
    <t xml:space="preserve">Business Single Rate with Controlled Load </t>
  </si>
  <si>
    <t>B2R</t>
  </si>
  <si>
    <t xml:space="preserve">Business Two Rate </t>
  </si>
  <si>
    <t>B2RCL</t>
  </si>
  <si>
    <t>Business Two Rate with Controlled Load</t>
  </si>
  <si>
    <t>BCL</t>
  </si>
  <si>
    <t>Business Controlled Load only</t>
  </si>
  <si>
    <t>Small Business Interval Meters (type 4, 5)</t>
  </si>
  <si>
    <t>SBTOU</t>
  </si>
  <si>
    <t>Small Business Time of Use</t>
  </si>
  <si>
    <t>SBTOUD</t>
  </si>
  <si>
    <t>Small Business Time of Use with Demand</t>
  </si>
  <si>
    <t>SBD</t>
  </si>
  <si>
    <t>Small Business Actual Monthly Demand (transition)</t>
  </si>
  <si>
    <t>C</t>
  </si>
  <si>
    <t>Large LV Business &gt;160 MWh pa</t>
  </si>
  <si>
    <t>Large LV Business Type 6 Meter Tariffs</t>
  </si>
  <si>
    <t>LBSR</t>
  </si>
  <si>
    <t>Large LV Business Single Rate</t>
  </si>
  <si>
    <t>LBSRCL</t>
  </si>
  <si>
    <t>Large LV Business Single Rate with Controlled Load</t>
  </si>
  <si>
    <t>LB2R</t>
  </si>
  <si>
    <t>Large LV Business Two Rate</t>
  </si>
  <si>
    <t>LB2RCL</t>
  </si>
  <si>
    <t>Large LV Business Two Rate with Controlled Load</t>
  </si>
  <si>
    <t>Large LV Business - Interval Meter Tariffs</t>
  </si>
  <si>
    <t>Large Business Annual Demand</t>
  </si>
  <si>
    <t xml:space="preserve">Large Business Monthly Peak Demand </t>
  </si>
  <si>
    <t xml:space="preserve">Large Business Monthly kW Peak Demand </t>
  </si>
  <si>
    <t>BD</t>
  </si>
  <si>
    <t>Large Business Actual Monthly Demand (transition)</t>
  </si>
  <si>
    <t>LV Business Generation supply</t>
  </si>
  <si>
    <t>Individual Large Business Tariffs, uses above tariffs</t>
  </si>
  <si>
    <t>D</t>
  </si>
  <si>
    <t>Large HV Business</t>
  </si>
  <si>
    <t>HV Business - Interval Meter Tariffs</t>
  </si>
  <si>
    <t>HV Business Annual Demand</t>
  </si>
  <si>
    <t xml:space="preserve">HV Business Monthly Peak Demand </t>
  </si>
  <si>
    <t xml:space="preserve">HV Business Monthly kW Peak Demand </t>
  </si>
  <si>
    <t>HBD</t>
  </si>
  <si>
    <t>HV Business Actual Monthly Demand (transition)</t>
  </si>
  <si>
    <t>HV Business Annual Demand &lt;500kVA</t>
  </si>
  <si>
    <t>HV Business Generation supply</t>
  </si>
  <si>
    <t>Individual HV Business Tariffs, uses above tariffs</t>
  </si>
  <si>
    <t>E</t>
  </si>
  <si>
    <t>Major Business</t>
  </si>
  <si>
    <t>Major Business Zone Sub-Station</t>
  </si>
  <si>
    <t>ZSN</t>
  </si>
  <si>
    <t>Zone Substation kVA</t>
  </si>
  <si>
    <t>ZSS025</t>
  </si>
  <si>
    <t>Zone Substation non-Locational</t>
  </si>
  <si>
    <t>ZSS296</t>
  </si>
  <si>
    <t>ZSS766</t>
  </si>
  <si>
    <t>ZSS951</t>
  </si>
  <si>
    <t>ZSS104</t>
  </si>
  <si>
    <t>ZSS196</t>
  </si>
  <si>
    <t>Major Business Zone Sub-Station Locational TUoS</t>
  </si>
  <si>
    <t>ZSN021</t>
  </si>
  <si>
    <t>Zone Substation kVA Locational</t>
  </si>
  <si>
    <t>ZSN024</t>
  </si>
  <si>
    <t>ZSN035</t>
  </si>
  <si>
    <t>ZSN228</t>
  </si>
  <si>
    <t>ZSN438</t>
  </si>
  <si>
    <t>ZSN608</t>
  </si>
  <si>
    <t>Major Business Sub Transmission</t>
  </si>
  <si>
    <t>STN</t>
  </si>
  <si>
    <t>Sub transmission kVA</t>
  </si>
  <si>
    <t>STR148</t>
  </si>
  <si>
    <t>Sub Transmission non-Locational</t>
  </si>
  <si>
    <t>STR610</t>
  </si>
  <si>
    <t>STR749</t>
  </si>
  <si>
    <t>Major Business Sub Transmission Locational</t>
  </si>
  <si>
    <t>STN018</t>
  </si>
  <si>
    <t>Sub transmission kVA Locational</t>
  </si>
  <si>
    <t>STN084</t>
  </si>
  <si>
    <t>STN161</t>
  </si>
  <si>
    <t>STN162</t>
  </si>
  <si>
    <t>STN378</t>
  </si>
  <si>
    <t>STN557</t>
  </si>
  <si>
    <t>STN609</t>
  </si>
  <si>
    <t>STN788</t>
  </si>
  <si>
    <t>STN840</t>
  </si>
  <si>
    <t>Total Residential</t>
  </si>
  <si>
    <t>Total Small Business</t>
  </si>
  <si>
    <t>Total Large LV Business</t>
  </si>
  <si>
    <t>Total HV Business</t>
  </si>
  <si>
    <t>Total Major Business</t>
  </si>
  <si>
    <t xml:space="preserve">Total </t>
  </si>
  <si>
    <t xml:space="preserve">Fixed </t>
  </si>
  <si>
    <t xml:space="preserve">Variable </t>
  </si>
  <si>
    <t>Residential Time of Use (ToU)</t>
  </si>
  <si>
    <t>Controlled Load</t>
  </si>
  <si>
    <t>Controlled Load ToU</t>
  </si>
  <si>
    <t>Unmetered</t>
  </si>
  <si>
    <t>Small Business - BSR/B2R</t>
  </si>
  <si>
    <t>Small Business - ToU</t>
  </si>
  <si>
    <t>Small Business - ToU &amp; Demand</t>
  </si>
  <si>
    <t xml:space="preserve">Small Business - Other </t>
  </si>
  <si>
    <t>LV Business - Annual Demand</t>
  </si>
  <si>
    <t>LV Business - Monthly Demand</t>
  </si>
  <si>
    <t>LV Business - Other</t>
  </si>
  <si>
    <t>HV Business - Annual Demand</t>
  </si>
  <si>
    <t>HV Business - Monthly Demand</t>
  </si>
  <si>
    <t>HV Business - Other</t>
  </si>
  <si>
    <t>Major kVA Zone S/Stn</t>
  </si>
  <si>
    <t>Major kVA Zone S/Stn Locational</t>
  </si>
  <si>
    <t>Major kVA Sub Transmission</t>
  </si>
  <si>
    <t>Major kVA Sub Trans Locational</t>
  </si>
  <si>
    <t>Check total</t>
  </si>
  <si>
    <t>Should be zero</t>
  </si>
  <si>
    <t>Forecast quantities for finanical year t</t>
  </si>
  <si>
    <t>2020/21</t>
  </si>
  <si>
    <t>t-2</t>
  </si>
  <si>
    <t>t-1</t>
  </si>
  <si>
    <t>t</t>
  </si>
  <si>
    <t>actual</t>
  </si>
  <si>
    <t>estimate</t>
  </si>
  <si>
    <t>forecast</t>
  </si>
  <si>
    <t>Financial year ending</t>
  </si>
  <si>
    <t>$'000</t>
  </si>
  <si>
    <t>2020-25</t>
  </si>
  <si>
    <t xml:space="preserve">Regulatory Control Period </t>
  </si>
  <si>
    <t>Regulatory Year Commencing</t>
  </si>
  <si>
    <t xml:space="preserve">Year Ending </t>
  </si>
  <si>
    <t>%</t>
  </si>
  <si>
    <t>Opening balance</t>
  </si>
  <si>
    <t>(Under)/over recovery for regulatory year</t>
  </si>
  <si>
    <t xml:space="preserve">Closing balance </t>
  </si>
  <si>
    <t>WACC</t>
  </si>
  <si>
    <t>Year t Expected Revenue</t>
  </si>
  <si>
    <t>INPUTS</t>
  </si>
  <si>
    <r>
      <t>is the annual smoothed expected requirement in the Post Tax Revenue Model (</t>
    </r>
    <r>
      <rPr>
        <b/>
        <sz val="11"/>
        <rFont val="Calibri"/>
        <family val="2"/>
        <scheme val="minor"/>
      </rPr>
      <t>PTRM</t>
    </r>
    <r>
      <rPr>
        <sz val="11"/>
        <rFont val="Calibri"/>
        <family val="2"/>
        <scheme val="minor"/>
      </rPr>
      <t>) for year t.</t>
    </r>
  </si>
  <si>
    <r>
      <t>is the annual percentage change in the Australian Bureau of Statistics (</t>
    </r>
    <r>
      <rPr>
        <b/>
        <sz val="11"/>
        <rFont val="Calibri"/>
        <family val="2"/>
        <scheme val="minor"/>
      </rPr>
      <t>ABS</t>
    </r>
    <r>
      <rPr>
        <sz val="11"/>
        <rFont val="Calibri"/>
        <family val="2"/>
        <scheme val="minor"/>
      </rPr>
      <t xml:space="preserve">) Consumer Price Index All Groups, Weighted Average of Eight Capital Cities from December in year t–2 to December in year t–1. For example, for 2020/21, year t–2 is December quarter 2018 and   t–1 is the December quarter 2019. </t>
    </r>
  </si>
  <si>
    <t xml:space="preserve">1.       </t>
  </si>
  <si>
    <t xml:space="preserve">2.       </t>
  </si>
  <si>
    <t xml:space="preserve">3.       </t>
  </si>
  <si>
    <t>Units</t>
  </si>
  <si>
    <t>Year t expected revenue ($'0000)</t>
  </si>
  <si>
    <t>Fixed</t>
  </si>
  <si>
    <t>Charge</t>
  </si>
  <si>
    <t>Excl. CL</t>
  </si>
  <si>
    <t>CL</t>
  </si>
  <si>
    <t>kVA</t>
  </si>
  <si>
    <t>KW</t>
  </si>
  <si>
    <t>Total</t>
  </si>
  <si>
    <t>Days</t>
  </si>
  <si>
    <t>JSO (PV FiT) cost pass through proposed tariffs for financial year t (excluding GST)</t>
  </si>
  <si>
    <t>Transmission cost recovery proposed tariffs for financial year t (excluding GST)</t>
  </si>
  <si>
    <t>Tariff Approval Model - Input updates</t>
  </si>
  <si>
    <t>Revenue Cap Implied</t>
  </si>
  <si>
    <t>TAR</t>
  </si>
  <si>
    <t>less (under)/over recovery</t>
  </si>
  <si>
    <t>less Interest on opening balance</t>
  </si>
  <si>
    <t>less interest on reg year under/over recovery</t>
  </si>
  <si>
    <t>Adjusted revenue cap after deducting Bt</t>
  </si>
  <si>
    <t>plus interest on opening balance</t>
  </si>
  <si>
    <t>plus interest on reg yr under/over recovery</t>
  </si>
  <si>
    <t>Bt implied</t>
  </si>
  <si>
    <t>Original Revenue cap</t>
  </si>
  <si>
    <t>Check</t>
  </si>
  <si>
    <t>CPI</t>
  </si>
  <si>
    <t>CPI for period t</t>
  </si>
  <si>
    <t>Table 1 - Compliance with AER Final Determination</t>
  </si>
  <si>
    <t>Revenue for Duos charges for year t</t>
  </si>
  <si>
    <t>Total Annual Revenue for year t</t>
  </si>
  <si>
    <t>Adjusted annual smoothed revenue for year t</t>
  </si>
  <si>
    <t>X factor for period t</t>
  </si>
  <si>
    <t>Adjustment Annual Smoothed Revenue for year t-1</t>
  </si>
  <si>
    <t>YEAR (t)</t>
  </si>
  <si>
    <t>Total I factor for year t</t>
  </si>
  <si>
    <t>Service Target Performance Incentive Scheme (STPIS)</t>
  </si>
  <si>
    <t>Efficiency Benefit Sharing Scheme (EBSS)</t>
  </si>
  <si>
    <t>Capital Expenditure Sharing Scheme (CESS)</t>
  </si>
  <si>
    <t>Demand Management Incentive Scheme (DMIS)</t>
  </si>
  <si>
    <t>Innovation Allowance Adjustment</t>
  </si>
  <si>
    <t>Total B factor for year t</t>
  </si>
  <si>
    <t>Tariff Approval Model - SA Power Networks DUoS</t>
  </si>
  <si>
    <t>Table 7 - DUoS unders and overs account ($'000, nominal)</t>
  </si>
  <si>
    <t>(A) Revenue from DUoS Charges</t>
  </si>
  <si>
    <t>(C) Revenue deliberately under-recovered in year</t>
  </si>
  <si>
    <t>DUOS unders and overs account</t>
  </si>
  <si>
    <t>Nominal WACC (per cent)</t>
  </si>
  <si>
    <t>Interest on opening balance</t>
  </si>
  <si>
    <t>Interest on under/over recovery for regulatory year</t>
  </si>
  <si>
    <t>Tariff Year</t>
  </si>
  <si>
    <t>Change Year</t>
  </si>
  <si>
    <t>S Cumulative</t>
  </si>
  <si>
    <t>2015/16</t>
  </si>
  <si>
    <t>2016/17</t>
  </si>
  <si>
    <t>2017/18</t>
  </si>
  <si>
    <t>2018/19</t>
  </si>
  <si>
    <t>2019/20</t>
  </si>
  <si>
    <t>Prior Regulatory Period</t>
  </si>
  <si>
    <t>RCPI</t>
  </si>
  <si>
    <t>X factor</t>
  </si>
  <si>
    <t xml:space="preserve">S Change </t>
  </si>
  <si>
    <t>Year</t>
  </si>
  <si>
    <t>Year Reference</t>
  </si>
  <si>
    <t>RCPIDec 14</t>
  </si>
  <si>
    <t>RCPIDec 15</t>
  </si>
  <si>
    <t>RCPIDec 16</t>
  </si>
  <si>
    <t>RCPIDec 17</t>
  </si>
  <si>
    <t>RCPIDec 18</t>
  </si>
  <si>
    <t>2015-20</t>
  </si>
  <si>
    <t>Current Regulatory Control Period</t>
  </si>
  <si>
    <t>STPIS</t>
  </si>
  <si>
    <t>RCPIDec 19</t>
  </si>
  <si>
    <t>RCPIDec 20</t>
  </si>
  <si>
    <t>RCPIDec 21</t>
  </si>
  <si>
    <t>RCPIDec 22</t>
  </si>
  <si>
    <t>RCPIDec 23</t>
  </si>
  <si>
    <t>2021/22</t>
  </si>
  <si>
    <t>2022/23</t>
  </si>
  <si>
    <t>2023/24</t>
  </si>
  <si>
    <t>2024/25</t>
  </si>
  <si>
    <t>S Cumulative %</t>
  </si>
  <si>
    <t>Residential and Small Business Indicative Prices</t>
  </si>
  <si>
    <t>2020/21 and 2024/25, excl GST</t>
  </si>
  <si>
    <t>DUoS</t>
  </si>
  <si>
    <t>TUoS</t>
  </si>
  <si>
    <t>PV FiT</t>
  </si>
  <si>
    <t>NUoS</t>
  </si>
  <si>
    <t>Tariff Closed</t>
  </si>
  <si>
    <t>$ pa</t>
  </si>
  <si>
    <t>$/kWh</t>
  </si>
  <si>
    <t>Opt-in Tariff, Type 4 meters</t>
  </si>
  <si>
    <t>Default Tariff, Type 4 meters OPCL</t>
  </si>
  <si>
    <t>Business Unmetered Supply</t>
  </si>
  <si>
    <t>Default Tariff Type 7 meters</t>
  </si>
  <si>
    <t>Usage</t>
  </si>
  <si>
    <t>$/kVA pa</t>
  </si>
  <si>
    <t>$/kVA/mth pa</t>
  </si>
  <si>
    <t>Small Business OPCL Type 5, 6</t>
  </si>
  <si>
    <t>Tariff Closed.  Not available with type 4 meters</t>
  </si>
  <si>
    <t>Notes on Demand Elements</t>
  </si>
  <si>
    <t>highest daily demand each of five months Nov-March charged per month</t>
  </si>
  <si>
    <t>highest daily demand each of twelve months July-June charged per month</t>
  </si>
  <si>
    <t>12 month rolling reset charged proportionally each month</t>
  </si>
  <si>
    <t>agreed demand charged proportionally each month</t>
  </si>
  <si>
    <t>Peak demand not applicable to backup, incurred by principal supply</t>
  </si>
  <si>
    <t>Large LV Business Indicative Prices</t>
  </si>
  <si>
    <t>Large Bus Monthly Demand</t>
  </si>
  <si>
    <t>Opt-In Tariff, Same prices apply to CBD and Rest of SA, Peak demand period differs</t>
  </si>
  <si>
    <t>Large Bus Annual Demand</t>
  </si>
  <si>
    <t>Default Tariff, Same prices apply to CBD and Rest of SA, Peak demand period differs</t>
  </si>
  <si>
    <t>Special Tariff</t>
  </si>
  <si>
    <t>Large Bus Trans Type 6 Single</t>
  </si>
  <si>
    <t>Large Bus Trans Type 6 2-rate</t>
  </si>
  <si>
    <t>HV and Major Business Indicative Prices</t>
  </si>
  <si>
    <t>HV Business Monthly Demand</t>
  </si>
  <si>
    <t>HV Business Annual &lt;500</t>
  </si>
  <si>
    <t>Tariff amended for individual Customers, eg TUoS and some DUoS fixed charges</t>
  </si>
  <si>
    <t>Proposed 2020/21</t>
  </si>
  <si>
    <t>Indicative 2021/22</t>
  </si>
  <si>
    <t>Indicative 2022/23</t>
  </si>
  <si>
    <t>Indicative 2023/24</t>
  </si>
  <si>
    <t>Indicative 2024/25</t>
  </si>
  <si>
    <t>DISTRIBUTION (STANDARD CONTROL SERVICES) COMPLIANCE AND RECOVERY ARRANGEMENTS</t>
  </si>
  <si>
    <t>Tariff Approval Model - SA Power Networks JSO</t>
  </si>
  <si>
    <t>TRANSMISSION RECOVERY ARRANGEMENTS</t>
  </si>
  <si>
    <t>Table 2 - Actual TUoS Invoices/Forecast payments (excl. GST)</t>
  </si>
  <si>
    <t>Month</t>
  </si>
  <si>
    <t>July</t>
  </si>
  <si>
    <t>August</t>
  </si>
  <si>
    <t>September</t>
  </si>
  <si>
    <t>October</t>
  </si>
  <si>
    <t>November</t>
  </si>
  <si>
    <t>December</t>
  </si>
  <si>
    <t>January</t>
  </si>
  <si>
    <t>February</t>
  </si>
  <si>
    <t>March</t>
  </si>
  <si>
    <t>April</t>
  </si>
  <si>
    <t>May</t>
  </si>
  <si>
    <t>June</t>
  </si>
  <si>
    <t>Table 1 - TUoS unders and overs account ($'000, nominal)</t>
  </si>
  <si>
    <t>Table 1 - JSO unders and overs account ($'000, nominal)</t>
  </si>
  <si>
    <t>(A) Revenue from jursidicational schemes</t>
  </si>
  <si>
    <t xml:space="preserve">(B) less jurisidicational scheme payments for regulatory year = </t>
  </si>
  <si>
    <t xml:space="preserve"> + Jurisdictional Scheme Payments - 2028</t>
  </si>
  <si>
    <t xml:space="preserve"> + Jurisdictional Scheme Payments - 2028S</t>
  </si>
  <si>
    <t>Export of PV receiving payment (block one only)</t>
  </si>
  <si>
    <t>Price for PV payment</t>
  </si>
  <si>
    <t>$/MWh</t>
  </si>
  <si>
    <t>Total PV Payment</t>
  </si>
  <si>
    <t>PV Incentice Scheme Payments For Export PV - 2028 Scheme</t>
  </si>
  <si>
    <t>PV Incentice Scheme Payments For Export PV - 2028S Scheme</t>
  </si>
  <si>
    <t>Annual Revenue for year t</t>
  </si>
  <si>
    <t>X-Factor</t>
  </si>
  <si>
    <t>I-factor for year t</t>
  </si>
  <si>
    <t>B-factor for year t *excluding under/over recovery</t>
  </si>
  <si>
    <t>C-factor for year t</t>
  </si>
  <si>
    <t>B-factor Under/over recovery of revenue for year t</t>
  </si>
  <si>
    <t>Table 8 - Compliance with 16.8.5 Pricing Principles</t>
  </si>
  <si>
    <t>Total C factor for year t</t>
  </si>
  <si>
    <t>Tariff Classes</t>
  </si>
  <si>
    <t>Avoidable Cost</t>
  </si>
  <si>
    <t>Stand Alone Cost</t>
  </si>
  <si>
    <t>Expected Revenue</t>
  </si>
  <si>
    <t>Compliant?</t>
  </si>
  <si>
    <t>Residential</t>
  </si>
  <si>
    <t>Small Business</t>
  </si>
  <si>
    <t>Large LV Business</t>
  </si>
  <si>
    <t>HV Business</t>
  </si>
  <si>
    <r>
      <t>Adjustment Annual Smoothed Revenue for year t (AR</t>
    </r>
    <r>
      <rPr>
        <b/>
        <vertAlign val="subscript"/>
        <sz val="9.9"/>
        <rFont val="Calibri"/>
        <family val="2"/>
      </rPr>
      <t>t</t>
    </r>
    <r>
      <rPr>
        <b/>
        <sz val="11"/>
        <rFont val="Calibri"/>
        <family val="2"/>
        <scheme val="minor"/>
      </rPr>
      <t>)</t>
    </r>
  </si>
  <si>
    <t>ENERGY SOLD</t>
  </si>
  <si>
    <r>
      <t xml:space="preserve"> + Annual Smoothed Revenues (AR</t>
    </r>
    <r>
      <rPr>
        <vertAlign val="subscript"/>
        <sz val="9.9"/>
        <rFont val="Calibri"/>
        <family val="2"/>
      </rPr>
      <t>t</t>
    </r>
    <r>
      <rPr>
        <sz val="11"/>
        <rFont val="Calibri"/>
        <family val="2"/>
        <scheme val="minor"/>
      </rPr>
      <t xml:space="preserve">) </t>
    </r>
  </si>
  <si>
    <r>
      <t xml:space="preserve"> + Incentive Schemes amounts (I</t>
    </r>
    <r>
      <rPr>
        <vertAlign val="subscript"/>
        <sz val="9.9"/>
        <rFont val="Calibri"/>
        <family val="2"/>
      </rPr>
      <t>t</t>
    </r>
    <r>
      <rPr>
        <sz val="11"/>
        <rFont val="Calibri"/>
        <family val="2"/>
        <scheme val="minor"/>
      </rPr>
      <t>)</t>
    </r>
  </si>
  <si>
    <r>
      <t xml:space="preserve"> + Annual adjustments (B</t>
    </r>
    <r>
      <rPr>
        <vertAlign val="subscript"/>
        <sz val="9.9"/>
        <rFont val="Calibri"/>
        <family val="2"/>
      </rPr>
      <t>t</t>
    </r>
    <r>
      <rPr>
        <sz val="11"/>
        <rFont val="Calibri"/>
        <family val="2"/>
        <scheme val="minor"/>
      </rPr>
      <t>)* excludes over/under trueup</t>
    </r>
  </si>
  <si>
    <r>
      <t xml:space="preserve"> + Cost pass through amount (C</t>
    </r>
    <r>
      <rPr>
        <vertAlign val="subscript"/>
        <sz val="9.9"/>
        <rFont val="Calibri"/>
        <family val="2"/>
      </rPr>
      <t>t</t>
    </r>
    <r>
      <rPr>
        <sz val="11"/>
        <rFont val="Calibri"/>
        <family val="2"/>
        <scheme val="minor"/>
      </rPr>
      <t xml:space="preserve">) </t>
    </r>
  </si>
  <si>
    <r>
      <t>Table 2 - Total Annual Revenue for year t (TAR</t>
    </r>
    <r>
      <rPr>
        <b/>
        <vertAlign val="subscript"/>
        <sz val="11"/>
        <color rgb="FF1F4C71"/>
        <rFont val="Calibri"/>
        <family val="2"/>
      </rPr>
      <t>t</t>
    </r>
    <r>
      <rPr>
        <b/>
        <sz val="11"/>
        <color rgb="FF1F4C71"/>
        <rFont val="Calibri"/>
        <family val="2"/>
        <scheme val="minor"/>
      </rPr>
      <t>)</t>
    </r>
  </si>
  <si>
    <r>
      <t>Table 3 - Adjustment Annual Revenue for year t (AR</t>
    </r>
    <r>
      <rPr>
        <b/>
        <vertAlign val="subscript"/>
        <sz val="11"/>
        <color rgb="FF1F4C71"/>
        <rFont val="Calibri"/>
        <family val="2"/>
      </rPr>
      <t>t</t>
    </r>
    <r>
      <rPr>
        <b/>
        <sz val="11"/>
        <color rgb="FF1F4C71"/>
        <rFont val="Calibri"/>
        <family val="2"/>
        <scheme val="minor"/>
      </rPr>
      <t>)</t>
    </r>
  </si>
  <si>
    <r>
      <t>Table 4 - I factor for year t (I</t>
    </r>
    <r>
      <rPr>
        <b/>
        <vertAlign val="subscript"/>
        <sz val="11"/>
        <color rgb="FF1F4C71"/>
        <rFont val="Calibri"/>
        <family val="2"/>
      </rPr>
      <t>t</t>
    </r>
    <r>
      <rPr>
        <b/>
        <sz val="11"/>
        <color rgb="FF1F4C71"/>
        <rFont val="Calibri"/>
        <family val="2"/>
        <scheme val="minor"/>
      </rPr>
      <t>)</t>
    </r>
  </si>
  <si>
    <r>
      <t>Table 5 - B factor for year t (B</t>
    </r>
    <r>
      <rPr>
        <b/>
        <vertAlign val="subscript"/>
        <sz val="11"/>
        <color rgb="FF1F4C71"/>
        <rFont val="Calibri"/>
        <family val="2"/>
      </rPr>
      <t>t</t>
    </r>
    <r>
      <rPr>
        <b/>
        <sz val="11"/>
        <color rgb="FF1F4C71"/>
        <rFont val="Calibri"/>
        <family val="2"/>
        <scheme val="minor"/>
      </rPr>
      <t>) - excludes true-up for DUoS revenue recovery for year t</t>
    </r>
  </si>
  <si>
    <r>
      <t>Table 6 - C Factor for year t (C</t>
    </r>
    <r>
      <rPr>
        <b/>
        <vertAlign val="subscript"/>
        <sz val="11"/>
        <color rgb="FF1F4C71"/>
        <rFont val="Calibri"/>
        <family val="2"/>
      </rPr>
      <t>t</t>
    </r>
    <r>
      <rPr>
        <b/>
        <sz val="11"/>
        <color rgb="FF1F4C71"/>
        <rFont val="Calibri"/>
        <family val="2"/>
        <scheme val="minor"/>
      </rPr>
      <t>)</t>
    </r>
  </si>
  <si>
    <t>Customers/Supply Ch</t>
  </si>
  <si>
    <t>Peak Agreed Demand</t>
  </si>
  <si>
    <t>Anytime Agreed Demand</t>
  </si>
  <si>
    <t>Network Default Tariff</t>
  </si>
  <si>
    <t>Derived Customer Specfic Tariff</t>
  </si>
  <si>
    <t>Default component Not Used</t>
  </si>
  <si>
    <t>Customer Specific Component</t>
  </si>
  <si>
    <t>Individual Large LV Business - Interval Meter Tariffs</t>
  </si>
  <si>
    <t>Individual HV Business - Interval Meter Tariffs</t>
  </si>
  <si>
    <t>&lt; For individual workings details in this tariff group, select plus to ungroup or minus to regroup.</t>
  </si>
  <si>
    <t>Default Component Not Used</t>
  </si>
  <si>
    <t>DUoS at year t price</t>
  </si>
  <si>
    <t>Table 9 - Compliance with 16.8.6 Side Constraints for Standard Control Services</t>
  </si>
  <si>
    <t>Limitation</t>
  </si>
  <si>
    <t>Permissible Percentage</t>
  </si>
  <si>
    <t>Table 9A - DUoS compliance with 16.8.6 Side Constraints for Standard Control Services</t>
  </si>
  <si>
    <t>Change</t>
  </si>
  <si>
    <t>TUoS at t-1 prices</t>
  </si>
  <si>
    <t>TUoS at year t price</t>
  </si>
  <si>
    <t>DUoS at t-1 prices</t>
  </si>
  <si>
    <t>Change vs Total</t>
  </si>
  <si>
    <t>Table 9B - NUoS Change</t>
  </si>
  <si>
    <t>Table 3 - TUoS Movement</t>
  </si>
  <si>
    <t>*Note: Where significant changes to Tariff classes are made for the start of a new Regulatory Control Period, t-1 prices are not comparable.</t>
  </si>
  <si>
    <t>NUoS at t-1 prices</t>
  </si>
  <si>
    <t>NUoS at year t price</t>
  </si>
  <si>
    <t>JSO at t-1 prices</t>
  </si>
  <si>
    <t>JSO at year t price</t>
  </si>
  <si>
    <t>I factor for year t</t>
  </si>
  <si>
    <t>B factor for year t</t>
  </si>
  <si>
    <t>C factor for year t</t>
  </si>
  <si>
    <t xml:space="preserve">TOTAL </t>
  </si>
  <si>
    <t>Table 3 - JSO Movement</t>
  </si>
  <si>
    <t>Economic Benchmarking RIN</t>
  </si>
  <si>
    <t>DREV01</t>
  </si>
  <si>
    <t xml:space="preserve">Revenue </t>
  </si>
  <si>
    <t>Allowed Revenue</t>
  </si>
  <si>
    <t>DREV0113</t>
  </si>
  <si>
    <t>Revenue from other sources</t>
  </si>
  <si>
    <t xml:space="preserve">Annual RIN </t>
  </si>
  <si>
    <t>Distribution Revenue</t>
  </si>
  <si>
    <t>Template 7.10</t>
  </si>
  <si>
    <t>RIN EPORTING</t>
  </si>
  <si>
    <t>Revenue reported in the Economic Benchmarking (EB) and Annual RINs is consistent with annual smoothed revenue (Art) in the Annual Pricing Proposal</t>
  </si>
  <si>
    <t>Check Distribution Revenue Reported</t>
  </si>
  <si>
    <t>RECONCILIATION TO APP</t>
  </si>
  <si>
    <t>[1]</t>
  </si>
  <si>
    <t>Jurisdictional Scheme PV</t>
  </si>
  <si>
    <t>Variance explanation</t>
  </si>
  <si>
    <t>(A minus B plus C) (Under)/Over recovery of revenue for regulatory year</t>
  </si>
  <si>
    <t xml:space="preserve">(B) Less TAR for regulatory year = </t>
  </si>
  <si>
    <t>Tariff Approval Model - SA Power Networks Transmission Use of Services (TUoS)</t>
  </si>
  <si>
    <t>(A) Revenue from designated pricing proposal charges (DPPC)</t>
  </si>
  <si>
    <t>(B) Less DPPC related payments for regualtory year =</t>
  </si>
  <si>
    <t xml:space="preserve"> + DPPC to be paid to TNSP</t>
  </si>
  <si>
    <t xml:space="preserve"> + Avoided TUoS/DPPC payments</t>
  </si>
  <si>
    <t xml:space="preserve"> + Inter-distributor payments</t>
  </si>
  <si>
    <t>(A minus B) (Under)/over recovery of revenue for regulatory year</t>
  </si>
  <si>
    <t>DPPC unders and overs account</t>
  </si>
  <si>
    <t>Jurisdicational scheme unders and overs account</t>
  </si>
  <si>
    <t>$'0</t>
  </si>
  <si>
    <t>DPPC (Transmission) Revenue</t>
  </si>
  <si>
    <t>ACTUAL</t>
  </si>
  <si>
    <t>ESTIMATE</t>
  </si>
  <si>
    <t>FORECAST</t>
  </si>
  <si>
    <t>Total TAR Distribution Revenue (APP)</t>
  </si>
  <si>
    <t>Under/over recovery balance included in RIN reporting (DREV0113) includes accrued sales at 30 June. Sales are reconciled post September each year to account for the actual sales from quarterly billed accounts. This reporting process impacts the reported recovery in the APP through adjustments to the over and under recovery and applicable interest. External assurance over the data provided for both RIN reporting and APP inputs are externally assured.</t>
  </si>
  <si>
    <t>Explanation of Variance</t>
  </si>
  <si>
    <t>Annual RIN - Transmission Payments</t>
  </si>
  <si>
    <t>Table 8.1.1.2</t>
  </si>
  <si>
    <t>Table 8.1.1.1</t>
  </si>
  <si>
    <t>TUoS Expenditure</t>
  </si>
  <si>
    <t>Variance DREV01 and Dist. Rev. Table 8.1.1.1</t>
  </si>
  <si>
    <t>Jurisdictional Scheme Payments</t>
  </si>
  <si>
    <t>Total DPPC related payments for regulatory year</t>
  </si>
  <si>
    <t>Jurisdictional Scheme Payments for regulatory year</t>
  </si>
  <si>
    <t>Tariff Approval Model - SA Power Networks Reconciliation to Standard Control reported RIN data</t>
  </si>
  <si>
    <t>TUoS Revenue</t>
  </si>
  <si>
    <t>Correction t in t+1</t>
  </si>
  <si>
    <t>Correction t-1 in t</t>
  </si>
  <si>
    <t>Unread 30 June corrections</t>
  </si>
  <si>
    <t>Annual RIN - Jurisdictional Scheme Payments</t>
  </si>
  <si>
    <t>Interest recognised in year t</t>
  </si>
  <si>
    <t>Unexplained (Rounding)</t>
  </si>
  <si>
    <t>Variance $</t>
  </si>
  <si>
    <t>Variance %</t>
  </si>
  <si>
    <t>[1] Interest income/charges included in Annual RIN Distribution revenue line, rather than separately identified as interest. Interest not reported in CA RIN revenue following correspondence with the AER during the 2018/19 APP approval process. Annual RIN to be corrected from 2019/20 RIN Reporting</t>
  </si>
  <si>
    <t>Financial reporting interest recognised in year t</t>
  </si>
  <si>
    <t>Annual RIN - Table 8.1.1.1 Distribution Revenue</t>
  </si>
  <si>
    <t>Finance adjustment for +/- variance's</t>
  </si>
  <si>
    <t>is the annual smoothed revenue requirement for year t</t>
  </si>
  <si>
    <t>t = 1,2…,5</t>
  </si>
  <si>
    <t>t = 1</t>
  </si>
  <si>
    <t>t = 2</t>
  </si>
  <si>
    <t>t = 3, 4, 5</t>
  </si>
  <si>
    <t>is the sum of the STPIS (from year t = 3 onwards), demand management incentive scheme and any other related incentive schemes as they relate to year t-2, applied in year t.</t>
  </si>
  <si>
    <t>is the approved cost pass through amounts (positive or negative) with respect to regulatory year t, as determined by the AER. It will also include any end-of-period adjustment in regulatory year t.</t>
  </si>
  <si>
    <t xml:space="preserve">is the X factor for each year of the 2020-25 RCP as determined in the PTRM, and annually revised for the return on debt update in accordance with the formula specified in attachment 3 – rate of return – calculated in the relevant year. </t>
  </si>
  <si>
    <t>Revenue 20/21 $M</t>
  </si>
  <si>
    <t>Annual Smoothed Revenue for year t (ARt) [Year 1]</t>
  </si>
  <si>
    <t>Tariff Approval Model - SA Power Networks Reconciliation to Tariff Structure Statement</t>
  </si>
  <si>
    <t>[2]</t>
  </si>
  <si>
    <t>[3]</t>
  </si>
  <si>
    <t>[4]</t>
  </si>
  <si>
    <t>[5]</t>
  </si>
  <si>
    <t>[6]</t>
  </si>
  <si>
    <t>Supply Charge NUoS increase by $10 pa</t>
  </si>
  <si>
    <t>OPCL-ToU peak is 125% of single-rate</t>
  </si>
  <si>
    <t>[7]</t>
  </si>
  <si>
    <t>[8]</t>
  </si>
  <si>
    <t>ToU off-peak is 50% of single-rate</t>
  </si>
  <si>
    <t>OPCL-ToU off-peak is 50% of single-rate</t>
  </si>
  <si>
    <t>ToU solar sponge is 25% of single-rate</t>
  </si>
  <si>
    <t>OPCL-ToU solar sponge is 25% of single-rate</t>
  </si>
  <si>
    <t>*2019/20 supply charge taken from 2019/20 APP Table 36</t>
  </si>
  <si>
    <t>CHECK</t>
  </si>
  <si>
    <t>Current Year Rate</t>
  </si>
  <si>
    <t xml:space="preserve">ToU peak is 125% of single-rate </t>
  </si>
  <si>
    <t>Prosumer tariff usage rates are 60% of ToU Rates</t>
  </si>
  <si>
    <t>[9]</t>
  </si>
  <si>
    <t>Movement 
$ / %</t>
  </si>
  <si>
    <t>17.5.7 Pricing relativity to be retained through the 2020-25 RCP - Reconciliation</t>
  </si>
  <si>
    <t>Small business supply charge (NUoS) increase by $20 pa</t>
  </si>
  <si>
    <t>Single-rate equals two-rate with 77.5% peak usage</t>
  </si>
  <si>
    <t>NUoS current year single-rate usage $kWh</t>
  </si>
  <si>
    <t>DUoS current year single-rate usage $kWh</t>
  </si>
  <si>
    <t>Two-rate is 112.7% of single-rate</t>
  </si>
  <si>
    <t>Two-rate off-peak is 50% of peak</t>
  </si>
  <si>
    <t>Two-rate off-peak is 56.3% of single-rate</t>
  </si>
  <si>
    <t>ToU peak is 150% of single-rate</t>
  </si>
  <si>
    <t>ToU shoulder is 104.4% of single-rate</t>
  </si>
  <si>
    <t>ToU off-peak is 56.4% of single-rate</t>
  </si>
  <si>
    <t>Prior year supply charge per annum</t>
  </si>
  <si>
    <t>[10]</t>
  </si>
  <si>
    <t>[11]</t>
  </si>
  <si>
    <t>[12]</t>
  </si>
  <si>
    <t>Prosumer distribution demand charge kW pa is equal to 
840 kWh of distribution single-rate.</t>
  </si>
  <si>
    <t>ToU+MD distribution demand charge kVA/day is equal to 
283.7 kWh of distribution ToU peak rate</t>
  </si>
  <si>
    <t>TUoS current year single-rate usage $kWh</t>
  </si>
  <si>
    <t>COMMENTS</t>
  </si>
  <si>
    <t>Small Business, Large LV Business and HV actual demand (transition):</t>
  </si>
  <si>
    <t>Supply charges increase by $1000 pa post 2020/21</t>
  </si>
  <si>
    <t>Demand charges remain at 2019/20 levels</t>
  </si>
  <si>
    <t>Small business actual demand - Peak</t>
  </si>
  <si>
    <t>Large LV business actual demand - Peak</t>
  </si>
  <si>
    <t>HV Business actual demand - Peak</t>
  </si>
  <si>
    <t>Small business actual demand - Shoulder</t>
  </si>
  <si>
    <t>Large LV business actual demand - Shoulder</t>
  </si>
  <si>
    <t>HV Business actual demand - Shoulder</t>
  </si>
  <si>
    <t>Summer Peak Demand - 2019/20</t>
  </si>
  <si>
    <t>*2019/20 demand charge taken from 2019/20 APP Table 36</t>
  </si>
  <si>
    <t>Large LV type-6 meter tariffs</t>
  </si>
  <si>
    <t>Supply charges as per small business type-6 meter tariff</t>
  </si>
  <si>
    <t>Usage charges 120% of small business type-6 meter charges</t>
  </si>
  <si>
    <t>Large LV and HV Business annual demand</t>
  </si>
  <si>
    <t>Peak usage charge is 1.6 times off-peak usage</t>
  </si>
  <si>
    <t>Large LV and HV business monthly demand</t>
  </si>
  <si>
    <t>all other rates are per large business annual demand</t>
  </si>
  <si>
    <t>Tariff Schedules for year (t)</t>
  </si>
  <si>
    <t>Supply Rate</t>
  </si>
  <si>
    <t>$/day</t>
  </si>
  <si>
    <t>$/kVA/day</t>
  </si>
  <si>
    <t>SUPPLY</t>
  </si>
  <si>
    <t>ENERGY BASED USAGE</t>
  </si>
  <si>
    <t>MONTHLY kVA DEMAND</t>
  </si>
  <si>
    <t>MONTHLY kW DEMAND</t>
  </si>
  <si>
    <t xml:space="preserve">Network Use of Service (NUoS) </t>
  </si>
  <si>
    <t>Annual</t>
  </si>
  <si>
    <t>Summer Demand</t>
  </si>
  <si>
    <t>$kW/day</t>
  </si>
  <si>
    <t>LBSR/LBSRCL</t>
  </si>
  <si>
    <t>LB2R/LB2RCL</t>
  </si>
  <si>
    <t>RSR/RSRCL</t>
  </si>
  <si>
    <t>RTOU/RTOUCL</t>
  </si>
  <si>
    <t>RPRO/RPROCL</t>
  </si>
  <si>
    <t>BSR/BSRCL</t>
  </si>
  <si>
    <t>B2R/B2RCL</t>
  </si>
  <si>
    <t xml:space="preserve">Distribution Use of Service (DUoS) </t>
  </si>
  <si>
    <t xml:space="preserve">Jurisdication Obligation Scheme (JSO) </t>
  </si>
  <si>
    <t xml:space="preserve">Transmission Use of Service (TUoS) </t>
  </si>
  <si>
    <t>Tariff Approzal Model - SA Power Networks Derization of Indizidual tariffs (Customer Specific)</t>
  </si>
  <si>
    <t>Year t Expected Usage Quantities</t>
  </si>
  <si>
    <t>TARIFF CLASSES</t>
  </si>
  <si>
    <t>2020/21 QTYs</t>
  </si>
  <si>
    <t>ABOVE</t>
  </si>
  <si>
    <t xml:space="preserve">Residential </t>
  </si>
  <si>
    <t>CL/Hot Water</t>
  </si>
  <si>
    <t>Small LV Business</t>
  </si>
  <si>
    <t xml:space="preserve">Major </t>
  </si>
  <si>
    <t>HVAD033</t>
  </si>
  <si>
    <t>HVAD056</t>
  </si>
  <si>
    <t>HVAD089</t>
  </si>
  <si>
    <t>HVAD130</t>
  </si>
  <si>
    <t>HVAD131</t>
  </si>
  <si>
    <t>HVAD265</t>
  </si>
  <si>
    <t>HVAD439</t>
  </si>
  <si>
    <t>ZSN307</t>
  </si>
  <si>
    <t>ZSN767</t>
  </si>
  <si>
    <t>Peak Usage</t>
  </si>
  <si>
    <t>Off-Peak Usage</t>
  </si>
  <si>
    <t>ZSN272</t>
  </si>
  <si>
    <t>ZSN273</t>
  </si>
  <si>
    <t>HVAD078</t>
  </si>
  <si>
    <t>LBAD201</t>
  </si>
  <si>
    <t>LBAD262</t>
  </si>
  <si>
    <t>LBAD292</t>
  </si>
  <si>
    <t>LBAD296</t>
  </si>
  <si>
    <t>LBAD322</t>
  </si>
  <si>
    <t>LBAD517</t>
  </si>
  <si>
    <t>LBAD342</t>
  </si>
  <si>
    <t>LBAD583</t>
  </si>
  <si>
    <t>LBAD619</t>
  </si>
  <si>
    <t>LBAD711</t>
  </si>
  <si>
    <t>LBAD977</t>
  </si>
  <si>
    <t>LBAD979</t>
  </si>
  <si>
    <t>LBMD-SA</t>
  </si>
  <si>
    <t>LBMDW-SA</t>
  </si>
  <si>
    <t>LBAD-SA</t>
  </si>
  <si>
    <t>LBAD-CBD</t>
  </si>
  <si>
    <t>LBMD-CBD</t>
  </si>
  <si>
    <t>LBMDW-CBD</t>
  </si>
  <si>
    <t>LBG-SA</t>
  </si>
  <si>
    <t>LBG-CBD</t>
  </si>
  <si>
    <t>HVAD-SA</t>
  </si>
  <si>
    <t>HVAD-CBD</t>
  </si>
  <si>
    <t>HVMD-SA</t>
  </si>
  <si>
    <t>HVMD-CBD</t>
  </si>
  <si>
    <t>HVMDW-SA</t>
  </si>
  <si>
    <t>HVMDW-CBD</t>
  </si>
  <si>
    <t>HVAD500-SA</t>
  </si>
  <si>
    <t>HVAD500-CBD</t>
  </si>
  <si>
    <t>HVBG-SA</t>
  </si>
  <si>
    <t>HVBG-CBD</t>
  </si>
  <si>
    <t>Year t expected revenue ($'000)</t>
  </si>
  <si>
    <t>Total Residential CL</t>
  </si>
  <si>
    <t>Total Residential excl CL</t>
  </si>
  <si>
    <t>Business excl Major Business</t>
  </si>
  <si>
    <t>FORECAST REVENUE $000's</t>
  </si>
  <si>
    <t>Ave $/MWh</t>
  </si>
  <si>
    <t>$170 in line with 2020-25 TSS</t>
  </si>
  <si>
    <t>[14]</t>
  </si>
  <si>
    <t>[13]</t>
  </si>
  <si>
    <t>ToU+MD usage rates are 80% of ToU - off-peak</t>
  </si>
  <si>
    <t>ToU+MD usage rates are 80% of ToU - shoulder</t>
  </si>
  <si>
    <t>ToU+MD usage rates are 80% of ToU - peak</t>
  </si>
  <si>
    <t>$185 in line with 2020-25 TSS</t>
  </si>
  <si>
    <t>Shoulder Peak Demand - 2019/20</t>
  </si>
  <si>
    <t>usage charges increase by $0.010/kWh pa</t>
  </si>
  <si>
    <t>Large Business singe-rate</t>
  </si>
  <si>
    <t>Large Business singe-rate usage</t>
  </si>
  <si>
    <t>Small Business [SBD] - 2019/20 usage</t>
  </si>
  <si>
    <t>Large Business [BD] - 2019/20 usage</t>
  </si>
  <si>
    <t>HV Business [HBD] - 2019/20 usage</t>
  </si>
  <si>
    <t>*2019/20 usage charge taken from 2019/20 APP Table 36</t>
  </si>
  <si>
    <t>Unmetered supply usage is 65.4% (DUoS) of single rate</t>
  </si>
  <si>
    <t>Unmetered supply usage is 68.7% (TUoS) of single rate</t>
  </si>
  <si>
    <t>Small Business [SBD]</t>
  </si>
  <si>
    <t>Large Business [BD]</t>
  </si>
  <si>
    <t>HV Business [HBD]</t>
  </si>
  <si>
    <t>$1,000 in line with 2020-25 TSS</t>
  </si>
  <si>
    <t>Peak monthly demand is 1.5 times the peak annual maximum demand price</t>
  </si>
  <si>
    <t>Ratio</t>
  </si>
  <si>
    <t>NUoS peak annual demand $/kVA</t>
  </si>
  <si>
    <t>NUoS Peak monthly demand $/kVA - annualised</t>
  </si>
  <si>
    <t>Large LV Monthly Demand - supply charge</t>
  </si>
  <si>
    <t>Large LV Monthly Demand - anytime demand</t>
  </si>
  <si>
    <t>Large LV Monthly Demand - peak usage</t>
  </si>
  <si>
    <t>Large LV Monthly Demand - off-peak usage</t>
  </si>
  <si>
    <t>HV Business Monthly Demand - supply charge</t>
  </si>
  <si>
    <t>HV Business Monthly Demand - anytime demand</t>
  </si>
  <si>
    <t>HV Business Monthly Demand - peak usage</t>
  </si>
  <si>
    <t>HV Business Monthly Demand - off-peak usage</t>
  </si>
  <si>
    <t>NUoS peak usage $kWh</t>
  </si>
  <si>
    <t>NUoS off-peak usage $kWh</t>
  </si>
  <si>
    <t>Large Business two-rate</t>
  </si>
  <si>
    <t>Large Business two-rate peak usage</t>
  </si>
  <si>
    <t>Large Business two-rate off-peak usage</t>
  </si>
  <si>
    <t>HVAD381</t>
  </si>
  <si>
    <t>LBMD979</t>
  </si>
  <si>
    <t>ANNUAL kVA DEMAND</t>
  </si>
  <si>
    <t>Actual/Agreed Annual</t>
  </si>
  <si>
    <t xml:space="preserve">Actual Monthly </t>
  </si>
  <si>
    <t>Anytime Year</t>
  </si>
  <si>
    <t>Peak Year</t>
  </si>
  <si>
    <t>BD Summer 5</t>
  </si>
  <si>
    <t>BD Shoulder 12</t>
  </si>
  <si>
    <t>Residential Single Rate (Type 4 meter)</t>
  </si>
  <si>
    <t>Residential Single Rate (Type 6 meter)</t>
  </si>
  <si>
    <t>Residential Single Rate (Type 4 meter) - TOUCL</t>
  </si>
  <si>
    <t>RSROPCL</t>
  </si>
  <si>
    <t>RSR/RSROPCL</t>
  </si>
  <si>
    <t>Real Vanilla WACC</t>
  </si>
  <si>
    <t>Adj Nominal WACC</t>
  </si>
  <si>
    <t>Table 17A-8 - Reconcilation</t>
  </si>
  <si>
    <t>Difference $</t>
  </si>
  <si>
    <t>Difference %</t>
  </si>
  <si>
    <t>JSO (PV FiT)</t>
  </si>
  <si>
    <t>LBAD422</t>
  </si>
  <si>
    <t>Large Business Monthly Demand</t>
  </si>
  <si>
    <t>% Total</t>
  </si>
  <si>
    <t xml:space="preserve">Tariff Approval Model 
Vs Allocation Model </t>
  </si>
  <si>
    <t>2019/20 APP [A]</t>
  </si>
  <si>
    <t>Allocation Model [B]</t>
  </si>
  <si>
    <t>Tariff Approval Model [C]</t>
  </si>
  <si>
    <t>B/A</t>
  </si>
  <si>
    <t>C/A</t>
  </si>
  <si>
    <t>Change in Percentage Total</t>
  </si>
  <si>
    <t>This tariff class has the largest decline in the allocation from the 2019/20 APP. The higher allocation $0.989m enables the residential cap noted above.</t>
  </si>
  <si>
    <t>This tariff class has a large decline in the allocation from the 2019/20 APP. The higher allocation $0.916m enables the residential cap noted above.</t>
  </si>
  <si>
    <t>The change in tariff approval model from 2019/20 APP is constrained to under 2% increase at 1.96% increase</t>
  </si>
  <si>
    <t>This tariff class increase is caused by the return of two major customers from close down. Locational transmission is particularly effected.</t>
  </si>
  <si>
    <t>For each regulatory year after the first year of a regulatory control period, side constraints apply to the weighted average revenue raised from each tariff class. In accordance with the NER, the permissible percentage increase is the greater of CPI–X plus 2 per cent or CPI plus 2 per cent. [NER, cl. 6.18.6(c)]</t>
  </si>
  <si>
    <t>Side Constraint Formula</t>
  </si>
  <si>
    <t>For t=1, 2:</t>
  </si>
  <si>
    <t>For t=3, 4, 5:</t>
  </si>
  <si>
    <t>is the price charged for component ‘j’ of tariff 'i' in year t–1.</t>
  </si>
  <si>
    <t>is the forecast quantity of component 'j' of tariff 'i' in year t.</t>
  </si>
  <si>
    <t>is the X factor for each year of the 2020-25 RCP as determined in the PTRM, and annually revised for the return on debt update in accordance with the formula specified in attachment 3 – rate of return – calculated in the relevant year. If X&gt;0, then X will be set equal to zero for the purposed of the side constraint formula.</t>
  </si>
  <si>
    <t>is the s-factor applicable to the regulatory year t. This s-factor reflects perfromance in year t-2 against STPIS targets set in this decision. This factor will only apply in years t=1 and 2, with new STPIS guidelines providing for a change in the application from year t=3 onwards.</t>
  </si>
  <si>
    <t>Default Tariff &lt;120 kVA demand (incl all Whole Current meters), Type 4 and 5 meters</t>
  </si>
  <si>
    <t>$/kW/mth</t>
  </si>
  <si>
    <t>2020/21 to 2024/25, excl GST</t>
  </si>
  <si>
    <t>Default Tariff, Type 4 and 5 meters - Opt-out</t>
  </si>
  <si>
    <t>Default Tariff &gt;120 kVA demand, type 4 and 5 meters, Opt-in &lt;120 kVA</t>
  </si>
  <si>
    <t>$/kVA/mth</t>
  </si>
  <si>
    <t>$/kVA</t>
  </si>
  <si>
    <t>Opt-in</t>
  </si>
  <si>
    <t>tariff rebalancing to comply with recovery &lt; allowed charges test (17 June), (0.3)% error</t>
  </si>
  <si>
    <t>tariff rebalancing to comply with recovery &lt; allowed charges test (17 June), (1.0)%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</si>
</sst>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0.0"/>
    <numFmt numFmtId="167" formatCode="0.0000"/>
    <numFmt numFmtId="168" formatCode="0.0000%"/>
    <numFmt numFmtId="169" formatCode="_(* #,##0.0000_);_(* \(#,##0.0000\);_(* &quot;-&quot;_);_(@_)"/>
    <numFmt numFmtId="170" formatCode="_-* #,##0.0000_-;\-* #,##0.0000_-;_-* &quot;-&quot;??_-;_-@_-"/>
    <numFmt numFmtId="171" formatCode="&quot;$&quot;#,##0"/>
    <numFmt numFmtId="172" formatCode="0.000"/>
    <numFmt numFmtId="173" formatCode="_(* #,##0.00_);_(* \(#,##0.00\);_(* &quot;-&quot;_);_(@_)"/>
    <numFmt numFmtId="174" formatCode="_-&quot;$&quot;* #,##0.000000_-;\-&quot;$&quot;* #,##0.000000_-;_-&quot;$&quot;* &quot;-&quot;??????_-;_-@_-"/>
    <numFmt numFmtId="175" formatCode="_-&quot;$&quot;* #,##0.0000_-;\-&quot;$&quot;* #,##0.0000_-;_-&quot;$&quot;* &quot;-&quot;??_-;_-@_-"/>
    <numFmt numFmtId="176" formatCode="0.0%"/>
    <numFmt numFmtId="177" formatCode="_(* #,##0.0_);_(* \(#,##0.0\);_(* &quot;-&quot;_);_(@_)"/>
    <numFmt numFmtId="178" formatCode="_-* #,##0.0_-;\-* #,##0.0_-;_-* &quot;-&quot;?_-;_-@_-"/>
    <numFmt numFmtId="179" formatCode="_(* #,##0.000_);_(* \(#,##0.000\);_(* &quot;-&quot;_);_(@_)"/>
    <numFmt numFmtId="180" formatCode="_-* #,##0.0000_-;\-* #,##0.0000_-;_-* &quot;-&quot;????_-;_-@_-"/>
    <numFmt numFmtId="181" formatCode="_(* #,##0.000000_);_(* \(#,##0.000000\);_(* &quot;-&quot;_);_(@_)"/>
  </numFmts>
  <fonts count="50" x14ac:knownFonts="1">
    <font>
      <sz val="10"/>
      <name val="Arial"/>
      <family val="2"/>
    </font>
    <font>
      <sz val="11"/>
      <color theme="1"/>
      <name val="Calibri"/>
      <family val="2"/>
    </font>
    <font>
      <sz val="11"/>
      <color theme="1"/>
      <name val="Calibri"/>
      <family val="2"/>
    </font>
    <font>
      <sz val="10"/>
      <name val="Arial"/>
      <family val="2"/>
    </font>
    <font>
      <b/>
      <sz val="16"/>
      <name val="Calibri"/>
      <family val="2"/>
      <scheme val="minor"/>
    </font>
    <font>
      <sz val="10"/>
      <name val="Calibri"/>
      <family val="2"/>
      <scheme val="minor"/>
    </font>
    <font>
      <b/>
      <sz val="10"/>
      <name val="Calibri"/>
      <family val="2"/>
      <scheme val="minor"/>
    </font>
    <font>
      <b/>
      <sz val="14"/>
      <name val="Arial"/>
      <family val="2"/>
    </font>
    <font>
      <sz val="10"/>
      <color rgb="FFC00000"/>
      <name val="Calibri"/>
      <family val="2"/>
      <scheme val="minor"/>
    </font>
    <font>
      <b/>
      <sz val="14"/>
      <name val="Calibri"/>
      <family val="2"/>
      <scheme val="minor"/>
    </font>
    <font>
      <sz val="10"/>
      <color rgb="FF0000FF"/>
      <name val="Calibri"/>
      <family val="2"/>
      <scheme val="minor"/>
    </font>
    <font>
      <b/>
      <sz val="14"/>
      <color theme="0"/>
      <name val="Calibri"/>
      <family val="2"/>
      <scheme val="minor"/>
    </font>
    <font>
      <b/>
      <u/>
      <sz val="10"/>
      <name val="Calibri"/>
      <family val="2"/>
      <scheme val="minor"/>
    </font>
    <font>
      <b/>
      <sz val="9"/>
      <color indexed="81"/>
      <name val="Tahoma"/>
      <family val="2"/>
    </font>
    <font>
      <sz val="9"/>
      <color indexed="81"/>
      <name val="Tahoma"/>
      <family val="2"/>
    </font>
    <font>
      <b/>
      <sz val="12"/>
      <name val="Calibri"/>
      <family val="2"/>
      <scheme val="minor"/>
    </font>
    <font>
      <sz val="11"/>
      <name val="Calibri"/>
      <family val="2"/>
      <scheme val="minor"/>
    </font>
    <font>
      <b/>
      <sz val="11"/>
      <name val="Calibri"/>
      <family val="2"/>
      <scheme val="minor"/>
    </font>
    <font>
      <sz val="11"/>
      <color rgb="FF0000FF"/>
      <name val="Calibri"/>
      <family val="2"/>
      <scheme val="minor"/>
    </font>
    <font>
      <b/>
      <sz val="16"/>
      <color theme="0"/>
      <name val="Calibri"/>
      <family val="2"/>
      <scheme val="minor"/>
    </font>
    <font>
      <sz val="11"/>
      <color rgb="FFC00000"/>
      <name val="Calibri"/>
      <family val="2"/>
      <scheme val="minor"/>
    </font>
    <font>
      <b/>
      <sz val="11"/>
      <color theme="0"/>
      <name val="Calibri"/>
      <family val="2"/>
      <scheme val="minor"/>
    </font>
    <font>
      <b/>
      <u/>
      <sz val="11"/>
      <name val="Calibri"/>
      <family val="2"/>
      <scheme val="minor"/>
    </font>
    <font>
      <b/>
      <sz val="11"/>
      <color rgb="FF0000FF"/>
      <name val="Calibri"/>
      <family val="2"/>
      <scheme val="minor"/>
    </font>
    <font>
      <b/>
      <sz val="11"/>
      <color rgb="FFC00000"/>
      <name val="Calibri"/>
      <family val="2"/>
      <scheme val="minor"/>
    </font>
    <font>
      <sz val="11"/>
      <name val="Arial"/>
      <family val="2"/>
    </font>
    <font>
      <sz val="8"/>
      <name val="Arial"/>
      <family val="2"/>
    </font>
    <font>
      <sz val="12"/>
      <name val="Calibri"/>
      <family val="2"/>
      <scheme val="minor"/>
    </font>
    <font>
      <b/>
      <sz val="11"/>
      <name val="Calibri"/>
      <family val="2"/>
    </font>
    <font>
      <b/>
      <sz val="12"/>
      <color theme="1"/>
      <name val="Calibri"/>
      <family val="2"/>
    </font>
    <font>
      <b/>
      <i/>
      <sz val="11"/>
      <color theme="1"/>
      <name val="Calibri"/>
      <family val="2"/>
    </font>
    <font>
      <sz val="11"/>
      <color rgb="FF9C0006"/>
      <name val="Calibri"/>
      <family val="2"/>
    </font>
    <font>
      <b/>
      <sz val="12"/>
      <color rgb="FF1F4C71"/>
      <name val="Calibri"/>
      <family val="2"/>
      <scheme val="minor"/>
    </font>
    <font>
      <b/>
      <sz val="11"/>
      <color indexed="10"/>
      <name val="Calibri"/>
      <family val="2"/>
      <scheme val="minor"/>
    </font>
    <font>
      <b/>
      <vertAlign val="subscript"/>
      <sz val="9.9"/>
      <name val="Calibri"/>
      <family val="2"/>
    </font>
    <font>
      <b/>
      <sz val="11"/>
      <color theme="1"/>
      <name val="Calibri"/>
      <family val="2"/>
    </font>
    <font>
      <vertAlign val="subscript"/>
      <sz val="9.9"/>
      <name val="Calibri"/>
      <family val="2"/>
    </font>
    <font>
      <b/>
      <sz val="11"/>
      <color rgb="FF1F4C71"/>
      <name val="Calibri"/>
      <family val="2"/>
      <scheme val="minor"/>
    </font>
    <font>
      <b/>
      <vertAlign val="subscript"/>
      <sz val="11"/>
      <color rgb="FF1F4C71"/>
      <name val="Calibri"/>
      <family val="2"/>
    </font>
    <font>
      <sz val="11"/>
      <color theme="1"/>
      <name val="Calibri"/>
      <family val="2"/>
      <scheme val="minor"/>
    </font>
    <font>
      <b/>
      <sz val="11"/>
      <color theme="1"/>
      <name val="Calibri"/>
      <family val="2"/>
      <scheme val="minor"/>
    </font>
    <font>
      <sz val="9"/>
      <name val="Calibri"/>
      <family val="2"/>
      <scheme val="minor"/>
    </font>
    <font>
      <b/>
      <sz val="11"/>
      <color theme="5"/>
      <name val="Calibri"/>
      <family val="2"/>
      <scheme val="minor"/>
    </font>
    <font>
      <sz val="11"/>
      <name val="Calibri"/>
      <family val="2"/>
    </font>
    <font>
      <sz val="11"/>
      <color rgb="FF0000FF"/>
      <name val="Calibri"/>
      <family val="2"/>
    </font>
    <font>
      <u/>
      <sz val="10"/>
      <name val="Calibri"/>
      <family val="2"/>
      <scheme val="minor"/>
    </font>
    <font>
      <i/>
      <sz val="10"/>
      <name val="Calibri"/>
      <family val="2"/>
      <scheme val="minor"/>
    </font>
    <font>
      <b/>
      <sz val="14"/>
      <color rgb="FFC00000"/>
      <name val="Calibri"/>
      <family val="2"/>
      <scheme val="minor"/>
    </font>
    <font>
      <sz val="9"/>
      <color indexed="81"/>
      <name val="Tahoma"/>
      <charset val="1"/>
    </font>
    <font>
      <b/>
      <sz val="9"/>
      <color indexed="81"/>
      <name val="Tahoma"/>
      <charset val="1"/>
    </font>
  </fonts>
  <fills count="22">
    <fill>
      <patternFill patternType="none"/>
    </fill>
    <fill>
      <patternFill patternType="gray125"/>
    </fill>
    <fill>
      <patternFill patternType="solid">
        <fgColor rgb="FF1F4C7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lightGray">
        <fgColor theme="2" tint="-9.9948118533890809E-2"/>
        <bgColor indexed="65"/>
      </patternFill>
    </fill>
    <fill>
      <patternFill patternType="lightGray">
        <fgColor theme="0" tint="-0.14996795556505021"/>
        <bgColor indexed="65"/>
      </patternFill>
    </fill>
    <fill>
      <patternFill patternType="solid">
        <fgColor rgb="FFFFC7CE"/>
      </patternFill>
    </fill>
    <fill>
      <patternFill patternType="solid">
        <fgColor indexed="41"/>
        <bgColor indexed="64"/>
      </patternFill>
    </fill>
    <fill>
      <patternFill patternType="solid">
        <fgColor theme="5" tint="0.59999389629810485"/>
        <bgColor indexed="65"/>
      </patternFill>
    </fill>
    <fill>
      <patternFill patternType="solid">
        <fgColor rgb="FFFFFFCC"/>
        <bgColor indexed="64"/>
      </patternFill>
    </fill>
    <fill>
      <patternFill patternType="lightGray">
        <fgColor theme="0" tint="-0.34998626667073579"/>
        <bgColor auto="1"/>
      </patternFill>
    </fill>
    <fill>
      <patternFill patternType="solid">
        <fgColor rgb="FFFFFF00"/>
        <bgColor indexed="64"/>
      </patternFill>
    </fill>
  </fills>
  <borders count="3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mediumDashed">
        <color theme="1" tint="0.499984740745262"/>
      </top>
      <bottom/>
      <diagonal/>
    </border>
    <border>
      <left/>
      <right/>
      <top style="medium">
        <color theme="1" tint="0.499984740745262"/>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applyProtection="0"/>
    <xf numFmtId="164" fontId="3" fillId="0" borderId="0" applyFont="0" applyFill="0" applyBorder="0" applyAlignment="0"/>
    <xf numFmtId="9" fontId="3" fillId="0" borderId="0" applyFont="0" applyFill="0" applyBorder="0" applyAlignment="0" applyProtection="0"/>
    <xf numFmtId="43" fontId="3" fillId="0" borderId="0" applyFont="0" applyFill="0" applyBorder="0" applyAlignment="0" applyProtection="0"/>
    <xf numFmtId="164" fontId="3" fillId="5" borderId="0" applyFont="0" applyBorder="0" applyAlignment="0">
      <alignment horizontal="right"/>
      <protection locked="0"/>
    </xf>
    <xf numFmtId="0" fontId="2" fillId="0" borderId="0"/>
    <xf numFmtId="0" fontId="31" fillId="16" borderId="0" applyNumberFormat="0" applyBorder="0" applyAlignment="0" applyProtection="0"/>
    <xf numFmtId="0" fontId="1" fillId="18" borderId="0" applyNumberFormat="0" applyBorder="0" applyAlignment="0" applyProtection="0"/>
    <xf numFmtId="44" fontId="3" fillId="0" borderId="0" applyFont="0" applyFill="0" applyBorder="0" applyAlignment="0" applyProtection="0"/>
  </cellStyleXfs>
  <cellXfs count="893">
    <xf numFmtId="0" fontId="0" fillId="0" borderId="0" xfId="0"/>
    <xf numFmtId="2" fontId="4" fillId="0" borderId="0" xfId="1" applyNumberFormat="1" applyFont="1" applyAlignment="1">
      <alignment horizontal="left"/>
    </xf>
    <xf numFmtId="0" fontId="5" fillId="0" borderId="0" xfId="0" applyFont="1" applyProtection="1"/>
    <xf numFmtId="0" fontId="5" fillId="0" borderId="0" xfId="0" applyFont="1"/>
    <xf numFmtId="2" fontId="6" fillId="0" borderId="0" xfId="1" applyNumberFormat="1" applyFont="1" applyAlignment="1">
      <alignment horizontal="left"/>
    </xf>
    <xf numFmtId="2" fontId="7" fillId="0" borderId="0" xfId="3" applyNumberFormat="1" applyFont="1" applyAlignment="1" applyProtection="1">
      <alignment horizontal="left"/>
    </xf>
    <xf numFmtId="9" fontId="8" fillId="0" borderId="0" xfId="2" quotePrefix="1" applyFont="1" applyAlignment="1">
      <alignment vertical="center"/>
    </xf>
    <xf numFmtId="2" fontId="9" fillId="0" borderId="0" xfId="1" applyNumberFormat="1" applyFont="1" applyFill="1" applyAlignment="1">
      <alignment horizontal="left"/>
    </xf>
    <xf numFmtId="2" fontId="6" fillId="0" borderId="0" xfId="1" applyNumberFormat="1" applyFont="1" applyFill="1" applyAlignment="1">
      <alignment horizontal="left"/>
    </xf>
    <xf numFmtId="9" fontId="5" fillId="0" borderId="0" xfId="2" applyFont="1"/>
    <xf numFmtId="0" fontId="5" fillId="0" borderId="1" xfId="0" applyFont="1" applyBorder="1"/>
    <xf numFmtId="0" fontId="6" fillId="0" borderId="2" xfId="0" applyFont="1" applyBorder="1"/>
    <xf numFmtId="0" fontId="5" fillId="0" borderId="3" xfId="0" applyFont="1" applyBorder="1"/>
    <xf numFmtId="0" fontId="5" fillId="0" borderId="4" xfId="0" applyFont="1" applyBorder="1"/>
    <xf numFmtId="0" fontId="6" fillId="0" borderId="3" xfId="0" applyFont="1" applyBorder="1"/>
    <xf numFmtId="0" fontId="6" fillId="0" borderId="4" xfId="0" applyFont="1" applyBorder="1"/>
    <xf numFmtId="1" fontId="6" fillId="0" borderId="3" xfId="0" applyNumberFormat="1" applyFont="1" applyBorder="1"/>
    <xf numFmtId="1" fontId="6" fillId="0" borderId="4" xfId="0" applyNumberFormat="1" applyFont="1" applyBorder="1"/>
    <xf numFmtId="0" fontId="6" fillId="0" borderId="6" xfId="0" applyFont="1" applyBorder="1"/>
    <xf numFmtId="0" fontId="5" fillId="0" borderId="6" xfId="0" applyFont="1" applyBorder="1" applyAlignment="1">
      <alignment horizontal="center"/>
    </xf>
    <xf numFmtId="0" fontId="5" fillId="0" borderId="7" xfId="0" applyFont="1" applyBorder="1" applyAlignment="1">
      <alignment horizontal="left"/>
    </xf>
    <xf numFmtId="0" fontId="5" fillId="0" borderId="0" xfId="0" applyFont="1" applyAlignment="1">
      <alignment horizontal="center"/>
    </xf>
    <xf numFmtId="0" fontId="5" fillId="0" borderId="1" xfId="0" applyFont="1" applyBorder="1" applyAlignment="1">
      <alignment horizontal="center"/>
    </xf>
    <xf numFmtId="0" fontId="5" fillId="0" borderId="0" xfId="0" applyFont="1" applyAlignment="1">
      <alignment horizontal="left"/>
    </xf>
    <xf numFmtId="0" fontId="6" fillId="0" borderId="7" xfId="0" applyFont="1"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0" borderId="5" xfId="0" applyFont="1" applyBorder="1" applyAlignment="1">
      <alignment horizontal="center"/>
    </xf>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6" fillId="0" borderId="6" xfId="0" applyFont="1" applyBorder="1" applyAlignment="1">
      <alignment horizontal="center"/>
    </xf>
    <xf numFmtId="0" fontId="6" fillId="0" borderId="0" xfId="0" applyFont="1"/>
    <xf numFmtId="0" fontId="6" fillId="0" borderId="1" xfId="0" applyFont="1" applyBorder="1"/>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3" fontId="5" fillId="0" borderId="0" xfId="4" applyNumberFormat="1" applyFont="1" applyFill="1" applyBorder="1">
      <alignment horizontal="right"/>
      <protection locked="0"/>
    </xf>
    <xf numFmtId="3" fontId="5" fillId="0" borderId="1" xfId="4" applyNumberFormat="1" applyFont="1" applyFill="1" applyBorder="1">
      <alignment horizontal="right"/>
      <protection locked="0"/>
    </xf>
    <xf numFmtId="164" fontId="5" fillId="6" borderId="0" xfId="4" applyFont="1" applyFill="1" applyBorder="1" applyAlignment="1">
      <alignment horizontal="left" wrapText="1"/>
      <protection locked="0"/>
    </xf>
    <xf numFmtId="164" fontId="5" fillId="6" borderId="1" xfId="4" applyFont="1" applyFill="1" applyBorder="1" applyAlignment="1">
      <alignment horizontal="left" wrapText="1"/>
      <protection locked="0"/>
    </xf>
    <xf numFmtId="164" fontId="5" fillId="5" borderId="1" xfId="4" applyFont="1" applyBorder="1" applyAlignment="1">
      <alignment horizontal="left"/>
      <protection locked="0"/>
    </xf>
    <xf numFmtId="164" fontId="5" fillId="5" borderId="6" xfId="4" applyFont="1" applyBorder="1">
      <alignment horizontal="right"/>
      <protection locked="0"/>
    </xf>
    <xf numFmtId="164" fontId="5" fillId="5" borderId="7" xfId="4" applyFont="1" applyBorder="1">
      <alignment horizontal="right"/>
      <protection locked="0"/>
    </xf>
    <xf numFmtId="0" fontId="5" fillId="0" borderId="0" xfId="0" applyFont="1" applyProtection="1">
      <protection locked="0"/>
    </xf>
    <xf numFmtId="0" fontId="5" fillId="0" borderId="1" xfId="0" applyFont="1" applyBorder="1" applyProtection="1">
      <protection locked="0"/>
    </xf>
    <xf numFmtId="164" fontId="5" fillId="0" borderId="0" xfId="1" applyFont="1" applyFill="1" applyBorder="1"/>
    <xf numFmtId="164" fontId="5" fillId="0" borderId="1" xfId="1" applyFont="1" applyFill="1" applyBorder="1"/>
    <xf numFmtId="164" fontId="5" fillId="5" borderId="0" xfId="4" applyFont="1" applyBorder="1">
      <alignment horizontal="right"/>
      <protection locked="0"/>
    </xf>
    <xf numFmtId="164" fontId="5" fillId="5" borderId="1" xfId="4" applyFont="1" applyBorder="1">
      <alignment horizontal="right"/>
      <protection locked="0"/>
    </xf>
    <xf numFmtId="164" fontId="5" fillId="6" borderId="9" xfId="4" applyFont="1" applyFill="1" applyBorder="1" applyAlignment="1">
      <alignment horizontal="left" wrapText="1"/>
      <protection locked="0"/>
    </xf>
    <xf numFmtId="164" fontId="5" fillId="6" borderId="10" xfId="4" applyFont="1" applyFill="1" applyBorder="1" applyAlignment="1">
      <alignment horizontal="left" wrapText="1"/>
      <protection locked="0"/>
    </xf>
    <xf numFmtId="164" fontId="5" fillId="5" borderId="10" xfId="4" applyFont="1" applyBorder="1" applyAlignment="1">
      <alignment horizontal="left"/>
      <protection locked="0"/>
    </xf>
    <xf numFmtId="164" fontId="5" fillId="5" borderId="8" xfId="4" applyFont="1" applyBorder="1">
      <alignment horizontal="right"/>
      <protection locked="0"/>
    </xf>
    <xf numFmtId="0" fontId="5" fillId="0" borderId="11" xfId="0" applyFont="1" applyBorder="1" applyAlignment="1" applyProtection="1">
      <alignment horizontal="center"/>
      <protection locked="0"/>
    </xf>
    <xf numFmtId="164" fontId="5" fillId="5" borderId="9" xfId="4" applyFont="1" applyBorder="1">
      <alignment horizontal="right"/>
      <protection locked="0"/>
    </xf>
    <xf numFmtId="164" fontId="5" fillId="5" borderId="10" xfId="4" applyFont="1" applyBorder="1">
      <alignment horizontal="right"/>
      <protection locked="0"/>
    </xf>
    <xf numFmtId="0" fontId="5" fillId="0" borderId="9" xfId="0" applyFont="1" applyBorder="1" applyProtection="1">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164" fontId="5" fillId="5" borderId="11" xfId="4" applyFont="1" applyBorder="1">
      <alignment horizontal="right"/>
      <protection locked="0"/>
    </xf>
    <xf numFmtId="0" fontId="5" fillId="0" borderId="5"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164" fontId="5" fillId="0" borderId="3" xfId="1" applyFont="1" applyFill="1" applyBorder="1"/>
    <xf numFmtId="164" fontId="5" fillId="0" borderId="4" xfId="1" applyFont="1" applyFill="1" applyBorder="1"/>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0" xfId="0" applyFont="1" applyAlignment="1" applyProtection="1">
      <alignment horizontal="center"/>
    </xf>
    <xf numFmtId="0" fontId="5" fillId="0" borderId="1" xfId="0" applyFont="1" applyBorder="1" applyAlignment="1" applyProtection="1">
      <alignment horizontal="center"/>
    </xf>
    <xf numFmtId="164" fontId="5" fillId="6" borderId="1" xfId="4" applyFont="1" applyFill="1" applyBorder="1" applyAlignment="1">
      <alignment horizontal="left"/>
      <protection locked="0"/>
    </xf>
    <xf numFmtId="164" fontId="5" fillId="6" borderId="6" xfId="4" applyFont="1" applyFill="1" applyBorder="1">
      <alignment horizontal="right"/>
      <protection locked="0"/>
    </xf>
    <xf numFmtId="164" fontId="5" fillId="6" borderId="7" xfId="4" applyFont="1" applyFill="1" applyBorder="1">
      <alignment horizontal="right"/>
      <protection locked="0"/>
    </xf>
    <xf numFmtId="164" fontId="5" fillId="0" borderId="0" xfId="4" applyFont="1" applyFill="1" applyBorder="1">
      <alignment horizontal="right"/>
      <protection locked="0"/>
    </xf>
    <xf numFmtId="164" fontId="5" fillId="0" borderId="1" xfId="4" applyFont="1" applyFill="1" applyBorder="1">
      <alignment horizontal="right"/>
      <protection locked="0"/>
    </xf>
    <xf numFmtId="164" fontId="5" fillId="0" borderId="7" xfId="4" applyFont="1" applyFill="1" applyBorder="1">
      <alignment horizontal="right"/>
      <protection locked="0"/>
    </xf>
    <xf numFmtId="164" fontId="5" fillId="7" borderId="7" xfId="4" applyFont="1" applyFill="1" applyBorder="1">
      <alignment horizontal="right"/>
      <protection locked="0"/>
    </xf>
    <xf numFmtId="164" fontId="5" fillId="7" borderId="1" xfId="4" applyFont="1" applyFill="1" applyBorder="1">
      <alignment horizontal="right"/>
      <protection locked="0"/>
    </xf>
    <xf numFmtId="164" fontId="6" fillId="0" borderId="0" xfId="4" applyFont="1" applyFill="1" applyBorder="1" applyAlignment="1">
      <alignment horizontal="left"/>
      <protection locked="0"/>
    </xf>
    <xf numFmtId="164" fontId="6" fillId="0" borderId="1" xfId="4" applyFont="1" applyFill="1" applyBorder="1" applyAlignment="1">
      <alignment horizontal="left"/>
      <protection locked="0"/>
    </xf>
    <xf numFmtId="164" fontId="5" fillId="0" borderId="6" xfId="4" applyFont="1" applyFill="1" applyBorder="1">
      <alignment horizontal="right"/>
      <protection locked="0"/>
    </xf>
    <xf numFmtId="164" fontId="5" fillId="6" borderId="0" xfId="4" applyFont="1" applyFill="1" applyBorder="1">
      <alignment horizontal="right"/>
      <protection locked="0"/>
    </xf>
    <xf numFmtId="164" fontId="5" fillId="6" borderId="1" xfId="4" applyFont="1" applyFill="1" applyBorder="1">
      <alignment horizontal="right"/>
      <protection locked="0"/>
    </xf>
    <xf numFmtId="164" fontId="5" fillId="6" borderId="10" xfId="4" applyFont="1" applyFill="1" applyBorder="1" applyAlignment="1">
      <alignment horizontal="left"/>
      <protection locked="0"/>
    </xf>
    <xf numFmtId="164" fontId="5" fillId="6" borderId="8" xfId="4" applyFont="1" applyFill="1" applyBorder="1">
      <alignment horizontal="right"/>
      <protection locked="0"/>
    </xf>
    <xf numFmtId="164" fontId="5" fillId="6" borderId="11" xfId="4" applyFont="1" applyFill="1" applyBorder="1">
      <alignment horizontal="right"/>
      <protection locked="0"/>
    </xf>
    <xf numFmtId="164" fontId="5" fillId="0" borderId="9" xfId="4" applyFont="1" applyFill="1" applyBorder="1">
      <alignment horizontal="right"/>
      <protection locked="0"/>
    </xf>
    <xf numFmtId="164" fontId="5" fillId="0" borderId="10" xfId="4" applyFont="1" applyFill="1" applyBorder="1">
      <alignment horizontal="right"/>
      <protection locked="0"/>
    </xf>
    <xf numFmtId="164" fontId="5" fillId="6" borderId="9" xfId="4" applyFont="1" applyFill="1" applyBorder="1">
      <alignment horizontal="right"/>
      <protection locked="0"/>
    </xf>
    <xf numFmtId="164" fontId="5" fillId="6" borderId="10" xfId="4" applyFont="1" applyFill="1" applyBorder="1">
      <alignment horizontal="right"/>
      <protection locked="0"/>
    </xf>
    <xf numFmtId="164" fontId="5" fillId="0" borderId="11" xfId="4" applyFont="1" applyFill="1" applyBorder="1">
      <alignment horizontal="right"/>
      <protection locked="0"/>
    </xf>
    <xf numFmtId="164" fontId="5" fillId="7" borderId="11" xfId="4" applyFont="1" applyFill="1" applyBorder="1">
      <alignment horizontal="right"/>
      <protection locked="0"/>
    </xf>
    <xf numFmtId="164" fontId="5" fillId="7" borderId="10" xfId="4" applyFont="1" applyFill="1" applyBorder="1">
      <alignment horizontal="right"/>
      <protection locked="0"/>
    </xf>
    <xf numFmtId="164" fontId="5" fillId="0" borderId="4" xfId="4" applyFont="1" applyFill="1" applyBorder="1" applyAlignment="1">
      <alignment horizontal="left"/>
      <protection locked="0"/>
    </xf>
    <xf numFmtId="164" fontId="5" fillId="0" borderId="5" xfId="4" applyFont="1" applyFill="1" applyBorder="1">
      <alignment horizontal="right"/>
      <protection locked="0"/>
    </xf>
    <xf numFmtId="164" fontId="5" fillId="0" borderId="2" xfId="4" applyFont="1" applyFill="1" applyBorder="1">
      <alignment horizontal="right"/>
      <protection locked="0"/>
    </xf>
    <xf numFmtId="164" fontId="5" fillId="0" borderId="3" xfId="4" applyFont="1" applyFill="1" applyBorder="1">
      <alignment horizontal="right"/>
      <protection locked="0"/>
    </xf>
    <xf numFmtId="164" fontId="5" fillId="0" borderId="4" xfId="4" applyFont="1" applyFill="1" applyBorder="1">
      <alignment horizontal="right"/>
      <protection locked="0"/>
    </xf>
    <xf numFmtId="164" fontId="5" fillId="6" borderId="6" xfId="4" applyFont="1" applyFill="1" applyBorder="1" applyAlignment="1">
      <alignment horizontal="left"/>
      <protection locked="0"/>
    </xf>
    <xf numFmtId="164" fontId="5" fillId="6" borderId="6" xfId="4" applyFont="1" applyFill="1" applyBorder="1" applyAlignment="1">
      <alignment horizontal="left" wrapText="1"/>
      <protection locked="0"/>
    </xf>
    <xf numFmtId="164" fontId="5" fillId="0" borderId="8" xfId="4" applyFont="1" applyFill="1" applyBorder="1">
      <alignment horizontal="right"/>
      <protection locked="0"/>
    </xf>
    <xf numFmtId="164" fontId="5" fillId="0" borderId="1" xfId="4" applyFont="1" applyFill="1" applyBorder="1" applyAlignment="1">
      <alignment horizontal="left"/>
      <protection locked="0"/>
    </xf>
    <xf numFmtId="0" fontId="5" fillId="0" borderId="9" xfId="0" applyFont="1" applyBorder="1"/>
    <xf numFmtId="164" fontId="5" fillId="6" borderId="8" xfId="4" applyFont="1" applyFill="1" applyBorder="1" applyAlignment="1">
      <alignment horizontal="left" wrapText="1"/>
      <protection locked="0"/>
    </xf>
    <xf numFmtId="164" fontId="5" fillId="0" borderId="0" xfId="1" applyFont="1" applyAlignment="1">
      <alignment horizontal="right"/>
    </xf>
    <xf numFmtId="0" fontId="5" fillId="0" borderId="0" xfId="0" applyFont="1" applyAlignment="1">
      <alignment horizontal="right"/>
    </xf>
    <xf numFmtId="164" fontId="5" fillId="8" borderId="0" xfId="4" applyFont="1" applyFill="1" applyBorder="1" applyAlignment="1">
      <alignment horizontal="left"/>
      <protection locked="0"/>
    </xf>
    <xf numFmtId="0" fontId="5" fillId="8" borderId="0" xfId="0" applyFont="1" applyFill="1"/>
    <xf numFmtId="164" fontId="6" fillId="8" borderId="0" xfId="4" applyFont="1" applyFill="1" applyBorder="1" applyAlignment="1">
      <alignment horizontal="left"/>
      <protection locked="0"/>
    </xf>
    <xf numFmtId="0" fontId="6" fillId="8" borderId="0" xfId="0" applyFont="1" applyFill="1"/>
    <xf numFmtId="164" fontId="5" fillId="0" borderId="0" xfId="1" applyFont="1"/>
    <xf numFmtId="164" fontId="5" fillId="0" borderId="0" xfId="0" applyNumberFormat="1" applyFont="1"/>
    <xf numFmtId="0" fontId="12" fillId="0" borderId="0" xfId="0" applyFont="1"/>
    <xf numFmtId="164" fontId="5" fillId="8" borderId="0" xfId="1" applyFont="1" applyFill="1"/>
    <xf numFmtId="164" fontId="6" fillId="8" borderId="12" xfId="1" applyFont="1" applyFill="1" applyBorder="1"/>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2" fontId="9" fillId="0" borderId="0" xfId="3" applyNumberFormat="1" applyFont="1" applyAlignment="1" applyProtection="1">
      <alignment horizontal="left"/>
    </xf>
    <xf numFmtId="0" fontId="5" fillId="0" borderId="6" xfId="0" applyFont="1" applyBorder="1" applyProtection="1"/>
    <xf numFmtId="0" fontId="16" fillId="3" borderId="0" xfId="0" applyFont="1" applyFill="1"/>
    <xf numFmtId="0" fontId="17" fillId="0" borderId="0" xfId="0" applyFont="1"/>
    <xf numFmtId="0" fontId="9" fillId="0" borderId="0" xfId="0" applyFont="1"/>
    <xf numFmtId="0" fontId="16" fillId="0" borderId="0" xfId="0" applyFont="1"/>
    <xf numFmtId="0" fontId="16" fillId="0" borderId="0" xfId="0" applyFont="1" applyAlignment="1">
      <alignment horizontal="center"/>
    </xf>
    <xf numFmtId="0" fontId="17" fillId="0" borderId="0" xfId="0" applyFont="1" applyAlignment="1">
      <alignment horizontal="center"/>
    </xf>
    <xf numFmtId="0" fontId="19" fillId="3" borderId="0" xfId="0" applyFont="1" applyFill="1"/>
    <xf numFmtId="0" fontId="16" fillId="2" borderId="0" xfId="0" applyFont="1" applyFill="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164" fontId="16" fillId="0" borderId="0" xfId="1" applyFont="1"/>
    <xf numFmtId="164" fontId="16" fillId="0" borderId="0" xfId="0" applyNumberFormat="1" applyFont="1"/>
    <xf numFmtId="0" fontId="20" fillId="0" borderId="0" xfId="0" applyFont="1"/>
    <xf numFmtId="0" fontId="19" fillId="2" borderId="0" xfId="0" applyFont="1" applyFill="1"/>
    <xf numFmtId="2" fontId="17" fillId="0" borderId="0" xfId="1" applyNumberFormat="1" applyFont="1" applyAlignment="1">
      <alignment horizontal="left"/>
    </xf>
    <xf numFmtId="0" fontId="16" fillId="0" borderId="0" xfId="0" applyFont="1" applyProtection="1"/>
    <xf numFmtId="9" fontId="20" fillId="0" borderId="0" xfId="2" quotePrefix="1" applyFont="1" applyAlignment="1">
      <alignment vertical="center"/>
    </xf>
    <xf numFmtId="2" fontId="17" fillId="0" borderId="0" xfId="1" applyNumberFormat="1" applyFont="1" applyFill="1" applyAlignment="1">
      <alignment horizontal="left"/>
    </xf>
    <xf numFmtId="9" fontId="16" fillId="0" borderId="0" xfId="2" applyFont="1"/>
    <xf numFmtId="0" fontId="16" fillId="0" borderId="1" xfId="0" applyFont="1" applyBorder="1"/>
    <xf numFmtId="0" fontId="17" fillId="0" borderId="2" xfId="0" applyFont="1" applyBorder="1"/>
    <xf numFmtId="0" fontId="16" fillId="0" borderId="3" xfId="0" applyFont="1" applyBorder="1"/>
    <xf numFmtId="0" fontId="16" fillId="0" borderId="4" xfId="0" applyFont="1" applyBorder="1"/>
    <xf numFmtId="1" fontId="17" fillId="0" borderId="5" xfId="0" applyNumberFormat="1" applyFont="1" applyBorder="1" applyAlignment="1">
      <alignment horizontal="center"/>
    </xf>
    <xf numFmtId="1" fontId="17" fillId="0" borderId="2" xfId="0" applyNumberFormat="1" applyFont="1" applyBorder="1" applyAlignment="1">
      <alignment horizontal="center"/>
    </xf>
    <xf numFmtId="0" fontId="17" fillId="0" borderId="3" xfId="0" applyFont="1" applyBorder="1"/>
    <xf numFmtId="0" fontId="17" fillId="0" borderId="4" xfId="0" applyFont="1" applyBorder="1"/>
    <xf numFmtId="1" fontId="17" fillId="0" borderId="3" xfId="0" applyNumberFormat="1" applyFont="1" applyBorder="1"/>
    <xf numFmtId="1" fontId="17" fillId="0" borderId="4" xfId="0" applyNumberFormat="1" applyFont="1" applyBorder="1"/>
    <xf numFmtId="0" fontId="17" fillId="0" borderId="6" xfId="0" applyFont="1" applyBorder="1"/>
    <xf numFmtId="0" fontId="16" fillId="0" borderId="6" xfId="0" applyFont="1" applyBorder="1" applyAlignment="1">
      <alignment horizontal="center"/>
    </xf>
    <xf numFmtId="0" fontId="16" fillId="0" borderId="7" xfId="0" applyFont="1" applyBorder="1" applyAlignment="1">
      <alignment horizontal="left"/>
    </xf>
    <xf numFmtId="0" fontId="16" fillId="0" borderId="1" xfId="0" applyFont="1" applyBorder="1" applyAlignment="1">
      <alignment horizontal="center"/>
    </xf>
    <xf numFmtId="0" fontId="16" fillId="0" borderId="1" xfId="0" applyFont="1" applyBorder="1" applyAlignment="1">
      <alignment horizontal="left"/>
    </xf>
    <xf numFmtId="0" fontId="16" fillId="0" borderId="7" xfId="0" applyFont="1" applyBorder="1" applyAlignment="1">
      <alignment horizontal="center"/>
    </xf>
    <xf numFmtId="0" fontId="17" fillId="0" borderId="7" xfId="0" applyFont="1" applyBorder="1" applyAlignment="1">
      <alignment horizontal="left"/>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0" xfId="0" applyFont="1" applyBorder="1" applyAlignment="1">
      <alignment horizontal="left"/>
    </xf>
    <xf numFmtId="0" fontId="17" fillId="0" borderId="5" xfId="0" applyFont="1" applyBorder="1" applyAlignment="1">
      <alignment horizontal="center"/>
    </xf>
    <xf numFmtId="164" fontId="16" fillId="0" borderId="5" xfId="1" applyFont="1" applyFill="1" applyBorder="1" applyAlignment="1">
      <alignment horizontal="center"/>
    </xf>
    <xf numFmtId="164" fontId="16" fillId="0" borderId="2" xfId="1" applyFont="1" applyFill="1" applyBorder="1" applyAlignment="1">
      <alignment horizontal="center"/>
    </xf>
    <xf numFmtId="164" fontId="16" fillId="0" borderId="3" xfId="1" applyFont="1" applyFill="1" applyBorder="1" applyAlignment="1">
      <alignment horizontal="center"/>
    </xf>
    <xf numFmtId="164" fontId="16" fillId="0" borderId="4" xfId="1" applyFont="1" applyFill="1" applyBorder="1" applyAlignment="1">
      <alignment horizontal="center"/>
    </xf>
    <xf numFmtId="0" fontId="17" fillId="0" borderId="6" xfId="0" applyFont="1" applyBorder="1" applyAlignment="1">
      <alignment horizontal="center"/>
    </xf>
    <xf numFmtId="0" fontId="17" fillId="0" borderId="1" xfId="0" applyFont="1" applyBorder="1"/>
    <xf numFmtId="164" fontId="16" fillId="0" borderId="6" xfId="1" applyFont="1" applyFill="1" applyBorder="1" applyAlignment="1">
      <alignment horizontal="center"/>
    </xf>
    <xf numFmtId="164" fontId="16" fillId="0" borderId="7" xfId="1" applyFont="1" applyFill="1" applyBorder="1" applyAlignment="1">
      <alignment horizontal="center"/>
    </xf>
    <xf numFmtId="164" fontId="16" fillId="0" borderId="0" xfId="1" applyFont="1" applyFill="1" applyBorder="1" applyAlignment="1">
      <alignment horizontal="center"/>
    </xf>
    <xf numFmtId="164" fontId="16" fillId="0" borderId="1" xfId="1" applyFont="1" applyFill="1" applyBorder="1" applyAlignment="1">
      <alignment horizontal="center"/>
    </xf>
    <xf numFmtId="164" fontId="16" fillId="0" borderId="0" xfId="1" applyFont="1" applyFill="1" applyBorder="1" applyAlignment="1">
      <alignment horizontal="right"/>
    </xf>
    <xf numFmtId="164" fontId="16" fillId="0" borderId="1" xfId="1" applyFont="1" applyFill="1" applyBorder="1" applyAlignment="1">
      <alignment horizontal="right"/>
    </xf>
    <xf numFmtId="164" fontId="16" fillId="6" borderId="0" xfId="4" applyFont="1" applyFill="1" applyBorder="1" applyAlignment="1">
      <alignment horizontal="left" wrapText="1"/>
      <protection locked="0"/>
    </xf>
    <xf numFmtId="164" fontId="16" fillId="6" borderId="1" xfId="4" applyFont="1" applyFill="1" applyBorder="1" applyAlignment="1">
      <alignment horizontal="left" wrapText="1"/>
      <protection locked="0"/>
    </xf>
    <xf numFmtId="164" fontId="16" fillId="5" borderId="1" xfId="4" applyFont="1" applyBorder="1" applyAlignment="1">
      <alignment horizontal="left"/>
      <protection locked="0"/>
    </xf>
    <xf numFmtId="164" fontId="16" fillId="0" borderId="6" xfId="1" applyFont="1" applyFill="1" applyBorder="1" applyAlignment="1">
      <alignment horizontal="right"/>
    </xf>
    <xf numFmtId="164" fontId="16" fillId="0" borderId="7" xfId="1" applyFont="1" applyFill="1" applyBorder="1" applyAlignment="1">
      <alignment horizontal="right"/>
    </xf>
    <xf numFmtId="164" fontId="16" fillId="0" borderId="0" xfId="1" applyFont="1" applyFill="1" applyBorder="1"/>
    <xf numFmtId="164" fontId="16" fillId="0" borderId="1" xfId="1" applyFont="1" applyFill="1" applyBorder="1"/>
    <xf numFmtId="164" fontId="16" fillId="6" borderId="9" xfId="4" applyFont="1" applyFill="1" applyBorder="1" applyAlignment="1">
      <alignment horizontal="left" wrapText="1"/>
      <protection locked="0"/>
    </xf>
    <xf numFmtId="164" fontId="16" fillId="6" borderId="10" xfId="4" applyFont="1" applyFill="1" applyBorder="1" applyAlignment="1">
      <alignment horizontal="left" wrapText="1"/>
      <protection locked="0"/>
    </xf>
    <xf numFmtId="164" fontId="16" fillId="5" borderId="10" xfId="4" applyFont="1" applyBorder="1" applyAlignment="1">
      <alignment horizontal="left"/>
      <protection locked="0"/>
    </xf>
    <xf numFmtId="164" fontId="16" fillId="0" borderId="8" xfId="1" applyFont="1" applyFill="1" applyBorder="1" applyAlignment="1">
      <alignment horizontal="right"/>
    </xf>
    <xf numFmtId="164" fontId="16" fillId="0" borderId="11" xfId="1" applyFont="1" applyFill="1" applyBorder="1" applyAlignment="1">
      <alignment horizontal="center"/>
    </xf>
    <xf numFmtId="164" fontId="16" fillId="0" borderId="9" xfId="1" applyFont="1" applyFill="1" applyBorder="1" applyAlignment="1">
      <alignment horizontal="right"/>
    </xf>
    <xf numFmtId="164" fontId="16" fillId="0" borderId="10" xfId="1" applyFont="1" applyFill="1" applyBorder="1" applyAlignment="1">
      <alignment horizontal="right"/>
    </xf>
    <xf numFmtId="164" fontId="16" fillId="0" borderId="9" xfId="1" applyFont="1" applyFill="1" applyBorder="1"/>
    <xf numFmtId="164" fontId="16" fillId="0" borderId="9" xfId="1" applyFont="1" applyFill="1" applyBorder="1" applyAlignment="1">
      <alignment horizontal="center"/>
    </xf>
    <xf numFmtId="164" fontId="16" fillId="0" borderId="10" xfId="1" applyFont="1" applyFill="1" applyBorder="1" applyAlignment="1">
      <alignment horizontal="center"/>
    </xf>
    <xf numFmtId="164" fontId="16" fillId="0" borderId="11" xfId="1" applyFont="1" applyFill="1" applyBorder="1" applyAlignment="1">
      <alignment horizontal="right"/>
    </xf>
    <xf numFmtId="164" fontId="16" fillId="0" borderId="3" xfId="1" applyFont="1" applyFill="1" applyBorder="1"/>
    <xf numFmtId="164" fontId="16" fillId="0" borderId="4" xfId="1" applyFont="1" applyFill="1" applyBorder="1"/>
    <xf numFmtId="164" fontId="16" fillId="6" borderId="1" xfId="4" applyFont="1" applyFill="1" applyBorder="1" applyAlignment="1">
      <alignment horizontal="left"/>
      <protection locked="0"/>
    </xf>
    <xf numFmtId="164" fontId="17" fillId="0" borderId="0" xfId="4" applyFont="1" applyFill="1" applyBorder="1" applyAlignment="1">
      <alignment horizontal="left"/>
      <protection locked="0"/>
    </xf>
    <xf numFmtId="164" fontId="17" fillId="0" borderId="1" xfId="4" applyFont="1" applyFill="1" applyBorder="1" applyAlignment="1">
      <alignment horizontal="left"/>
      <protection locked="0"/>
    </xf>
    <xf numFmtId="164" fontId="16" fillId="6" borderId="10" xfId="4" applyFont="1" applyFill="1" applyBorder="1" applyAlignment="1">
      <alignment horizontal="left"/>
      <protection locked="0"/>
    </xf>
    <xf numFmtId="164" fontId="16" fillId="0" borderId="4" xfId="4" applyFont="1" applyFill="1" applyBorder="1" applyAlignment="1">
      <alignment horizontal="left"/>
      <protection locked="0"/>
    </xf>
    <xf numFmtId="164" fontId="16" fillId="0" borderId="5" xfId="1" applyFont="1" applyFill="1" applyBorder="1" applyAlignment="1">
      <alignment horizontal="right"/>
    </xf>
    <xf numFmtId="164" fontId="16" fillId="0" borderId="2" xfId="1" applyFont="1" applyFill="1" applyBorder="1" applyAlignment="1">
      <alignment horizontal="right"/>
    </xf>
    <xf numFmtId="164" fontId="16" fillId="0" borderId="3" xfId="1" applyFont="1" applyFill="1" applyBorder="1" applyAlignment="1">
      <alignment horizontal="right"/>
    </xf>
    <xf numFmtId="164" fontId="16" fillId="0" borderId="4" xfId="1" applyFont="1" applyFill="1" applyBorder="1" applyAlignment="1">
      <alignment horizontal="right"/>
    </xf>
    <xf numFmtId="164" fontId="16" fillId="6" borderId="6" xfId="4" applyFont="1" applyFill="1" applyBorder="1" applyAlignment="1">
      <alignment horizontal="left"/>
      <protection locked="0"/>
    </xf>
    <xf numFmtId="164" fontId="16" fillId="6" borderId="6" xfId="4" applyFont="1" applyFill="1" applyBorder="1" applyAlignment="1">
      <alignment horizontal="left" wrapText="1"/>
      <protection locked="0"/>
    </xf>
    <xf numFmtId="164" fontId="16" fillId="0" borderId="0" xfId="4" applyFont="1" applyFill="1" applyBorder="1" applyAlignment="1">
      <alignment horizontal="left" wrapText="1"/>
      <protection locked="0"/>
    </xf>
    <xf numFmtId="164" fontId="16" fillId="0" borderId="1" xfId="4" applyFont="1" applyFill="1" applyBorder="1" applyAlignment="1">
      <alignment horizontal="left" wrapText="1"/>
      <protection locked="0"/>
    </xf>
    <xf numFmtId="164" fontId="16" fillId="0" borderId="6" xfId="4" applyFont="1" applyFill="1" applyBorder="1" applyAlignment="1">
      <alignment horizontal="left" wrapText="1"/>
      <protection locked="0"/>
    </xf>
    <xf numFmtId="164" fontId="16" fillId="0" borderId="9" xfId="4" applyFont="1" applyFill="1" applyBorder="1" applyAlignment="1">
      <alignment horizontal="left" wrapText="1"/>
      <protection locked="0"/>
    </xf>
    <xf numFmtId="164" fontId="16" fillId="0" borderId="10" xfId="4" applyFont="1" applyFill="1" applyBorder="1" applyAlignment="1">
      <alignment horizontal="left" wrapText="1"/>
      <protection locked="0"/>
    </xf>
    <xf numFmtId="164" fontId="16" fillId="0" borderId="8" xfId="4" applyFont="1" applyFill="1" applyBorder="1" applyAlignment="1">
      <alignment horizontal="left" wrapText="1"/>
      <protection locked="0"/>
    </xf>
    <xf numFmtId="164" fontId="17" fillId="0" borderId="6" xfId="4" applyFont="1" applyFill="1" applyBorder="1" applyAlignment="1">
      <alignment horizontal="left" wrapText="1"/>
      <protection locked="0"/>
    </xf>
    <xf numFmtId="164" fontId="17" fillId="0" borderId="8" xfId="4" applyFont="1" applyFill="1" applyBorder="1" applyAlignment="1">
      <alignment horizontal="left" wrapText="1"/>
      <protection locked="0"/>
    </xf>
    <xf numFmtId="164" fontId="16" fillId="0" borderId="1" xfId="4" applyFont="1" applyFill="1" applyBorder="1" applyAlignment="1">
      <alignment horizontal="left"/>
      <protection locked="0"/>
    </xf>
    <xf numFmtId="0" fontId="16" fillId="0" borderId="9" xfId="0" applyFont="1" applyBorder="1"/>
    <xf numFmtId="164" fontId="16" fillId="6" borderId="8" xfId="4" applyFont="1" applyFill="1" applyBorder="1" applyAlignment="1">
      <alignment horizontal="left" wrapText="1"/>
      <protection locked="0"/>
    </xf>
    <xf numFmtId="0" fontId="16" fillId="0" borderId="0" xfId="0" applyFont="1" applyAlignment="1">
      <alignment horizontal="right"/>
    </xf>
    <xf numFmtId="164" fontId="16" fillId="8" borderId="0" xfId="4" applyFont="1" applyFill="1" applyBorder="1" applyAlignment="1">
      <alignment horizontal="left"/>
      <protection locked="0"/>
    </xf>
    <xf numFmtId="0" fontId="16" fillId="8" borderId="0" xfId="0" applyFont="1" applyFill="1"/>
    <xf numFmtId="164" fontId="16" fillId="8" borderId="0" xfId="0" applyNumberFormat="1" applyFont="1" applyFill="1"/>
    <xf numFmtId="164" fontId="17" fillId="8" borderId="0" xfId="4" applyFont="1" applyFill="1" applyBorder="1" applyAlignment="1">
      <alignment horizontal="left"/>
      <protection locked="0"/>
    </xf>
    <xf numFmtId="0" fontId="17" fillId="8" borderId="0" xfId="0" applyFont="1" applyFill="1"/>
    <xf numFmtId="164" fontId="17" fillId="8" borderId="12" xfId="0" applyNumberFormat="1" applyFont="1" applyFill="1" applyBorder="1"/>
    <xf numFmtId="0" fontId="17" fillId="9" borderId="0" xfId="0" applyFont="1" applyFill="1"/>
    <xf numFmtId="0" fontId="17" fillId="9" borderId="0" xfId="0" applyFont="1" applyFill="1" applyAlignment="1">
      <alignment horizontal="center"/>
    </xf>
    <xf numFmtId="0" fontId="16" fillId="9" borderId="0" xfId="0" applyFont="1" applyFill="1"/>
    <xf numFmtId="164" fontId="16" fillId="9" borderId="0" xfId="0" applyNumberFormat="1" applyFont="1" applyFill="1"/>
    <xf numFmtId="164" fontId="17" fillId="9" borderId="12" xfId="0" applyNumberFormat="1" applyFont="1" applyFill="1" applyBorder="1"/>
    <xf numFmtId="165" fontId="17" fillId="9" borderId="0" xfId="0" applyNumberFormat="1" applyFont="1" applyFill="1"/>
    <xf numFmtId="164" fontId="17" fillId="9" borderId="0" xfId="0" applyNumberFormat="1" applyFont="1" applyFill="1"/>
    <xf numFmtId="0" fontId="22" fillId="0" borderId="0" xfId="0" applyFont="1"/>
    <xf numFmtId="2" fontId="17" fillId="0" borderId="0" xfId="3" applyNumberFormat="1" applyFont="1" applyAlignment="1" applyProtection="1">
      <alignment horizontal="left"/>
    </xf>
    <xf numFmtId="0" fontId="16" fillId="0" borderId="15" xfId="0" applyFont="1" applyBorder="1"/>
    <xf numFmtId="0" fontId="16" fillId="0" borderId="7" xfId="0" applyFont="1" applyBorder="1"/>
    <xf numFmtId="0" fontId="16" fillId="0" borderId="0" xfId="0" applyFont="1" applyBorder="1"/>
    <xf numFmtId="0" fontId="17" fillId="0" borderId="7" xfId="0" applyFont="1" applyBorder="1" applyAlignment="1">
      <alignment horizontal="center"/>
    </xf>
    <xf numFmtId="0" fontId="17" fillId="0" borderId="0" xfId="0" applyFont="1" applyBorder="1" applyAlignment="1">
      <alignment horizontal="center"/>
    </xf>
    <xf numFmtId="0" fontId="17" fillId="0" borderId="1" xfId="0" applyFont="1" applyBorder="1" applyAlignment="1">
      <alignment horizontal="center"/>
    </xf>
    <xf numFmtId="0" fontId="16" fillId="0" borderId="0" xfId="0" applyFont="1" applyBorder="1" applyAlignment="1">
      <alignment horizontal="center"/>
    </xf>
    <xf numFmtId="164" fontId="17" fillId="9" borderId="13" xfId="1" applyFont="1" applyFill="1" applyBorder="1"/>
    <xf numFmtId="164" fontId="17" fillId="9" borderId="14" xfId="1" applyFont="1" applyFill="1" applyBorder="1"/>
    <xf numFmtId="0" fontId="17" fillId="0" borderId="11" xfId="0" applyFont="1" applyBorder="1" applyAlignment="1">
      <alignment horizontal="center"/>
    </xf>
    <xf numFmtId="0" fontId="17" fillId="0" borderId="10" xfId="0" applyFont="1" applyBorder="1" applyAlignment="1">
      <alignment horizontal="center"/>
    </xf>
    <xf numFmtId="164" fontId="17" fillId="9" borderId="2" xfId="1" applyFont="1" applyFill="1" applyBorder="1"/>
    <xf numFmtId="164" fontId="17" fillId="9" borderId="4" xfId="1" applyFont="1" applyFill="1" applyBorder="1"/>
    <xf numFmtId="164" fontId="17" fillId="9" borderId="7" xfId="1" applyFont="1" applyFill="1" applyBorder="1"/>
    <xf numFmtId="164" fontId="17" fillId="9" borderId="1" xfId="1" applyFont="1" applyFill="1" applyBorder="1"/>
    <xf numFmtId="164" fontId="17" fillId="9" borderId="11" xfId="1" applyFont="1" applyFill="1" applyBorder="1"/>
    <xf numFmtId="164" fontId="17" fillId="9" borderId="10" xfId="1" applyFont="1" applyFill="1" applyBorder="1"/>
    <xf numFmtId="164" fontId="17" fillId="0" borderId="0" xfId="1" applyFont="1" applyAlignment="1">
      <alignment horizontal="right"/>
    </xf>
    <xf numFmtId="0" fontId="17" fillId="0" borderId="0" xfId="0" applyFont="1" applyAlignment="1">
      <alignment horizontal="right"/>
    </xf>
    <xf numFmtId="164" fontId="17" fillId="0" borderId="0" xfId="1" applyFont="1"/>
    <xf numFmtId="0" fontId="23" fillId="11" borderId="0" xfId="0" applyFont="1" applyFill="1" applyAlignment="1">
      <alignment horizontal="center"/>
    </xf>
    <xf numFmtId="164" fontId="17" fillId="8" borderId="7" xfId="1" applyFont="1" applyFill="1" applyBorder="1"/>
    <xf numFmtId="164" fontId="17" fillId="12" borderId="7" xfId="1" applyFont="1" applyFill="1" applyBorder="1"/>
    <xf numFmtId="164" fontId="17" fillId="12" borderId="6" xfId="1" applyFont="1" applyFill="1" applyBorder="1"/>
    <xf numFmtId="164" fontId="16" fillId="11" borderId="7" xfId="1" applyFont="1" applyFill="1" applyBorder="1"/>
    <xf numFmtId="164" fontId="16" fillId="11" borderId="6" xfId="1" applyFont="1" applyFill="1" applyBorder="1"/>
    <xf numFmtId="164" fontId="16" fillId="12" borderId="6" xfId="1" applyFont="1" applyFill="1" applyBorder="1"/>
    <xf numFmtId="164" fontId="16" fillId="11" borderId="11" xfId="1" applyFont="1" applyFill="1" applyBorder="1"/>
    <xf numFmtId="164" fontId="16" fillId="11" borderId="8" xfId="1" applyFont="1" applyFill="1" applyBorder="1"/>
    <xf numFmtId="164" fontId="17" fillId="8" borderId="6" xfId="1" applyFont="1" applyFill="1" applyBorder="1"/>
    <xf numFmtId="164" fontId="17" fillId="8" borderId="0" xfId="1" applyFont="1" applyFill="1" applyBorder="1"/>
    <xf numFmtId="164" fontId="16" fillId="11" borderId="0" xfId="1" applyFont="1" applyFill="1" applyBorder="1"/>
    <xf numFmtId="164" fontId="16" fillId="11" borderId="9" xfId="1" applyFont="1" applyFill="1" applyBorder="1"/>
    <xf numFmtId="164" fontId="16" fillId="12" borderId="8" xfId="1" applyFont="1" applyFill="1" applyBorder="1"/>
    <xf numFmtId="164" fontId="16" fillId="0" borderId="15" xfId="1" applyFont="1" applyBorder="1"/>
    <xf numFmtId="0" fontId="24" fillId="10" borderId="15" xfId="0" applyFont="1" applyFill="1" applyBorder="1" applyAlignment="1" applyProtection="1">
      <alignment horizontal="right" vertical="center"/>
    </xf>
    <xf numFmtId="0" fontId="17" fillId="0" borderId="15" xfId="0" applyFont="1" applyBorder="1"/>
    <xf numFmtId="164" fontId="17" fillId="9" borderId="15" xfId="1" applyFont="1" applyFill="1" applyBorder="1"/>
    <xf numFmtId="0" fontId="17" fillId="0" borderId="2" xfId="0" applyFont="1" applyBorder="1" applyProtection="1"/>
    <xf numFmtId="0" fontId="16" fillId="10" borderId="4" xfId="0" applyFont="1" applyFill="1" applyBorder="1" applyProtection="1"/>
    <xf numFmtId="0" fontId="17" fillId="10" borderId="4" xfId="0" applyFont="1" applyFill="1" applyBorder="1" applyAlignment="1" applyProtection="1">
      <alignment horizontal="center"/>
    </xf>
    <xf numFmtId="0" fontId="17" fillId="10" borderId="5" xfId="0" applyFont="1" applyFill="1" applyBorder="1" applyAlignment="1" applyProtection="1">
      <alignment horizontal="center"/>
    </xf>
    <xf numFmtId="0" fontId="16" fillId="10" borderId="7" xfId="0" applyFont="1" applyFill="1" applyBorder="1" applyProtection="1"/>
    <xf numFmtId="0" fontId="16" fillId="10" borderId="1" xfId="0" applyFont="1" applyFill="1" applyBorder="1" applyProtection="1"/>
    <xf numFmtId="1" fontId="17" fillId="10" borderId="1" xfId="0" applyNumberFormat="1" applyFont="1" applyFill="1" applyBorder="1" applyAlignment="1" applyProtection="1">
      <alignment horizontal="center"/>
    </xf>
    <xf numFmtId="1" fontId="17" fillId="10" borderId="6" xfId="0" applyNumberFormat="1" applyFont="1" applyFill="1" applyBorder="1" applyAlignment="1" applyProtection="1">
      <alignment horizontal="center"/>
    </xf>
    <xf numFmtId="0" fontId="16" fillId="10" borderId="11" xfId="0" applyFont="1" applyFill="1" applyBorder="1" applyProtection="1"/>
    <xf numFmtId="0" fontId="16" fillId="10" borderId="10" xfId="0" applyFont="1" applyFill="1" applyBorder="1" applyProtection="1"/>
    <xf numFmtId="0" fontId="16" fillId="0" borderId="2" xfId="0" applyFont="1" applyBorder="1" applyProtection="1"/>
    <xf numFmtId="0" fontId="16" fillId="0" borderId="4" xfId="0" applyFont="1" applyBorder="1" applyProtection="1"/>
    <xf numFmtId="0" fontId="16" fillId="0" borderId="5" xfId="0" applyFont="1" applyBorder="1" applyProtection="1"/>
    <xf numFmtId="0" fontId="17" fillId="10" borderId="7" xfId="0" applyFont="1" applyFill="1" applyBorder="1" applyAlignment="1" applyProtection="1">
      <alignment wrapText="1"/>
    </xf>
    <xf numFmtId="0" fontId="16" fillId="10" borderId="1" xfId="0" applyFont="1" applyFill="1" applyBorder="1" applyAlignment="1" applyProtection="1">
      <alignment horizontal="center"/>
    </xf>
    <xf numFmtId="164" fontId="23" fillId="0" borderId="6" xfId="4" applyFont="1" applyFill="1" applyBorder="1" applyAlignment="1">
      <protection locked="0"/>
    </xf>
    <xf numFmtId="0" fontId="16" fillId="10" borderId="7" xfId="0" applyFont="1" applyFill="1" applyBorder="1" applyAlignment="1" applyProtection="1">
      <alignment wrapText="1"/>
    </xf>
    <xf numFmtId="0" fontId="16" fillId="0" borderId="6" xfId="0" applyFont="1" applyBorder="1" applyProtection="1"/>
    <xf numFmtId="164" fontId="16" fillId="0" borderId="7" xfId="0" applyNumberFormat="1" applyFont="1" applyBorder="1" applyAlignment="1" applyProtection="1">
      <alignment horizontal="right"/>
      <protection locked="0"/>
    </xf>
    <xf numFmtId="164" fontId="23" fillId="0" borderId="7" xfId="4" applyFont="1" applyFill="1" applyBorder="1" applyAlignment="1">
      <alignment horizontal="right"/>
      <protection locked="0"/>
    </xf>
    <xf numFmtId="0" fontId="17" fillId="10" borderId="7" xfId="0" applyFont="1" applyFill="1" applyBorder="1" applyProtection="1"/>
    <xf numFmtId="164" fontId="17" fillId="10" borderId="7" xfId="0" applyNumberFormat="1" applyFont="1" applyFill="1" applyBorder="1" applyProtection="1"/>
    <xf numFmtId="0" fontId="16" fillId="10" borderId="0" xfId="0" applyFont="1" applyFill="1" applyAlignment="1" applyProtection="1">
      <alignment horizontal="center"/>
    </xf>
    <xf numFmtId="164" fontId="16" fillId="0" borderId="6" xfId="4" applyFont="1" applyFill="1" applyBorder="1" applyAlignment="1" applyProtection="1"/>
    <xf numFmtId="164" fontId="16" fillId="10" borderId="6" xfId="3" applyNumberFormat="1" applyFont="1" applyFill="1" applyBorder="1" applyProtection="1"/>
    <xf numFmtId="164" fontId="16" fillId="10" borderId="7" xfId="3" applyNumberFormat="1" applyFont="1" applyFill="1" applyBorder="1" applyProtection="1"/>
    <xf numFmtId="0" fontId="17" fillId="10" borderId="11" xfId="0" applyFont="1" applyFill="1" applyBorder="1" applyProtection="1"/>
    <xf numFmtId="0" fontId="16" fillId="10" borderId="9" xfId="0" applyFont="1" applyFill="1" applyBorder="1" applyAlignment="1" applyProtection="1">
      <alignment horizontal="center"/>
    </xf>
    <xf numFmtId="164" fontId="17" fillId="0" borderId="11" xfId="2" applyNumberFormat="1" applyFont="1" applyFill="1" applyBorder="1" applyProtection="1"/>
    <xf numFmtId="164" fontId="17" fillId="10" borderId="11" xfId="2" applyNumberFormat="1" applyFont="1" applyFill="1" applyBorder="1" applyProtection="1"/>
    <xf numFmtId="0" fontId="25" fillId="0" borderId="0" xfId="0" applyFont="1" applyProtection="1"/>
    <xf numFmtId="0" fontId="16" fillId="10" borderId="7" xfId="0" applyFont="1" applyFill="1" applyBorder="1" applyAlignment="1" applyProtection="1">
      <alignment horizontal="left" wrapText="1" indent="1"/>
    </xf>
    <xf numFmtId="164" fontId="5" fillId="9" borderId="2" xfId="1" applyFont="1" applyFill="1" applyBorder="1"/>
    <xf numFmtId="164" fontId="5" fillId="9" borderId="4" xfId="1" applyFont="1" applyFill="1" applyBorder="1"/>
    <xf numFmtId="164" fontId="5" fillId="9" borderId="7" xfId="1" applyFont="1" applyFill="1" applyBorder="1"/>
    <xf numFmtId="164" fontId="5" fillId="9" borderId="1" xfId="1" applyFont="1" applyFill="1" applyBorder="1"/>
    <xf numFmtId="164" fontId="5" fillId="9" borderId="11" xfId="1" applyFont="1" applyFill="1" applyBorder="1"/>
    <xf numFmtId="164" fontId="5" fillId="9" borderId="10" xfId="1" applyFont="1" applyFill="1" applyBorder="1"/>
    <xf numFmtId="164" fontId="6" fillId="9" borderId="13" xfId="1" applyFont="1" applyFill="1" applyBorder="1"/>
    <xf numFmtId="164" fontId="6" fillId="9" borderId="14" xfId="1" applyFont="1" applyFill="1" applyBorder="1"/>
    <xf numFmtId="164" fontId="16" fillId="10" borderId="7" xfId="0" applyNumberFormat="1" applyFont="1" applyFill="1" applyBorder="1" applyProtection="1"/>
    <xf numFmtId="0" fontId="17" fillId="0" borderId="7" xfId="0" applyFont="1" applyBorder="1" applyProtection="1"/>
    <xf numFmtId="0" fontId="17" fillId="10" borderId="6" xfId="0" applyFont="1" applyFill="1" applyBorder="1" applyAlignment="1" applyProtection="1">
      <alignment horizontal="center"/>
    </xf>
    <xf numFmtId="10" fontId="17" fillId="0" borderId="6" xfId="2" applyNumberFormat="1" applyFont="1" applyFill="1" applyBorder="1" applyProtection="1"/>
    <xf numFmtId="0" fontId="17" fillId="0" borderId="2" xfId="0" applyFont="1" applyBorder="1" applyAlignment="1" applyProtection="1">
      <alignment horizontal="left"/>
    </xf>
    <xf numFmtId="0" fontId="16" fillId="0" borderId="3" xfId="0" applyFont="1" applyBorder="1" applyProtection="1"/>
    <xf numFmtId="0" fontId="16" fillId="0" borderId="3" xfId="0" applyFont="1" applyBorder="1" applyProtection="1">
      <protection locked="0"/>
    </xf>
    <xf numFmtId="0" fontId="17" fillId="0" borderId="0" xfId="0" applyFont="1" applyProtection="1"/>
    <xf numFmtId="164" fontId="17" fillId="0" borderId="0" xfId="0" applyNumberFormat="1" applyFont="1" applyProtection="1"/>
    <xf numFmtId="164" fontId="17" fillId="0" borderId="1" xfId="0" applyNumberFormat="1" applyFont="1" applyBorder="1" applyProtection="1"/>
    <xf numFmtId="0" fontId="16" fillId="0" borderId="7" xfId="0" applyFont="1" applyBorder="1" applyProtection="1">
      <protection locked="0"/>
    </xf>
    <xf numFmtId="0" fontId="16" fillId="0" borderId="1" xfId="0" applyFont="1" applyBorder="1" applyProtection="1"/>
    <xf numFmtId="0" fontId="16" fillId="0" borderId="7" xfId="0" applyFont="1" applyBorder="1" applyProtection="1"/>
    <xf numFmtId="164" fontId="16" fillId="0" borderId="0" xfId="0" applyNumberFormat="1" applyFont="1" applyProtection="1"/>
    <xf numFmtId="164" fontId="16" fillId="0" borderId="1" xfId="0" applyNumberFormat="1" applyFont="1" applyBorder="1" applyProtection="1"/>
    <xf numFmtId="164" fontId="16" fillId="0" borderId="9" xfId="0" applyNumberFormat="1" applyFont="1" applyBorder="1" applyProtection="1"/>
    <xf numFmtId="164" fontId="16" fillId="0" borderId="10" xfId="0" applyNumberFormat="1" applyFont="1" applyBorder="1" applyProtection="1"/>
    <xf numFmtId="0" fontId="16" fillId="0" borderId="11" xfId="0" applyFont="1" applyBorder="1" applyProtection="1"/>
    <xf numFmtId="0" fontId="16" fillId="0" borderId="9" xfId="0" applyFont="1" applyBorder="1" applyProtection="1"/>
    <xf numFmtId="0" fontId="27" fillId="3" borderId="0" xfId="0" applyFont="1" applyFill="1"/>
    <xf numFmtId="0" fontId="27" fillId="0" borderId="0" xfId="0" applyFont="1"/>
    <xf numFmtId="0" fontId="27" fillId="0" borderId="0" xfId="0" applyFont="1" applyAlignment="1" applyProtection="1">
      <alignment horizontal="center"/>
      <protection locked="0"/>
    </xf>
    <xf numFmtId="0" fontId="27" fillId="0" borderId="0" xfId="0" applyFont="1" applyProtection="1">
      <protection locked="0"/>
    </xf>
    <xf numFmtId="166" fontId="27" fillId="0" borderId="0" xfId="0" applyNumberFormat="1" applyFont="1"/>
    <xf numFmtId="0" fontId="15" fillId="10" borderId="0" xfId="0" applyFont="1" applyFill="1" applyAlignment="1">
      <alignment horizontal="right"/>
    </xf>
    <xf numFmtId="167" fontId="27" fillId="0" borderId="0" xfId="0" applyNumberFormat="1" applyFont="1" applyProtection="1">
      <protection locked="0"/>
    </xf>
    <xf numFmtId="168" fontId="27" fillId="0" borderId="0" xfId="2" applyNumberFormat="1" applyFont="1" applyProtection="1">
      <protection locked="0"/>
    </xf>
    <xf numFmtId="164" fontId="23" fillId="10" borderId="7" xfId="0" applyNumberFormat="1" applyFont="1" applyFill="1" applyBorder="1" applyProtection="1"/>
    <xf numFmtId="0" fontId="17" fillId="10" borderId="2" xfId="0" applyFont="1" applyFill="1" applyBorder="1" applyAlignment="1" applyProtection="1">
      <alignment horizontal="center"/>
    </xf>
    <xf numFmtId="1" fontId="17" fillId="10" borderId="7" xfId="0" applyNumberFormat="1" applyFont="1" applyFill="1" applyBorder="1" applyAlignment="1" applyProtection="1">
      <alignment horizontal="center"/>
    </xf>
    <xf numFmtId="164" fontId="16" fillId="0" borderId="7" xfId="4" applyFont="1" applyFill="1" applyBorder="1" applyAlignment="1">
      <protection locked="0"/>
    </xf>
    <xf numFmtId="164" fontId="16" fillId="0" borderId="7" xfId="3" applyNumberFormat="1" applyFont="1" applyFill="1" applyBorder="1" applyProtection="1"/>
    <xf numFmtId="0" fontId="17" fillId="10" borderId="7" xfId="0" applyFont="1" applyFill="1" applyBorder="1" applyAlignment="1" applyProtection="1">
      <alignment horizontal="center"/>
    </xf>
    <xf numFmtId="10" fontId="17" fillId="0" borderId="7" xfId="2" applyNumberFormat="1" applyFont="1" applyFill="1" applyBorder="1" applyProtection="1"/>
    <xf numFmtId="164" fontId="16" fillId="0" borderId="7" xfId="4" applyFont="1" applyFill="1" applyBorder="1" applyAlignment="1" applyProtection="1">
      <alignment horizontal="right"/>
    </xf>
    <xf numFmtId="0" fontId="28" fillId="0" borderId="0" xfId="0" applyFont="1"/>
    <xf numFmtId="0" fontId="17" fillId="0" borderId="3" xfId="0" applyFont="1" applyBorder="1" applyAlignment="1">
      <alignment horizontal="center"/>
    </xf>
    <xf numFmtId="168" fontId="16" fillId="0" borderId="0" xfId="2" applyNumberFormat="1" applyFont="1" applyBorder="1"/>
    <xf numFmtId="168" fontId="16" fillId="0" borderId="9" xfId="2" applyNumberFormat="1" applyFont="1" applyBorder="1"/>
    <xf numFmtId="0" fontId="17" fillId="0" borderId="2" xfId="0" applyFont="1" applyBorder="1" applyAlignment="1">
      <alignment horizontal="center"/>
    </xf>
    <xf numFmtId="168" fontId="16" fillId="0" borderId="3" xfId="2" applyNumberFormat="1" applyFont="1" applyBorder="1"/>
    <xf numFmtId="0" fontId="2" fillId="0" borderId="0" xfId="5"/>
    <xf numFmtId="0" fontId="29" fillId="0" borderId="0" xfId="5" applyFont="1"/>
    <xf numFmtId="0" fontId="29" fillId="0" borderId="18" xfId="5" applyFont="1" applyBorder="1"/>
    <xf numFmtId="0" fontId="29" fillId="9" borderId="21" xfId="5" applyFont="1" applyFill="1" applyBorder="1" applyAlignment="1">
      <alignment horizontal="center"/>
    </xf>
    <xf numFmtId="0" fontId="29" fillId="9" borderId="22" xfId="5" applyFont="1" applyFill="1" applyBorder="1" applyAlignment="1">
      <alignment horizontal="center"/>
    </xf>
    <xf numFmtId="0" fontId="29" fillId="0" borderId="22" xfId="5" applyFont="1" applyBorder="1" applyAlignment="1">
      <alignment horizontal="center"/>
    </xf>
    <xf numFmtId="0" fontId="29" fillId="13" borderId="23" xfId="5" applyFont="1" applyFill="1" applyBorder="1" applyAlignment="1">
      <alignment horizontal="center"/>
    </xf>
    <xf numFmtId="0" fontId="2" fillId="0" borderId="19" xfId="5" applyBorder="1"/>
    <xf numFmtId="0" fontId="2" fillId="9" borderId="18" xfId="5" applyFill="1" applyBorder="1"/>
    <xf numFmtId="0" fontId="2" fillId="9" borderId="19" xfId="5" applyFill="1" applyBorder="1"/>
    <xf numFmtId="0" fontId="2" fillId="13" borderId="20" xfId="5" applyFill="1" applyBorder="1"/>
    <xf numFmtId="0" fontId="2" fillId="0" borderId="24" xfId="5" applyBorder="1"/>
    <xf numFmtId="0" fontId="30" fillId="0" borderId="3" xfId="5" applyFont="1" applyBorder="1"/>
    <xf numFmtId="0" fontId="2" fillId="0" borderId="3" xfId="5" applyBorder="1"/>
    <xf numFmtId="0" fontId="2" fillId="9" borderId="24" xfId="5" applyFill="1" applyBorder="1"/>
    <xf numFmtId="0" fontId="2" fillId="9" borderId="3" xfId="5" applyFill="1" applyBorder="1"/>
    <xf numFmtId="0" fontId="2" fillId="13" borderId="25" xfId="5" applyFill="1" applyBorder="1"/>
    <xf numFmtId="0" fontId="2" fillId="0" borderId="26" xfId="5" applyBorder="1"/>
    <xf numFmtId="0" fontId="30" fillId="0" borderId="0" xfId="5" applyFont="1"/>
    <xf numFmtId="43" fontId="2" fillId="9" borderId="26" xfId="5" applyNumberFormat="1" applyFill="1" applyBorder="1"/>
    <xf numFmtId="43" fontId="2" fillId="9" borderId="0" xfId="5" applyNumberFormat="1" applyFill="1"/>
    <xf numFmtId="43" fontId="2" fillId="0" borderId="0" xfId="5" applyNumberFormat="1"/>
    <xf numFmtId="43" fontId="2" fillId="13" borderId="27" xfId="5" applyNumberFormat="1" applyFill="1" applyBorder="1"/>
    <xf numFmtId="0" fontId="2" fillId="0" borderId="28" xfId="5" applyBorder="1"/>
    <xf numFmtId="0" fontId="30" fillId="0" borderId="9" xfId="5" applyFont="1" applyBorder="1"/>
    <xf numFmtId="0" fontId="2" fillId="0" borderId="9" xfId="5" applyBorder="1"/>
    <xf numFmtId="170" fontId="2" fillId="9" borderId="28" xfId="5" applyNumberFormat="1" applyFill="1" applyBorder="1"/>
    <xf numFmtId="170" fontId="2" fillId="9" borderId="9" xfId="5" applyNumberFormat="1" applyFill="1" applyBorder="1"/>
    <xf numFmtId="170" fontId="2" fillId="0" borderId="9" xfId="5" applyNumberFormat="1" applyBorder="1"/>
    <xf numFmtId="170" fontId="2" fillId="13" borderId="29" xfId="5" applyNumberFormat="1" applyFill="1" applyBorder="1"/>
    <xf numFmtId="43" fontId="2" fillId="9" borderId="24" xfId="5" applyNumberFormat="1" applyFill="1" applyBorder="1"/>
    <xf numFmtId="43" fontId="2" fillId="9" borderId="3" xfId="5" applyNumberFormat="1" applyFill="1" applyBorder="1"/>
    <xf numFmtId="43" fontId="2" fillId="0" borderId="3" xfId="5" applyNumberFormat="1" applyBorder="1"/>
    <xf numFmtId="43" fontId="2" fillId="13" borderId="25" xfId="5" applyNumberFormat="1" applyFill="1" applyBorder="1"/>
    <xf numFmtId="170" fontId="2" fillId="9" borderId="26" xfId="5" applyNumberFormat="1" applyFill="1" applyBorder="1"/>
    <xf numFmtId="170" fontId="2" fillId="9" borderId="0" xfId="5" applyNumberFormat="1" applyFill="1"/>
    <xf numFmtId="170" fontId="2" fillId="0" borderId="0" xfId="5" applyNumberFormat="1"/>
    <xf numFmtId="170" fontId="2" fillId="13" borderId="27" xfId="5" applyNumberFormat="1" applyFill="1" applyBorder="1"/>
    <xf numFmtId="43" fontId="2" fillId="9" borderId="28" xfId="5" applyNumberFormat="1" applyFill="1" applyBorder="1"/>
    <xf numFmtId="43" fontId="2" fillId="9" borderId="9" xfId="5" applyNumberFormat="1" applyFill="1" applyBorder="1"/>
    <xf numFmtId="43" fontId="2" fillId="0" borderId="9" xfId="5" applyNumberFormat="1" applyBorder="1"/>
    <xf numFmtId="43" fontId="2" fillId="13" borderId="29" xfId="5" applyNumberFormat="1" applyFill="1" applyBorder="1"/>
    <xf numFmtId="0" fontId="2" fillId="0" borderId="21" xfId="5" applyBorder="1"/>
    <xf numFmtId="0" fontId="2" fillId="0" borderId="22" xfId="5" applyBorder="1"/>
    <xf numFmtId="170" fontId="2" fillId="9" borderId="21" xfId="5" applyNumberFormat="1" applyFill="1" applyBorder="1"/>
    <xf numFmtId="170" fontId="2" fillId="9" borderId="22" xfId="5" applyNumberFormat="1" applyFill="1" applyBorder="1"/>
    <xf numFmtId="170" fontId="2" fillId="0" borderId="22" xfId="5" applyNumberFormat="1" applyBorder="1"/>
    <xf numFmtId="170" fontId="2" fillId="13" borderId="23" xfId="5" applyNumberFormat="1" applyFill="1" applyBorder="1"/>
    <xf numFmtId="0" fontId="29" fillId="0" borderId="24" xfId="5" applyFont="1" applyBorder="1"/>
    <xf numFmtId="0" fontId="29" fillId="0" borderId="3" xfId="5" applyFont="1" applyBorder="1"/>
    <xf numFmtId="170" fontId="2" fillId="9" borderId="24" xfId="5" applyNumberFormat="1" applyFill="1" applyBorder="1"/>
    <xf numFmtId="170" fontId="2" fillId="9" borderId="3" xfId="5" applyNumberFormat="1" applyFill="1" applyBorder="1"/>
    <xf numFmtId="170" fontId="2" fillId="0" borderId="3" xfId="5" applyNumberFormat="1" applyBorder="1"/>
    <xf numFmtId="170" fontId="2" fillId="13" borderId="25" xfId="5" applyNumberFormat="1" applyFill="1" applyBorder="1"/>
    <xf numFmtId="0" fontId="2" fillId="0" borderId="0" xfId="5" applyAlignment="1">
      <alignment horizontal="left"/>
    </xf>
    <xf numFmtId="165" fontId="2" fillId="9" borderId="26" xfId="5" applyNumberFormat="1" applyFill="1" applyBorder="1"/>
    <xf numFmtId="165" fontId="2" fillId="9" borderId="0" xfId="5" applyNumberFormat="1" applyFill="1"/>
    <xf numFmtId="165" fontId="2" fillId="0" borderId="0" xfId="5" applyNumberFormat="1"/>
    <xf numFmtId="165" fontId="2" fillId="13" borderId="27" xfId="5" applyNumberFormat="1" applyFill="1" applyBorder="1"/>
    <xf numFmtId="0" fontId="2" fillId="9" borderId="26" xfId="5" applyFill="1" applyBorder="1"/>
    <xf numFmtId="0" fontId="2" fillId="0" borderId="18" xfId="5" applyBorder="1"/>
    <xf numFmtId="0" fontId="2" fillId="0" borderId="20" xfId="5" applyBorder="1"/>
    <xf numFmtId="164" fontId="16" fillId="14" borderId="15" xfId="1" applyFont="1" applyFill="1" applyBorder="1"/>
    <xf numFmtId="0" fontId="17" fillId="0" borderId="17" xfId="0" applyFont="1" applyBorder="1" applyAlignment="1">
      <alignment horizontal="center"/>
    </xf>
    <xf numFmtId="0" fontId="17" fillId="0" borderId="16" xfId="0" applyFont="1" applyBorder="1" applyAlignment="1">
      <alignment horizontal="center"/>
    </xf>
    <xf numFmtId="169" fontId="16" fillId="0" borderId="0" xfId="1" applyNumberFormat="1" applyFont="1"/>
    <xf numFmtId="169" fontId="16" fillId="0" borderId="1" xfId="1" applyNumberFormat="1" applyFont="1" applyBorder="1"/>
    <xf numFmtId="169" fontId="16" fillId="0" borderId="9" xfId="1" applyNumberFormat="1" applyFont="1" applyBorder="1"/>
    <xf numFmtId="168" fontId="16" fillId="0" borderId="1" xfId="2" applyNumberFormat="1" applyFont="1" applyBorder="1"/>
    <xf numFmtId="168" fontId="16" fillId="0" borderId="10" xfId="2" applyNumberFormat="1" applyFont="1" applyBorder="1"/>
    <xf numFmtId="164" fontId="23" fillId="15" borderId="6" xfId="4" applyFont="1" applyFill="1" applyBorder="1" applyAlignment="1">
      <protection locked="0"/>
    </xf>
    <xf numFmtId="164" fontId="23" fillId="15" borderId="7" xfId="4" applyFont="1" applyFill="1" applyBorder="1" applyAlignment="1">
      <alignment horizontal="right"/>
      <protection locked="0"/>
    </xf>
    <xf numFmtId="1" fontId="17" fillId="10" borderId="0" xfId="0" applyNumberFormat="1" applyFont="1" applyFill="1" applyBorder="1" applyAlignment="1" applyProtection="1">
      <alignment horizontal="center"/>
    </xf>
    <xf numFmtId="0" fontId="17" fillId="0" borderId="30" xfId="0" applyFont="1" applyBorder="1"/>
    <xf numFmtId="0" fontId="17" fillId="0" borderId="17" xfId="0" applyFont="1" applyBorder="1"/>
    <xf numFmtId="164" fontId="17" fillId="0" borderId="17" xfId="0" applyNumberFormat="1" applyFont="1" applyBorder="1"/>
    <xf numFmtId="0" fontId="17" fillId="10" borderId="7" xfId="0" applyFont="1" applyFill="1" applyBorder="1" applyAlignment="1" applyProtection="1">
      <alignment horizontal="left" wrapText="1"/>
    </xf>
    <xf numFmtId="164" fontId="17" fillId="0" borderId="6" xfId="0" applyNumberFormat="1" applyFont="1" applyBorder="1" applyProtection="1"/>
    <xf numFmtId="0" fontId="27" fillId="0" borderId="17" xfId="0" applyFont="1" applyBorder="1" applyProtection="1"/>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5" fillId="0" borderId="7" xfId="0" applyFont="1" applyBorder="1" applyProtection="1"/>
    <xf numFmtId="0" fontId="5" fillId="0" borderId="1" xfId="0" applyFont="1" applyBorder="1" applyProtection="1"/>
    <xf numFmtId="3" fontId="5" fillId="0" borderId="1" xfId="0" applyNumberFormat="1" applyFont="1" applyBorder="1" applyProtection="1"/>
    <xf numFmtId="0" fontId="5" fillId="0" borderId="11" xfId="0" applyFont="1" applyBorder="1" applyProtection="1"/>
    <xf numFmtId="0" fontId="6" fillId="0" borderId="11" xfId="0" applyFont="1" applyBorder="1" applyProtection="1"/>
    <xf numFmtId="0" fontId="6" fillId="0" borderId="9" xfId="0" applyFont="1" applyBorder="1" applyAlignment="1" applyProtection="1">
      <alignment horizontal="center"/>
    </xf>
    <xf numFmtId="171" fontId="6" fillId="0" borderId="8" xfId="0" applyNumberFormat="1" applyFont="1" applyBorder="1" applyProtection="1"/>
    <xf numFmtId="171" fontId="6" fillId="0" borderId="10" xfId="0" applyNumberFormat="1" applyFont="1" applyBorder="1" applyProtection="1"/>
    <xf numFmtId="0" fontId="5" fillId="0" borderId="17" xfId="0" applyFont="1" applyBorder="1" applyProtection="1"/>
    <xf numFmtId="0" fontId="17" fillId="0" borderId="30" xfId="0" applyFont="1" applyBorder="1" applyProtection="1"/>
    <xf numFmtId="0" fontId="6" fillId="0" borderId="16" xfId="0" applyFont="1" applyBorder="1" applyAlignment="1" applyProtection="1">
      <alignment horizontal="center"/>
    </xf>
    <xf numFmtId="0" fontId="5" fillId="0" borderId="10" xfId="0" applyFont="1" applyBorder="1" applyAlignment="1" applyProtection="1">
      <alignment horizontal="center"/>
    </xf>
    <xf numFmtId="164" fontId="16" fillId="9" borderId="15" xfId="1" applyFont="1" applyFill="1" applyBorder="1"/>
    <xf numFmtId="0" fontId="32" fillId="0" borderId="0" xfId="0" applyFont="1"/>
    <xf numFmtId="164" fontId="23" fillId="5" borderId="6" xfId="4" applyFont="1" applyBorder="1" applyAlignment="1">
      <alignment horizontal="right"/>
      <protection locked="0"/>
    </xf>
    <xf numFmtId="164" fontId="23" fillId="5" borderId="6" xfId="4" applyFont="1" applyBorder="1" applyAlignment="1">
      <protection locked="0"/>
    </xf>
    <xf numFmtId="164" fontId="23" fillId="5" borderId="7" xfId="4" applyFont="1" applyBorder="1" applyAlignment="1">
      <alignment horizontal="right"/>
      <protection locked="0"/>
    </xf>
    <xf numFmtId="10" fontId="16" fillId="0" borderId="0" xfId="2" applyNumberFormat="1" applyFont="1" applyFill="1" applyAlignment="1">
      <alignment horizontal="center"/>
    </xf>
    <xf numFmtId="172" fontId="17" fillId="0" borderId="15" xfId="0" applyNumberFormat="1" applyFont="1" applyBorder="1" applyAlignment="1" applyProtection="1">
      <alignment horizontal="center"/>
    </xf>
    <xf numFmtId="0" fontId="17" fillId="0" borderId="15" xfId="0" applyFont="1" applyBorder="1" applyAlignment="1" applyProtection="1">
      <alignment horizontal="center"/>
      <protection locked="0"/>
    </xf>
    <xf numFmtId="0" fontId="33" fillId="0" borderId="15" xfId="0" applyFont="1" applyBorder="1" applyAlignment="1" applyProtection="1">
      <alignment horizontal="center"/>
      <protection locked="0"/>
    </xf>
    <xf numFmtId="0" fontId="16" fillId="0" borderId="30" xfId="0" applyFont="1" applyBorder="1" applyProtection="1"/>
    <xf numFmtId="164" fontId="18" fillId="17" borderId="15" xfId="1" applyFont="1" applyFill="1" applyBorder="1" applyAlignment="1">
      <alignment horizontal="center"/>
    </xf>
    <xf numFmtId="164" fontId="16" fillId="0" borderId="15" xfId="1" applyFont="1" applyBorder="1" applyAlignment="1">
      <alignment horizontal="center"/>
    </xf>
    <xf numFmtId="0" fontId="5" fillId="0" borderId="2" xfId="0" applyFont="1" applyBorder="1"/>
    <xf numFmtId="169" fontId="16" fillId="0" borderId="5" xfId="1" applyNumberFormat="1" applyFont="1" applyBorder="1" applyAlignment="1">
      <alignment horizontal="center"/>
    </xf>
    <xf numFmtId="169" fontId="16" fillId="0" borderId="2" xfId="1" applyNumberFormat="1" applyFont="1" applyBorder="1" applyAlignment="1">
      <alignment horizontal="center"/>
    </xf>
    <xf numFmtId="169" fontId="16" fillId="0" borderId="3" xfId="1" applyNumberFormat="1" applyFont="1" applyBorder="1" applyAlignment="1">
      <alignment horizontal="center"/>
    </xf>
    <xf numFmtId="169" fontId="16" fillId="0" borderId="4" xfId="1" applyNumberFormat="1" applyFont="1" applyBorder="1" applyAlignment="1">
      <alignment horizontal="center"/>
    </xf>
    <xf numFmtId="169" fontId="16" fillId="0" borderId="6" xfId="1" applyNumberFormat="1" applyFont="1" applyBorder="1" applyAlignment="1">
      <alignment horizontal="center"/>
    </xf>
    <xf numFmtId="169" fontId="16" fillId="0" borderId="7" xfId="1" applyNumberFormat="1" applyFont="1" applyBorder="1" applyAlignment="1">
      <alignment horizontal="center"/>
    </xf>
    <xf numFmtId="169" fontId="16" fillId="0" borderId="0" xfId="1" applyNumberFormat="1" applyFont="1" applyAlignment="1">
      <alignment horizontal="center"/>
    </xf>
    <xf numFmtId="169" fontId="16" fillId="0" borderId="1" xfId="1" applyNumberFormat="1" applyFont="1" applyBorder="1" applyAlignment="1">
      <alignment horizontal="center"/>
    </xf>
    <xf numFmtId="169" fontId="16" fillId="0" borderId="0" xfId="1" applyNumberFormat="1" applyFont="1" applyFill="1" applyBorder="1" applyAlignment="1">
      <alignment horizontal="right"/>
    </xf>
    <xf numFmtId="169" fontId="16" fillId="0" borderId="1" xfId="1" applyNumberFormat="1" applyFont="1" applyFill="1" applyBorder="1" applyAlignment="1">
      <alignment horizontal="right"/>
    </xf>
    <xf numFmtId="169" fontId="16" fillId="5" borderId="6" xfId="1" applyNumberFormat="1" applyFont="1" applyFill="1" applyBorder="1" applyAlignment="1">
      <alignment horizontal="right"/>
    </xf>
    <xf numFmtId="169" fontId="16" fillId="5" borderId="7" xfId="1" applyNumberFormat="1" applyFont="1" applyFill="1" applyBorder="1" applyAlignment="1">
      <alignment horizontal="right"/>
    </xf>
    <xf numFmtId="169" fontId="16" fillId="5" borderId="0" xfId="1" applyNumberFormat="1" applyFont="1" applyFill="1" applyBorder="1" applyAlignment="1">
      <alignment horizontal="right"/>
    </xf>
    <xf numFmtId="169" fontId="16" fillId="5" borderId="1" xfId="1" applyNumberFormat="1" applyFont="1" applyFill="1" applyBorder="1" applyAlignment="1">
      <alignment horizontal="right"/>
    </xf>
    <xf numFmtId="169" fontId="16" fillId="5" borderId="8" xfId="1" applyNumberFormat="1" applyFont="1" applyFill="1" applyBorder="1" applyAlignment="1">
      <alignment horizontal="right"/>
    </xf>
    <xf numFmtId="169" fontId="16" fillId="0" borderId="11" xfId="1" applyNumberFormat="1" applyFont="1" applyBorder="1" applyAlignment="1">
      <alignment horizontal="center"/>
    </xf>
    <xf numFmtId="169" fontId="16" fillId="5" borderId="9" xfId="1" applyNumberFormat="1" applyFont="1" applyFill="1" applyBorder="1" applyAlignment="1">
      <alignment horizontal="right"/>
    </xf>
    <xf numFmtId="169" fontId="16" fillId="5" borderId="10" xfId="1" applyNumberFormat="1" applyFont="1" applyFill="1" applyBorder="1" applyAlignment="1">
      <alignment horizontal="right"/>
    </xf>
    <xf numFmtId="169" fontId="16" fillId="0" borderId="9" xfId="1" applyNumberFormat="1" applyFont="1" applyBorder="1" applyAlignment="1">
      <alignment horizontal="center"/>
    </xf>
    <xf numFmtId="169" fontId="16" fillId="0" borderId="10" xfId="1" applyNumberFormat="1" applyFont="1" applyBorder="1" applyAlignment="1">
      <alignment horizontal="center"/>
    </xf>
    <xf numFmtId="169" fontId="16" fillId="5" borderId="11" xfId="1" applyNumberFormat="1" applyFont="1" applyFill="1" applyBorder="1" applyAlignment="1">
      <alignment horizontal="right"/>
    </xf>
    <xf numFmtId="169" fontId="16" fillId="0" borderId="3" xfId="1" applyNumberFormat="1" applyFont="1" applyFill="1" applyBorder="1"/>
    <xf numFmtId="169" fontId="16" fillId="0" borderId="4" xfId="1" applyNumberFormat="1" applyFont="1" applyFill="1" applyBorder="1"/>
    <xf numFmtId="169" fontId="16" fillId="0" borderId="0" xfId="1" applyNumberFormat="1" applyFont="1" applyFill="1" applyBorder="1"/>
    <xf numFmtId="169" fontId="16" fillId="0" borderId="1" xfId="1" applyNumberFormat="1" applyFont="1" applyFill="1" applyBorder="1"/>
    <xf numFmtId="169" fontId="16" fillId="6" borderId="6" xfId="1" applyNumberFormat="1" applyFont="1" applyFill="1" applyBorder="1" applyAlignment="1">
      <alignment horizontal="right"/>
    </xf>
    <xf numFmtId="169" fontId="16" fillId="6" borderId="7" xfId="1" applyNumberFormat="1" applyFont="1" applyFill="1" applyBorder="1" applyAlignment="1">
      <alignment horizontal="right"/>
    </xf>
    <xf numFmtId="169" fontId="16" fillId="0" borderId="7" xfId="1" applyNumberFormat="1" applyFont="1" applyFill="1" applyBorder="1" applyAlignment="1">
      <alignment horizontal="right"/>
    </xf>
    <xf numFmtId="169" fontId="16" fillId="7" borderId="7" xfId="1" applyNumberFormat="1" applyFont="1" applyFill="1" applyBorder="1" applyAlignment="1">
      <alignment horizontal="right"/>
    </xf>
    <xf numFmtId="169" fontId="16" fillId="7" borderId="1" xfId="1" applyNumberFormat="1" applyFont="1" applyFill="1" applyBorder="1" applyAlignment="1">
      <alignment horizontal="right"/>
    </xf>
    <xf numFmtId="169" fontId="16" fillId="0" borderId="6" xfId="1" applyNumberFormat="1" applyFont="1" applyFill="1" applyBorder="1" applyAlignment="1">
      <alignment horizontal="right"/>
    </xf>
    <xf numFmtId="169" fontId="16" fillId="6" borderId="0" xfId="1" applyNumberFormat="1" applyFont="1" applyFill="1" applyBorder="1" applyAlignment="1">
      <alignment horizontal="right"/>
    </xf>
    <xf numFmtId="169" fontId="16" fillId="6" borderId="1" xfId="1" applyNumberFormat="1" applyFont="1" applyFill="1" applyBorder="1" applyAlignment="1">
      <alignment horizontal="right"/>
    </xf>
    <xf numFmtId="169" fontId="16" fillId="6" borderId="8" xfId="1" applyNumberFormat="1" applyFont="1" applyFill="1" applyBorder="1" applyAlignment="1">
      <alignment horizontal="right"/>
    </xf>
    <xf numFmtId="169" fontId="16" fillId="6" borderId="11" xfId="1" applyNumberFormat="1" applyFont="1" applyFill="1" applyBorder="1" applyAlignment="1">
      <alignment horizontal="right"/>
    </xf>
    <xf numFmtId="169" fontId="16" fillId="0" borderId="9" xfId="1" applyNumberFormat="1" applyFont="1" applyFill="1" applyBorder="1" applyAlignment="1">
      <alignment horizontal="right"/>
    </xf>
    <xf numFmtId="169" fontId="16" fillId="0" borderId="10" xfId="1" applyNumberFormat="1" applyFont="1" applyFill="1" applyBorder="1" applyAlignment="1">
      <alignment horizontal="right"/>
    </xf>
    <xf numFmtId="169" fontId="16" fillId="6" borderId="9" xfId="1" applyNumberFormat="1" applyFont="1" applyFill="1" applyBorder="1" applyAlignment="1">
      <alignment horizontal="right"/>
    </xf>
    <xf numFmtId="169" fontId="16" fillId="6" borderId="10" xfId="1" applyNumberFormat="1" applyFont="1" applyFill="1" applyBorder="1" applyAlignment="1">
      <alignment horizontal="right"/>
    </xf>
    <xf numFmtId="169" fontId="16" fillId="0" borderId="11" xfId="1" applyNumberFormat="1" applyFont="1" applyFill="1" applyBorder="1" applyAlignment="1">
      <alignment horizontal="right"/>
    </xf>
    <xf numFmtId="169" fontId="16" fillId="7" borderId="11" xfId="1" applyNumberFormat="1" applyFont="1" applyFill="1" applyBorder="1" applyAlignment="1">
      <alignment horizontal="right"/>
    </xf>
    <xf numFmtId="169" fontId="16" fillId="7" borderId="10" xfId="1" applyNumberFormat="1" applyFont="1" applyFill="1" applyBorder="1" applyAlignment="1">
      <alignment horizontal="right"/>
    </xf>
    <xf numFmtId="169" fontId="16" fillId="0" borderId="5" xfId="1" applyNumberFormat="1" applyFont="1" applyFill="1" applyBorder="1" applyAlignment="1">
      <alignment horizontal="right"/>
    </xf>
    <xf numFmtId="169" fontId="16" fillId="0" borderId="2" xfId="1" applyNumberFormat="1" applyFont="1" applyFill="1" applyBorder="1" applyAlignment="1">
      <alignment horizontal="right"/>
    </xf>
    <xf numFmtId="169" fontId="16" fillId="0" borderId="3" xfId="1" applyNumberFormat="1" applyFont="1" applyFill="1" applyBorder="1" applyAlignment="1">
      <alignment horizontal="right"/>
    </xf>
    <xf numFmtId="169" fontId="16" fillId="0" borderId="4" xfId="1" applyNumberFormat="1" applyFont="1" applyFill="1" applyBorder="1" applyAlignment="1">
      <alignment horizontal="right"/>
    </xf>
    <xf numFmtId="169" fontId="16" fillId="0" borderId="8" xfId="1" applyNumberFormat="1" applyFont="1" applyFill="1" applyBorder="1" applyAlignment="1">
      <alignment horizontal="right"/>
    </xf>
    <xf numFmtId="43" fontId="2" fillId="9" borderId="0" xfId="5" applyNumberFormat="1" applyFill="1" applyBorder="1"/>
    <xf numFmtId="170" fontId="2" fillId="9" borderId="0" xfId="5" applyNumberFormat="1" applyFill="1" applyBorder="1"/>
    <xf numFmtId="0" fontId="2" fillId="0" borderId="0" xfId="5" applyBorder="1"/>
    <xf numFmtId="165" fontId="2" fillId="9" borderId="0" xfId="5" applyNumberFormat="1" applyFill="1" applyBorder="1"/>
    <xf numFmtId="0" fontId="2" fillId="9" borderId="0" xfId="5" applyFill="1" applyBorder="1"/>
    <xf numFmtId="43" fontId="2" fillId="0" borderId="0" xfId="5" applyNumberFormat="1" applyBorder="1"/>
    <xf numFmtId="169" fontId="2" fillId="9" borderId="26" xfId="1" applyNumberFormat="1" applyFont="1" applyFill="1" applyBorder="1"/>
    <xf numFmtId="169" fontId="2" fillId="9" borderId="18" xfId="1" applyNumberFormat="1" applyFont="1" applyFill="1" applyBorder="1"/>
    <xf numFmtId="169" fontId="2" fillId="9" borderId="24" xfId="1" applyNumberFormat="1" applyFont="1" applyFill="1" applyBorder="1"/>
    <xf numFmtId="169" fontId="2" fillId="9" borderId="28" xfId="1" applyNumberFormat="1" applyFont="1" applyFill="1" applyBorder="1"/>
    <xf numFmtId="169" fontId="2" fillId="9" borderId="21" xfId="1" applyNumberFormat="1" applyFont="1" applyFill="1" applyBorder="1"/>
    <xf numFmtId="169" fontId="2" fillId="0" borderId="19" xfId="1" applyNumberFormat="1" applyFont="1" applyBorder="1"/>
    <xf numFmtId="169" fontId="2" fillId="13" borderId="20" xfId="1" applyNumberFormat="1" applyFont="1" applyFill="1" applyBorder="1"/>
    <xf numFmtId="169" fontId="2" fillId="0" borderId="3" xfId="1" applyNumberFormat="1" applyFont="1" applyBorder="1"/>
    <xf numFmtId="169" fontId="2" fillId="13" borderId="25" xfId="1" applyNumberFormat="1" applyFont="1" applyFill="1" applyBorder="1"/>
    <xf numFmtId="169" fontId="2" fillId="0" borderId="0" xfId="1" applyNumberFormat="1" applyFont="1" applyBorder="1"/>
    <xf numFmtId="169" fontId="2" fillId="13" borderId="27" xfId="1" applyNumberFormat="1" applyFont="1" applyFill="1" applyBorder="1"/>
    <xf numFmtId="169" fontId="2" fillId="0" borderId="9" xfId="1" applyNumberFormat="1" applyFont="1" applyBorder="1"/>
    <xf numFmtId="169" fontId="2" fillId="13" borderId="29" xfId="1" applyNumberFormat="1" applyFont="1" applyFill="1" applyBorder="1"/>
    <xf numFmtId="169" fontId="2" fillId="0" borderId="22" xfId="1" applyNumberFormat="1" applyFont="1" applyBorder="1"/>
    <xf numFmtId="169" fontId="2" fillId="13" borderId="23" xfId="1" applyNumberFormat="1" applyFont="1" applyFill="1" applyBorder="1"/>
    <xf numFmtId="169" fontId="2" fillId="0" borderId="20" xfId="1" applyNumberFormat="1" applyFont="1" applyBorder="1"/>
    <xf numFmtId="169" fontId="2" fillId="0" borderId="18" xfId="1" applyNumberFormat="1" applyFont="1" applyBorder="1"/>
    <xf numFmtId="164" fontId="1" fillId="18" borderId="0" xfId="7" applyNumberFormat="1" applyAlignment="1" applyProtection="1">
      <protection locked="0"/>
    </xf>
    <xf numFmtId="0" fontId="35" fillId="18" borderId="0" xfId="7" applyNumberFormat="1" applyFont="1" applyAlignment="1" applyProtection="1">
      <alignment horizontal="center"/>
      <protection locked="0"/>
    </xf>
    <xf numFmtId="0" fontId="37" fillId="0" borderId="0" xfId="0" applyFont="1"/>
    <xf numFmtId="164" fontId="23" fillId="5" borderId="2" xfId="4" applyFont="1" applyBorder="1" applyAlignment="1">
      <alignment horizontal="center"/>
      <protection locked="0"/>
    </xf>
    <xf numFmtId="164" fontId="23" fillId="5" borderId="7" xfId="4" applyFont="1" applyBorder="1" applyAlignment="1">
      <alignment horizontal="center"/>
      <protection locked="0"/>
    </xf>
    <xf numFmtId="164" fontId="23" fillId="5" borderId="11" xfId="4" applyFont="1" applyBorder="1" applyAlignment="1">
      <alignment horizontal="center"/>
      <protection locked="0"/>
    </xf>
    <xf numFmtId="164" fontId="18" fillId="5" borderId="0" xfId="4" applyFont="1" applyAlignment="1">
      <alignment horizontal="left"/>
      <protection locked="0"/>
    </xf>
    <xf numFmtId="164" fontId="16" fillId="5" borderId="0" xfId="4" applyFont="1" applyAlignment="1">
      <alignment horizontal="left"/>
      <protection locked="0"/>
    </xf>
    <xf numFmtId="164" fontId="18" fillId="5" borderId="0" xfId="4" applyFont="1" applyAlignment="1">
      <alignment horizontal="center"/>
      <protection locked="0"/>
    </xf>
    <xf numFmtId="164" fontId="18" fillId="5" borderId="2" xfId="4" applyFont="1" applyBorder="1" applyAlignment="1">
      <alignment horizontal="center"/>
      <protection locked="0"/>
    </xf>
    <xf numFmtId="164" fontId="18" fillId="5" borderId="3" xfId="4" applyFont="1" applyBorder="1" applyAlignment="1">
      <alignment horizontal="center"/>
      <protection locked="0"/>
    </xf>
    <xf numFmtId="164" fontId="18" fillId="5" borderId="7" xfId="4" applyFont="1" applyBorder="1" applyAlignment="1">
      <alignment horizontal="center"/>
      <protection locked="0"/>
    </xf>
    <xf numFmtId="164" fontId="18" fillId="5" borderId="0" xfId="4" applyFont="1" applyBorder="1" applyAlignment="1">
      <alignment horizontal="center"/>
      <protection locked="0"/>
    </xf>
    <xf numFmtId="164" fontId="18" fillId="5" borderId="0" xfId="4" applyFont="1" applyBorder="1" applyAlignment="1">
      <alignment horizontal="right"/>
      <protection locked="0"/>
    </xf>
    <xf numFmtId="164" fontId="18" fillId="5" borderId="11" xfId="4" applyFont="1" applyBorder="1" applyAlignment="1">
      <alignment horizontal="center"/>
      <protection locked="0"/>
    </xf>
    <xf numFmtId="164" fontId="18" fillId="5" borderId="9" xfId="4" applyFont="1" applyBorder="1" applyAlignment="1">
      <alignment horizontal="center"/>
      <protection locked="0"/>
    </xf>
    <xf numFmtId="164" fontId="23" fillId="5" borderId="0" xfId="4" applyFont="1" applyAlignment="1">
      <alignment horizontal="center"/>
      <protection locked="0"/>
    </xf>
    <xf numFmtId="164" fontId="18" fillId="5" borderId="3" xfId="4" applyFont="1" applyBorder="1" applyAlignment="1">
      <protection locked="0"/>
    </xf>
    <xf numFmtId="164" fontId="23" fillId="5" borderId="17" xfId="4" applyFont="1" applyBorder="1" applyAlignment="1">
      <alignment horizontal="right"/>
      <protection locked="0"/>
    </xf>
    <xf numFmtId="164" fontId="23" fillId="5" borderId="16" xfId="4" applyFont="1" applyBorder="1" applyAlignment="1">
      <alignment horizontal="right"/>
      <protection locked="0"/>
    </xf>
    <xf numFmtId="164" fontId="16" fillId="0" borderId="6" xfId="4" applyFont="1" applyFill="1" applyBorder="1" applyAlignment="1">
      <protection locked="0"/>
    </xf>
    <xf numFmtId="171" fontId="5" fillId="0" borderId="8" xfId="0" applyNumberFormat="1" applyFont="1" applyFill="1" applyBorder="1" applyProtection="1"/>
    <xf numFmtId="171" fontId="5" fillId="0" borderId="10" xfId="0" applyNumberFormat="1" applyFont="1" applyFill="1" applyBorder="1" applyProtection="1"/>
    <xf numFmtId="3" fontId="5" fillId="0" borderId="1" xfId="0" applyNumberFormat="1" applyFont="1" applyFill="1" applyBorder="1" applyProtection="1"/>
    <xf numFmtId="164" fontId="10" fillId="5" borderId="6" xfId="4" applyFont="1" applyBorder="1" applyAlignment="1">
      <protection locked="0"/>
    </xf>
    <xf numFmtId="0" fontId="39" fillId="0" borderId="24" xfId="5" applyFont="1" applyBorder="1"/>
    <xf numFmtId="0" fontId="39" fillId="0" borderId="3" xfId="5" applyFont="1" applyBorder="1"/>
    <xf numFmtId="0" fontId="39" fillId="0" borderId="26" xfId="5" applyFont="1" applyBorder="1"/>
    <xf numFmtId="0" fontId="39" fillId="0" borderId="0" xfId="5" applyFont="1"/>
    <xf numFmtId="0" fontId="39" fillId="0" borderId="28" xfId="5" applyFont="1" applyBorder="1"/>
    <xf numFmtId="0" fontId="39" fillId="0" borderId="9" xfId="5" applyFont="1" applyBorder="1"/>
    <xf numFmtId="0" fontId="40" fillId="0" borderId="21" xfId="5" applyFont="1" applyFill="1" applyBorder="1" applyAlignment="1">
      <alignment horizontal="center"/>
    </xf>
    <xf numFmtId="0" fontId="40" fillId="0" borderId="22" xfId="5" applyFont="1" applyFill="1" applyBorder="1" applyAlignment="1">
      <alignment horizontal="center"/>
    </xf>
    <xf numFmtId="0" fontId="40" fillId="0" borderId="23" xfId="5" applyFont="1" applyFill="1" applyBorder="1" applyAlignment="1">
      <alignment horizontal="center"/>
    </xf>
    <xf numFmtId="0" fontId="16" fillId="0" borderId="0" xfId="0" applyFont="1" applyFill="1"/>
    <xf numFmtId="169" fontId="39" fillId="0" borderId="24" xfId="1" applyNumberFormat="1" applyFont="1" applyFill="1" applyBorder="1"/>
    <xf numFmtId="169" fontId="39" fillId="0" borderId="3" xfId="1" applyNumberFormat="1" applyFont="1" applyFill="1" applyBorder="1"/>
    <xf numFmtId="169" fontId="39" fillId="0" borderId="25" xfId="1" applyNumberFormat="1" applyFont="1" applyFill="1" applyBorder="1"/>
    <xf numFmtId="169" fontId="39" fillId="0" borderId="0" xfId="1" applyNumberFormat="1" applyFont="1" applyFill="1" applyBorder="1"/>
    <xf numFmtId="169" fontId="39" fillId="0" borderId="28" xfId="1" applyNumberFormat="1" applyFont="1" applyFill="1" applyBorder="1"/>
    <xf numFmtId="169" fontId="39" fillId="0" borderId="9" xfId="1" applyNumberFormat="1" applyFont="1" applyFill="1" applyBorder="1"/>
    <xf numFmtId="169" fontId="39" fillId="0" borderId="29" xfId="1" applyNumberFormat="1" applyFont="1" applyFill="1" applyBorder="1"/>
    <xf numFmtId="164" fontId="23" fillId="6" borderId="0" xfId="4" applyFont="1" applyFill="1" applyBorder="1" applyAlignment="1">
      <alignment horizontal="left" wrapText="1"/>
      <protection locked="0"/>
    </xf>
    <xf numFmtId="169" fontId="18" fillId="5" borderId="28" xfId="1" applyNumberFormat="1" applyFont="1" applyFill="1" applyBorder="1" applyAlignment="1"/>
    <xf numFmtId="169" fontId="18" fillId="5" borderId="9" xfId="1" applyNumberFormat="1" applyFont="1" applyFill="1" applyBorder="1" applyAlignment="1"/>
    <xf numFmtId="0" fontId="39" fillId="0" borderId="0" xfId="5" applyFont="1" applyBorder="1"/>
    <xf numFmtId="0" fontId="41" fillId="0" borderId="0" xfId="0" applyFont="1"/>
    <xf numFmtId="173" fontId="18" fillId="5" borderId="3" xfId="4" applyNumberFormat="1" applyFont="1" applyBorder="1" applyAlignment="1">
      <alignment horizontal="right"/>
      <protection locked="0"/>
    </xf>
    <xf numFmtId="173" fontId="18" fillId="5" borderId="0" xfId="4" applyNumberFormat="1" applyFont="1" applyBorder="1" applyAlignment="1">
      <alignment horizontal="right"/>
      <protection locked="0"/>
    </xf>
    <xf numFmtId="173" fontId="18" fillId="5" borderId="9" xfId="4" applyNumberFormat="1" applyFont="1" applyBorder="1" applyAlignment="1">
      <alignment horizontal="right"/>
      <protection locked="0"/>
    </xf>
    <xf numFmtId="168" fontId="18" fillId="5" borderId="3" xfId="4" applyNumberFormat="1" applyFont="1" applyBorder="1" applyAlignment="1">
      <protection locked="0"/>
    </xf>
    <xf numFmtId="168" fontId="18" fillId="5" borderId="0" xfId="4" applyNumberFormat="1" applyFont="1" applyBorder="1" applyAlignment="1">
      <protection locked="0"/>
    </xf>
    <xf numFmtId="168" fontId="18" fillId="5" borderId="9" xfId="4" applyNumberFormat="1" applyFont="1" applyBorder="1" applyAlignment="1">
      <protection locked="0"/>
    </xf>
    <xf numFmtId="168" fontId="16" fillId="0" borderId="0" xfId="0" applyNumberFormat="1" applyFont="1" applyAlignment="1">
      <alignment horizontal="center"/>
    </xf>
    <xf numFmtId="168" fontId="16" fillId="0" borderId="0" xfId="0" applyNumberFormat="1" applyFont="1" applyBorder="1" applyAlignment="1">
      <alignment horizontal="center"/>
    </xf>
    <xf numFmtId="168" fontId="16" fillId="0" borderId="0" xfId="0" applyNumberFormat="1" applyFont="1"/>
    <xf numFmtId="168" fontId="16" fillId="0" borderId="0" xfId="0" applyNumberFormat="1" applyFont="1" applyBorder="1"/>
    <xf numFmtId="168" fontId="17" fillId="0" borderId="3" xfId="0" applyNumberFormat="1" applyFont="1" applyBorder="1" applyAlignment="1">
      <alignment horizontal="center"/>
    </xf>
    <xf numFmtId="164" fontId="18" fillId="0" borderId="15" xfId="1" applyFont="1" applyFill="1" applyBorder="1" applyAlignment="1">
      <alignment horizontal="center"/>
    </xf>
    <xf numFmtId="0" fontId="42" fillId="0" borderId="0" xfId="0" applyFont="1"/>
    <xf numFmtId="0" fontId="18" fillId="5" borderId="0" xfId="4" applyNumberFormat="1" applyFont="1" applyAlignment="1">
      <alignment horizontal="center"/>
      <protection locked="0"/>
    </xf>
    <xf numFmtId="10" fontId="18" fillId="17" borderId="15" xfId="2" applyNumberFormat="1" applyFont="1" applyFill="1" applyBorder="1" applyAlignment="1">
      <alignment horizontal="center"/>
    </xf>
    <xf numFmtId="10" fontId="16" fillId="0" borderId="15" xfId="2" applyNumberFormat="1" applyFont="1" applyBorder="1" applyAlignment="1">
      <alignment horizontal="center"/>
    </xf>
    <xf numFmtId="0" fontId="17" fillId="9" borderId="15" xfId="0" applyFont="1" applyFill="1" applyBorder="1"/>
    <xf numFmtId="0" fontId="24" fillId="0" borderId="15" xfId="0" applyFont="1" applyBorder="1" applyAlignment="1" applyProtection="1">
      <alignment horizontal="center"/>
      <protection locked="0"/>
    </xf>
    <xf numFmtId="0" fontId="17" fillId="0" borderId="15" xfId="0" applyFont="1" applyBorder="1" applyProtection="1"/>
    <xf numFmtId="164" fontId="23" fillId="0" borderId="15" xfId="1" applyFont="1" applyFill="1" applyBorder="1" applyAlignment="1">
      <alignment horizontal="center"/>
    </xf>
    <xf numFmtId="0" fontId="43" fillId="0" borderId="0" xfId="0" applyFont="1"/>
    <xf numFmtId="168" fontId="18" fillId="6" borderId="0" xfId="4" applyNumberFormat="1" applyFont="1" applyFill="1" applyBorder="1" applyAlignment="1">
      <protection locked="0"/>
    </xf>
    <xf numFmtId="168" fontId="44" fillId="6" borderId="3" xfId="6" applyNumberFormat="1" applyFont="1" applyFill="1" applyBorder="1" applyAlignment="1" applyProtection="1">
      <protection locked="0"/>
    </xf>
    <xf numFmtId="0" fontId="17" fillId="0" borderId="15" xfId="0" applyFont="1" applyBorder="1" applyAlignment="1">
      <alignment horizontal="center"/>
    </xf>
    <xf numFmtId="0" fontId="16" fillId="0" borderId="6" xfId="0" applyFont="1" applyBorder="1"/>
    <xf numFmtId="0" fontId="16" fillId="0" borderId="8" xfId="0" applyFont="1" applyBorder="1"/>
    <xf numFmtId="174" fontId="44" fillId="6" borderId="5" xfId="6" applyNumberFormat="1" applyFont="1" applyFill="1" applyBorder="1" applyAlignment="1" applyProtection="1">
      <protection locked="0"/>
    </xf>
    <xf numFmtId="164" fontId="23" fillId="19" borderId="15" xfId="1" applyFont="1" applyFill="1" applyBorder="1"/>
    <xf numFmtId="164" fontId="16" fillId="0" borderId="15" xfId="1" applyFont="1" applyFill="1" applyBorder="1"/>
    <xf numFmtId="0" fontId="6" fillId="12" borderId="0" xfId="0" applyFont="1" applyFill="1"/>
    <xf numFmtId="0" fontId="6" fillId="0" borderId="0" xfId="0" applyFont="1" applyAlignment="1">
      <alignment horizontal="center"/>
    </xf>
    <xf numFmtId="164" fontId="10" fillId="0" borderId="0" xfId="1" applyFont="1"/>
    <xf numFmtId="164" fontId="10" fillId="0" borderId="0" xfId="1" applyFont="1" applyBorder="1"/>
    <xf numFmtId="164" fontId="6" fillId="0" borderId="12" xfId="1" applyFont="1" applyBorder="1"/>
    <xf numFmtId="0" fontId="45" fillId="0" borderId="0" xfId="0" applyFont="1"/>
    <xf numFmtId="164" fontId="6" fillId="0" borderId="17" xfId="1" applyFont="1" applyBorder="1"/>
    <xf numFmtId="164" fontId="6" fillId="0" borderId="0" xfId="1" applyFont="1" applyBorder="1"/>
    <xf numFmtId="0" fontId="46" fillId="0" borderId="0" xfId="0" applyFont="1"/>
    <xf numFmtId="10" fontId="46" fillId="0" borderId="0" xfId="2" applyNumberFormat="1" applyFont="1" applyBorder="1"/>
    <xf numFmtId="0" fontId="40" fillId="0" borderId="0" xfId="0" applyFont="1"/>
    <xf numFmtId="0" fontId="5" fillId="0" borderId="31" xfId="0" applyFont="1" applyBorder="1"/>
    <xf numFmtId="10" fontId="5" fillId="0" borderId="0" xfId="2" applyNumberFormat="1" applyFont="1"/>
    <xf numFmtId="44" fontId="23" fillId="5" borderId="0" xfId="8" applyNumberFormat="1" applyFont="1" applyFill="1" applyBorder="1" applyAlignment="1" applyProtection="1">
      <protection locked="0"/>
    </xf>
    <xf numFmtId="44" fontId="5" fillId="0" borderId="0" xfId="0" applyNumberFormat="1" applyFont="1"/>
    <xf numFmtId="175" fontId="5" fillId="0" borderId="0" xfId="8" applyNumberFormat="1" applyFont="1"/>
    <xf numFmtId="176" fontId="5" fillId="0" borderId="0" xfId="2" applyNumberFormat="1" applyFont="1"/>
    <xf numFmtId="44" fontId="5" fillId="0" borderId="0" xfId="8" applyNumberFormat="1" applyFont="1"/>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wrapText="1"/>
    </xf>
    <xf numFmtId="0" fontId="17" fillId="12" borderId="0" xfId="0" applyFont="1" applyFill="1"/>
    <xf numFmtId="44" fontId="5" fillId="0" borderId="0" xfId="8" applyFont="1" applyAlignment="1">
      <alignment vertical="top"/>
    </xf>
    <xf numFmtId="44" fontId="5" fillId="0" borderId="0" xfId="0" applyNumberFormat="1" applyFont="1" applyAlignment="1">
      <alignment vertical="top"/>
    </xf>
    <xf numFmtId="0" fontId="16" fillId="3" borderId="0" xfId="0" applyFont="1" applyFill="1" applyAlignment="1">
      <alignment horizontal="center"/>
    </xf>
    <xf numFmtId="0" fontId="6" fillId="12" borderId="0" xfId="0" applyFont="1" applyFill="1" applyAlignment="1">
      <alignment horizontal="center"/>
    </xf>
    <xf numFmtId="0" fontId="22" fillId="0" borderId="0" xfId="0" applyFont="1" applyAlignment="1">
      <alignment horizontal="center"/>
    </xf>
    <xf numFmtId="0" fontId="5" fillId="0" borderId="0" xfId="0" applyFont="1" applyAlignment="1">
      <alignment horizontal="center" vertical="top"/>
    </xf>
    <xf numFmtId="44" fontId="5" fillId="0" borderId="0" xfId="8" applyNumberFormat="1" applyFont="1" applyAlignment="1">
      <alignment vertical="top"/>
    </xf>
    <xf numFmtId="0" fontId="6" fillId="0" borderId="0" xfId="0" applyFont="1" applyAlignment="1">
      <alignment horizontal="left" vertical="center"/>
    </xf>
    <xf numFmtId="164" fontId="10" fillId="5" borderId="0" xfId="4" applyFont="1" applyAlignment="1">
      <protection locked="0"/>
    </xf>
    <xf numFmtId="0" fontId="5" fillId="9" borderId="0" xfId="0" applyFont="1" applyFill="1"/>
    <xf numFmtId="0" fontId="22" fillId="9" borderId="0" xfId="0" applyFont="1" applyFill="1" applyAlignment="1">
      <alignment horizontal="left"/>
    </xf>
    <xf numFmtId="44" fontId="5" fillId="20" borderId="0" xfId="8" applyNumberFormat="1" applyFont="1" applyFill="1"/>
    <xf numFmtId="44" fontId="5" fillId="20" borderId="0" xfId="0" applyNumberFormat="1" applyFont="1" applyFill="1"/>
    <xf numFmtId="0" fontId="5" fillId="20" borderId="0" xfId="0" applyFont="1" applyFill="1" applyAlignment="1">
      <alignment horizontal="center"/>
    </xf>
    <xf numFmtId="175" fontId="5" fillId="20" borderId="0" xfId="8" applyNumberFormat="1" applyFont="1" applyFill="1"/>
    <xf numFmtId="175" fontId="5" fillId="20" borderId="0" xfId="0" applyNumberFormat="1" applyFont="1" applyFill="1"/>
    <xf numFmtId="175" fontId="5" fillId="0" borderId="0" xfId="0" applyNumberFormat="1" applyFont="1" applyAlignment="1">
      <alignment horizontal="right"/>
    </xf>
    <xf numFmtId="44" fontId="5" fillId="0" borderId="0" xfId="1" applyNumberFormat="1" applyFont="1"/>
    <xf numFmtId="0" fontId="5" fillId="0" borderId="32" xfId="0" applyFont="1" applyBorder="1"/>
    <xf numFmtId="0" fontId="5" fillId="0" borderId="32" xfId="0" applyFont="1" applyBorder="1" applyAlignment="1">
      <alignment horizontal="center"/>
    </xf>
    <xf numFmtId="2" fontId="15" fillId="0" borderId="0" xfId="1" applyNumberFormat="1" applyFont="1" applyAlignment="1">
      <alignment horizontal="left"/>
    </xf>
    <xf numFmtId="2" fontId="15" fillId="0" borderId="0" xfId="3" applyNumberFormat="1" applyFont="1" applyAlignment="1" applyProtection="1">
      <alignment horizontal="left"/>
    </xf>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5" fillId="0" borderId="18" xfId="0" applyFont="1" applyBorder="1"/>
    <xf numFmtId="0" fontId="5" fillId="0" borderId="19" xfId="0" applyFont="1" applyBorder="1"/>
    <xf numFmtId="0" fontId="5" fillId="0" borderId="33" xfId="0" applyFont="1" applyBorder="1"/>
    <xf numFmtId="0" fontId="5" fillId="0" borderId="26" xfId="0" applyFont="1" applyBorder="1" applyAlignment="1">
      <alignment horizontal="center"/>
    </xf>
    <xf numFmtId="0" fontId="5" fillId="0" borderId="28" xfId="0" applyFont="1" applyBorder="1" applyAlignment="1">
      <alignment horizontal="center"/>
    </xf>
    <xf numFmtId="0" fontId="6" fillId="0" borderId="24" xfId="0" applyFont="1" applyBorder="1"/>
    <xf numFmtId="0" fontId="6" fillId="0" borderId="26" xfId="0" applyFont="1" applyBorder="1"/>
    <xf numFmtId="164" fontId="6" fillId="0" borderId="26" xfId="4" applyFont="1" applyFill="1" applyBorder="1" applyAlignment="1">
      <alignment horizontal="left"/>
      <protection locked="0"/>
    </xf>
    <xf numFmtId="0" fontId="6" fillId="0" borderId="0" xfId="0" applyFont="1" applyBorder="1"/>
    <xf numFmtId="2" fontId="47" fillId="0" borderId="0" xfId="1" applyNumberFormat="1" applyFont="1" applyFill="1" applyAlignment="1">
      <alignment horizontal="left"/>
    </xf>
    <xf numFmtId="0" fontId="9" fillId="0" borderId="26" xfId="0" applyFont="1" applyBorder="1"/>
    <xf numFmtId="164" fontId="5" fillId="11" borderId="26" xfId="4" applyFont="1" applyFill="1" applyBorder="1" applyAlignment="1">
      <alignment horizontal="left" wrapText="1"/>
      <protection locked="0"/>
    </xf>
    <xf numFmtId="164" fontId="5" fillId="11" borderId="1" xfId="4" applyFont="1" applyFill="1" applyBorder="1" applyAlignment="1">
      <alignment horizontal="left" wrapText="1"/>
      <protection locked="0"/>
    </xf>
    <xf numFmtId="164" fontId="5" fillId="11" borderId="1" xfId="4" applyFont="1" applyFill="1" applyBorder="1" applyAlignment="1">
      <alignment horizontal="left"/>
      <protection locked="0"/>
    </xf>
    <xf numFmtId="164" fontId="5" fillId="11" borderId="6" xfId="4" applyFont="1" applyFill="1" applyBorder="1" applyAlignment="1">
      <alignment horizontal="left" wrapText="1"/>
      <protection locked="0"/>
    </xf>
    <xf numFmtId="164" fontId="5" fillId="11" borderId="21" xfId="4" applyFont="1" applyFill="1" applyBorder="1" applyAlignment="1">
      <alignment horizontal="left" wrapText="1"/>
      <protection locked="0"/>
    </xf>
    <xf numFmtId="164" fontId="5" fillId="11" borderId="36" xfId="4" applyFont="1" applyFill="1" applyBorder="1" applyAlignment="1">
      <alignment horizontal="left" wrapText="1"/>
      <protection locked="0"/>
    </xf>
    <xf numFmtId="164" fontId="5" fillId="11" borderId="37" xfId="4" applyFont="1" applyFill="1" applyBorder="1" applyAlignment="1">
      <alignment horizontal="left" wrapText="1"/>
      <protection locked="0"/>
    </xf>
    <xf numFmtId="177" fontId="16" fillId="0" borderId="0" xfId="1" applyNumberFormat="1" applyFont="1" applyFill="1"/>
    <xf numFmtId="178" fontId="16" fillId="0" borderId="0" xfId="0" applyNumberFormat="1" applyFont="1"/>
    <xf numFmtId="43" fontId="16" fillId="0" borderId="0" xfId="0" applyNumberFormat="1" applyFont="1"/>
    <xf numFmtId="177" fontId="17" fillId="0" borderId="12" xfId="1" applyNumberFormat="1" applyFont="1" applyFill="1" applyBorder="1"/>
    <xf numFmtId="164" fontId="5" fillId="11" borderId="0" xfId="4" applyFont="1" applyFill="1" applyBorder="1" applyAlignment="1">
      <alignment horizontal="left" wrapText="1"/>
      <protection locked="0"/>
    </xf>
    <xf numFmtId="0" fontId="17" fillId="0" borderId="0" xfId="0" applyFont="1" applyBorder="1" applyAlignment="1">
      <alignment horizontal="center"/>
    </xf>
    <xf numFmtId="169" fontId="39" fillId="0" borderId="26" xfId="1" applyNumberFormat="1" applyFont="1" applyFill="1" applyBorder="1"/>
    <xf numFmtId="169" fontId="39" fillId="0" borderId="27" xfId="1" applyNumberFormat="1" applyFont="1" applyFill="1" applyBorder="1"/>
    <xf numFmtId="175" fontId="6" fillId="0" borderId="0" xfId="8" applyNumberFormat="1" applyFont="1" applyAlignment="1">
      <alignment horizontal="left"/>
    </xf>
    <xf numFmtId="175" fontId="8" fillId="0" borderId="0" xfId="8" quotePrefix="1" applyNumberFormat="1" applyFont="1" applyAlignment="1">
      <alignment vertical="center"/>
    </xf>
    <xf numFmtId="175" fontId="5" fillId="0" borderId="0" xfId="8" applyNumberFormat="1" applyFont="1" applyBorder="1"/>
    <xf numFmtId="175" fontId="6" fillId="0" borderId="34" xfId="8" applyNumberFormat="1" applyFont="1" applyBorder="1" applyAlignment="1">
      <alignment horizontal="center"/>
    </xf>
    <xf numFmtId="175" fontId="5" fillId="0" borderId="6" xfId="8" applyNumberFormat="1" applyFont="1" applyBorder="1" applyAlignment="1">
      <alignment horizontal="center"/>
    </xf>
    <xf numFmtId="175" fontId="5" fillId="0" borderId="7" xfId="8" applyNumberFormat="1" applyFont="1" applyBorder="1" applyAlignment="1">
      <alignment horizontal="center"/>
    </xf>
    <xf numFmtId="175" fontId="5" fillId="0" borderId="0" xfId="8" applyNumberFormat="1" applyFont="1" applyBorder="1" applyAlignment="1">
      <alignment horizontal="center"/>
    </xf>
    <xf numFmtId="175" fontId="5" fillId="0" borderId="1" xfId="8" applyNumberFormat="1" applyFont="1" applyBorder="1" applyAlignment="1">
      <alignment horizontal="center"/>
    </xf>
    <xf numFmtId="175" fontId="5" fillId="0" borderId="1" xfId="8" applyNumberFormat="1" applyFont="1" applyBorder="1" applyAlignment="1">
      <alignment horizontal="left"/>
    </xf>
    <xf numFmtId="175" fontId="5" fillId="0" borderId="8" xfId="8" applyNumberFormat="1" applyFont="1" applyBorder="1" applyAlignment="1">
      <alignment horizontal="center"/>
    </xf>
    <xf numFmtId="175" fontId="5" fillId="0" borderId="11" xfId="8" applyNumberFormat="1" applyFont="1" applyBorder="1" applyAlignment="1">
      <alignment horizontal="center"/>
    </xf>
    <xf numFmtId="175" fontId="5" fillId="0" borderId="9" xfId="8" applyNumberFormat="1" applyFont="1" applyBorder="1" applyAlignment="1">
      <alignment horizontal="center"/>
    </xf>
    <xf numFmtId="175" fontId="5" fillId="0" borderId="10" xfId="8" applyNumberFormat="1" applyFont="1" applyBorder="1" applyAlignment="1">
      <alignment horizontal="center"/>
    </xf>
    <xf numFmtId="175" fontId="5" fillId="0" borderId="2" xfId="8" applyNumberFormat="1" applyFont="1" applyBorder="1" applyAlignment="1">
      <alignment horizontal="center"/>
    </xf>
    <xf numFmtId="175" fontId="5" fillId="0" borderId="3" xfId="8" applyNumberFormat="1" applyFont="1" applyBorder="1" applyAlignment="1">
      <alignment horizontal="center"/>
    </xf>
    <xf numFmtId="175" fontId="5" fillId="0" borderId="2" xfId="8" applyNumberFormat="1" applyFont="1" applyBorder="1"/>
    <xf numFmtId="175" fontId="5" fillId="0" borderId="3" xfId="8" applyNumberFormat="1" applyFont="1" applyBorder="1"/>
    <xf numFmtId="175" fontId="5" fillId="0" borderId="4" xfId="8" applyNumberFormat="1" applyFont="1" applyBorder="1" applyAlignment="1">
      <alignment horizontal="center"/>
    </xf>
    <xf numFmtId="175" fontId="5" fillId="0" borderId="7" xfId="8" applyNumberFormat="1" applyFont="1" applyBorder="1"/>
    <xf numFmtId="175" fontId="5" fillId="11" borderId="0" xfId="8" applyNumberFormat="1" applyFont="1" applyFill="1" applyBorder="1"/>
    <xf numFmtId="175" fontId="5" fillId="11" borderId="7" xfId="8" applyNumberFormat="1" applyFont="1" applyFill="1" applyBorder="1"/>
    <xf numFmtId="175" fontId="5" fillId="11" borderId="1" xfId="8" applyNumberFormat="1" applyFont="1" applyFill="1" applyBorder="1"/>
    <xf numFmtId="175" fontId="5" fillId="11" borderId="0" xfId="8" applyNumberFormat="1" applyFont="1" applyFill="1" applyBorder="1" applyAlignment="1">
      <alignment horizontal="center"/>
    </xf>
    <xf numFmtId="175" fontId="5" fillId="11" borderId="1" xfId="8" applyNumberFormat="1" applyFont="1" applyFill="1" applyBorder="1" applyAlignment="1">
      <alignment horizontal="center"/>
    </xf>
    <xf numFmtId="175" fontId="5" fillId="11" borderId="7" xfId="8" applyNumberFormat="1" applyFont="1" applyFill="1" applyBorder="1" applyAlignment="1">
      <alignment horizontal="center"/>
    </xf>
    <xf numFmtId="175" fontId="5" fillId="0" borderId="5" xfId="8" applyNumberFormat="1" applyFont="1" applyBorder="1"/>
    <xf numFmtId="175" fontId="5" fillId="0" borderId="0" xfId="8" applyNumberFormat="1" applyFont="1" applyFill="1" applyBorder="1"/>
    <xf numFmtId="175" fontId="5" fillId="0" borderId="1" xfId="8" applyNumberFormat="1" applyFont="1" applyFill="1" applyBorder="1"/>
    <xf numFmtId="175" fontId="5" fillId="11" borderId="0" xfId="8" applyNumberFormat="1" applyFont="1" applyFill="1" applyBorder="1" applyAlignment="1">
      <alignment horizontal="right"/>
    </xf>
    <xf numFmtId="175" fontId="5" fillId="11" borderId="1" xfId="8" applyNumberFormat="1" applyFont="1" applyFill="1" applyBorder="1" applyAlignment="1">
      <alignment horizontal="right"/>
    </xf>
    <xf numFmtId="175" fontId="5" fillId="11" borderId="7" xfId="8" applyNumberFormat="1" applyFont="1" applyFill="1" applyBorder="1" applyAlignment="1">
      <alignment horizontal="right"/>
    </xf>
    <xf numFmtId="175" fontId="5" fillId="11" borderId="27" xfId="8" applyNumberFormat="1" applyFont="1" applyFill="1" applyBorder="1" applyAlignment="1">
      <alignment horizontal="right"/>
    </xf>
    <xf numFmtId="175" fontId="5" fillId="0" borderId="7" xfId="8" applyNumberFormat="1" applyFont="1" applyFill="1" applyBorder="1" applyAlignment="1">
      <alignment horizontal="right"/>
    </xf>
    <xf numFmtId="175" fontId="5" fillId="0" borderId="0" xfId="8" applyNumberFormat="1" applyFont="1" applyFill="1" applyBorder="1" applyAlignment="1">
      <alignment horizontal="right"/>
    </xf>
    <xf numFmtId="175" fontId="5" fillId="0" borderId="1" xfId="8" applyNumberFormat="1" applyFont="1" applyFill="1" applyBorder="1" applyAlignment="1">
      <alignment horizontal="right"/>
    </xf>
    <xf numFmtId="175" fontId="5" fillId="0" borderId="27" xfId="8" applyNumberFormat="1" applyFont="1" applyFill="1" applyBorder="1" applyAlignment="1">
      <alignment horizontal="right"/>
    </xf>
    <xf numFmtId="175" fontId="5" fillId="0" borderId="5" xfId="8" applyNumberFormat="1" applyFont="1" applyFill="1" applyBorder="1" applyAlignment="1">
      <alignment horizontal="right"/>
    </xf>
    <xf numFmtId="175" fontId="5" fillId="0" borderId="2" xfId="8" applyNumberFormat="1" applyFont="1" applyFill="1" applyBorder="1" applyAlignment="1">
      <alignment horizontal="right"/>
    </xf>
    <xf numFmtId="175" fontId="5" fillId="0" borderId="3" xfId="8" applyNumberFormat="1" applyFont="1" applyFill="1" applyBorder="1" applyAlignment="1">
      <alignment horizontal="right"/>
    </xf>
    <xf numFmtId="175" fontId="5" fillId="0" borderId="4" xfId="8" applyNumberFormat="1" applyFont="1" applyFill="1" applyBorder="1" applyAlignment="1">
      <alignment horizontal="right"/>
    </xf>
    <xf numFmtId="175" fontId="5" fillId="0" borderId="25" xfId="8" applyNumberFormat="1" applyFont="1" applyFill="1" applyBorder="1" applyAlignment="1">
      <alignment horizontal="right"/>
    </xf>
    <xf numFmtId="175" fontId="5" fillId="0" borderId="6" xfId="8" applyNumberFormat="1" applyFont="1" applyFill="1" applyBorder="1" applyAlignment="1">
      <alignment horizontal="right"/>
    </xf>
    <xf numFmtId="175" fontId="5" fillId="11" borderId="27" xfId="8" applyNumberFormat="1" applyFont="1" applyFill="1" applyBorder="1"/>
    <xf numFmtId="175" fontId="5" fillId="11" borderId="38" xfId="8" applyNumberFormat="1" applyFont="1" applyFill="1" applyBorder="1"/>
    <xf numFmtId="175" fontId="5" fillId="11" borderId="22" xfId="8" applyNumberFormat="1" applyFont="1" applyFill="1" applyBorder="1" applyAlignment="1">
      <alignment horizontal="right"/>
    </xf>
    <xf numFmtId="175" fontId="5" fillId="11" borderId="36" xfId="8" applyNumberFormat="1" applyFont="1" applyFill="1" applyBorder="1" applyAlignment="1">
      <alignment horizontal="right"/>
    </xf>
    <xf numFmtId="175" fontId="5" fillId="11" borderId="38" xfId="8" applyNumberFormat="1" applyFont="1" applyFill="1" applyBorder="1" applyAlignment="1">
      <alignment horizontal="right"/>
    </xf>
    <xf numFmtId="175" fontId="5" fillId="11" borderId="23" xfId="8" applyNumberFormat="1" applyFont="1" applyFill="1" applyBorder="1" applyAlignment="1">
      <alignment horizontal="right"/>
    </xf>
    <xf numFmtId="44" fontId="16" fillId="0" borderId="0" xfId="0" applyNumberFormat="1" applyFont="1"/>
    <xf numFmtId="44" fontId="16" fillId="8" borderId="0" xfId="0" applyNumberFormat="1" applyFont="1" applyFill="1"/>
    <xf numFmtId="44" fontId="17" fillId="8" borderId="12" xfId="0" applyNumberFormat="1" applyFont="1" applyFill="1" applyBorder="1"/>
    <xf numFmtId="164" fontId="17" fillId="9" borderId="0" xfId="1" applyFont="1" applyFill="1" applyBorder="1"/>
    <xf numFmtId="177" fontId="5" fillId="0" borderId="0" xfId="0" applyNumberFormat="1" applyFont="1"/>
    <xf numFmtId="176" fontId="16" fillId="0" borderId="0" xfId="2" applyNumberFormat="1" applyFont="1"/>
    <xf numFmtId="167" fontId="5" fillId="0" borderId="0" xfId="0" applyNumberFormat="1" applyFont="1"/>
    <xf numFmtId="44" fontId="5" fillId="0" borderId="0" xfId="8" applyNumberFormat="1" applyFont="1" applyFill="1"/>
    <xf numFmtId="175" fontId="5" fillId="0" borderId="0" xfId="8" applyNumberFormat="1" applyFont="1" applyFill="1"/>
    <xf numFmtId="175" fontId="5" fillId="0" borderId="0" xfId="0" applyNumberFormat="1" applyFont="1" applyFill="1"/>
    <xf numFmtId="175" fontId="23" fillId="5" borderId="0" xfId="8" applyNumberFormat="1" applyFont="1" applyFill="1" applyBorder="1" applyAlignment="1" applyProtection="1">
      <protection locked="0"/>
    </xf>
    <xf numFmtId="0" fontId="46" fillId="0" borderId="0" xfId="0" applyFont="1" applyAlignment="1">
      <alignment wrapText="1"/>
    </xf>
    <xf numFmtId="177" fontId="5" fillId="0" borderId="0" xfId="1" applyNumberFormat="1" applyFont="1"/>
    <xf numFmtId="179" fontId="5" fillId="0" borderId="0" xfId="1" applyNumberFormat="1" applyFont="1"/>
    <xf numFmtId="173" fontId="2" fillId="9" borderId="26" xfId="1" applyNumberFormat="1" applyFont="1" applyFill="1" applyBorder="1"/>
    <xf numFmtId="173" fontId="2" fillId="0" borderId="0" xfId="1" applyNumberFormat="1" applyFont="1" applyBorder="1"/>
    <xf numFmtId="173" fontId="2" fillId="13" borderId="27" xfId="1" applyNumberFormat="1" applyFont="1" applyFill="1" applyBorder="1"/>
    <xf numFmtId="164" fontId="2" fillId="9" borderId="26" xfId="1" applyNumberFormat="1" applyFont="1" applyFill="1" applyBorder="1"/>
    <xf numFmtId="164" fontId="2" fillId="0" borderId="0" xfId="1" applyNumberFormat="1" applyFont="1" applyBorder="1"/>
    <xf numFmtId="164" fontId="2" fillId="13" borderId="27" xfId="1" applyNumberFormat="1" applyFont="1" applyFill="1" applyBorder="1"/>
    <xf numFmtId="169" fontId="18" fillId="5" borderId="0" xfId="1" applyNumberFormat="1" applyFont="1" applyFill="1" applyBorder="1" applyAlignment="1"/>
    <xf numFmtId="169" fontId="18" fillId="5" borderId="26" xfId="1" applyNumberFormat="1" applyFont="1" applyFill="1" applyBorder="1" applyAlignment="1"/>
    <xf numFmtId="180" fontId="39" fillId="0" borderId="26" xfId="1" applyNumberFormat="1" applyFont="1" applyFill="1" applyBorder="1"/>
    <xf numFmtId="180" fontId="39" fillId="0" borderId="0" xfId="1" applyNumberFormat="1" applyFont="1" applyFill="1" applyBorder="1"/>
    <xf numFmtId="180" fontId="39" fillId="0" borderId="27" xfId="1" applyNumberFormat="1" applyFont="1" applyFill="1" applyBorder="1"/>
    <xf numFmtId="180" fontId="39" fillId="0" borderId="28" xfId="1" applyNumberFormat="1" applyFont="1" applyFill="1" applyBorder="1"/>
    <xf numFmtId="180" fontId="39" fillId="0" borderId="9" xfId="1" applyNumberFormat="1" applyFont="1" applyFill="1" applyBorder="1"/>
    <xf numFmtId="180" fontId="39" fillId="0" borderId="29" xfId="1" applyNumberFormat="1" applyFont="1" applyFill="1" applyBorder="1"/>
    <xf numFmtId="180" fontId="16" fillId="0" borderId="0" xfId="0" applyNumberFormat="1" applyFont="1"/>
    <xf numFmtId="180" fontId="16" fillId="0" borderId="0" xfId="0" applyNumberFormat="1" applyFont="1" applyFill="1"/>
    <xf numFmtId="180" fontId="39" fillId="0" borderId="24" xfId="1" applyNumberFormat="1" applyFont="1" applyFill="1" applyBorder="1"/>
    <xf numFmtId="180" fontId="39" fillId="0" borderId="3" xfId="1" applyNumberFormat="1" applyFont="1" applyFill="1" applyBorder="1"/>
    <xf numFmtId="180" fontId="39" fillId="0" borderId="25" xfId="1" applyNumberFormat="1" applyFont="1" applyFill="1" applyBorder="1"/>
    <xf numFmtId="169" fontId="16" fillId="0" borderId="0" xfId="1" applyNumberFormat="1" applyFont="1" applyFill="1"/>
    <xf numFmtId="169" fontId="16" fillId="3" borderId="0" xfId="1" applyNumberFormat="1" applyFont="1" applyFill="1"/>
    <xf numFmtId="169" fontId="40" fillId="0" borderId="21" xfId="1" applyNumberFormat="1" applyFont="1" applyFill="1" applyBorder="1" applyAlignment="1">
      <alignment horizontal="center"/>
    </xf>
    <xf numFmtId="169" fontId="40" fillId="0" borderId="22" xfId="1" applyNumberFormat="1" applyFont="1" applyFill="1" applyBorder="1" applyAlignment="1">
      <alignment horizontal="center"/>
    </xf>
    <xf numFmtId="169" fontId="40" fillId="0" borderId="23" xfId="1" applyNumberFormat="1" applyFont="1" applyFill="1" applyBorder="1" applyAlignment="1">
      <alignment horizontal="center"/>
    </xf>
    <xf numFmtId="9" fontId="16" fillId="0" borderId="15" xfId="2" applyFont="1" applyBorder="1" applyAlignment="1">
      <alignment horizontal="center"/>
    </xf>
    <xf numFmtId="0" fontId="17" fillId="0" borderId="0" xfId="0" applyFont="1" applyBorder="1" applyAlignment="1">
      <alignment horizontal="center"/>
    </xf>
    <xf numFmtId="175" fontId="5" fillId="0" borderId="7" xfId="8" applyNumberFormat="1" applyFont="1" applyBorder="1" applyAlignment="1">
      <alignment horizontal="center"/>
    </xf>
    <xf numFmtId="175" fontId="5" fillId="0" borderId="0" xfId="8" applyNumberFormat="1" applyFont="1" applyBorder="1" applyAlignment="1">
      <alignment horizontal="center"/>
    </xf>
    <xf numFmtId="175" fontId="5" fillId="0" borderId="1" xfId="8" applyNumberFormat="1" applyFont="1" applyBorder="1" applyAlignment="1">
      <alignment horizontal="center"/>
    </xf>
    <xf numFmtId="176" fontId="16" fillId="0" borderId="0" xfId="0" applyNumberFormat="1" applyFont="1"/>
    <xf numFmtId="164" fontId="16" fillId="0" borderId="7" xfId="0" applyNumberFormat="1" applyFont="1" applyBorder="1"/>
    <xf numFmtId="176" fontId="16" fillId="0" borderId="7" xfId="2" applyNumberFormat="1" applyFont="1" applyBorder="1"/>
    <xf numFmtId="169" fontId="16" fillId="6" borderId="7" xfId="1" applyNumberFormat="1" applyFont="1" applyFill="1" applyBorder="1" applyAlignment="1">
      <alignment horizontal="center"/>
    </xf>
    <xf numFmtId="169" fontId="16" fillId="6" borderId="0" xfId="1" applyNumberFormat="1" applyFont="1" applyFill="1"/>
    <xf numFmtId="169" fontId="16" fillId="6" borderId="1" xfId="1" applyNumberFormat="1" applyFont="1" applyFill="1" applyBorder="1"/>
    <xf numFmtId="0" fontId="17" fillId="0" borderId="0" xfId="0" applyFont="1" applyBorder="1" applyAlignment="1">
      <alignment horizontal="left"/>
    </xf>
    <xf numFmtId="0" fontId="17" fillId="0" borderId="9" xfId="0" applyFont="1" applyBorder="1" applyAlignment="1">
      <alignment horizontal="center"/>
    </xf>
    <xf numFmtId="168" fontId="44" fillId="6" borderId="5" xfId="2" applyNumberFormat="1" applyFont="1" applyFill="1" applyBorder="1" applyAlignment="1" applyProtection="1">
      <protection locked="0"/>
    </xf>
    <xf numFmtId="175" fontId="5" fillId="0" borderId="7" xfId="8" applyNumberFormat="1" applyFont="1" applyBorder="1" applyAlignment="1">
      <alignment horizontal="center"/>
    </xf>
    <xf numFmtId="175" fontId="5" fillId="0" borderId="0" xfId="8" applyNumberFormat="1" applyFont="1" applyBorder="1" applyAlignment="1">
      <alignment horizontal="center"/>
    </xf>
    <xf numFmtId="175" fontId="5" fillId="0" borderId="1" xfId="8" applyNumberFormat="1" applyFont="1" applyBorder="1" applyAlignment="1">
      <alignment horizontal="center"/>
    </xf>
    <xf numFmtId="175" fontId="5" fillId="0" borderId="27" xfId="8" applyNumberFormat="1" applyFont="1" applyBorder="1" applyAlignment="1">
      <alignment horizontal="center"/>
    </xf>
    <xf numFmtId="181" fontId="2" fillId="9" borderId="26" xfId="1" applyNumberFormat="1" applyFont="1" applyFill="1" applyBorder="1"/>
    <xf numFmtId="181" fontId="2" fillId="0" borderId="0" xfId="1" applyNumberFormat="1" applyFont="1" applyBorder="1"/>
    <xf numFmtId="181" fontId="2" fillId="13" borderId="27" xfId="1" applyNumberFormat="1" applyFont="1" applyFill="1" applyBorder="1"/>
    <xf numFmtId="164" fontId="5" fillId="0" borderId="26" xfId="4" applyFont="1" applyFill="1" applyBorder="1" applyAlignment="1">
      <alignment horizontal="left" wrapText="1"/>
      <protection locked="0"/>
    </xf>
    <xf numFmtId="164" fontId="5" fillId="0" borderId="1" xfId="4" applyFont="1" applyFill="1" applyBorder="1" applyAlignment="1">
      <alignment horizontal="left" wrapText="1"/>
      <protection locked="0"/>
    </xf>
    <xf numFmtId="175" fontId="5" fillId="0" borderId="7" xfId="8" applyNumberFormat="1" applyFont="1" applyFill="1" applyBorder="1"/>
    <xf numFmtId="175" fontId="5" fillId="0" borderId="0" xfId="8" applyNumberFormat="1" applyFont="1" applyFill="1" applyBorder="1" applyAlignment="1">
      <alignment horizontal="center"/>
    </xf>
    <xf numFmtId="175" fontId="5" fillId="0" borderId="1" xfId="8" applyNumberFormat="1" applyFont="1" applyFill="1" applyBorder="1" applyAlignment="1">
      <alignment horizontal="center"/>
    </xf>
    <xf numFmtId="175" fontId="5" fillId="0" borderId="7" xfId="8" applyNumberFormat="1" applyFont="1" applyFill="1" applyBorder="1" applyAlignment="1">
      <alignment horizontal="center"/>
    </xf>
    <xf numFmtId="175" fontId="5" fillId="0" borderId="11" xfId="8" applyNumberFormat="1" applyFont="1" applyFill="1" applyBorder="1"/>
    <xf numFmtId="175" fontId="5" fillId="0" borderId="9" xfId="8" applyNumberFormat="1" applyFont="1" applyFill="1" applyBorder="1"/>
    <xf numFmtId="164" fontId="5" fillId="0" borderId="28" xfId="4" applyFont="1" applyFill="1" applyBorder="1" applyAlignment="1">
      <alignment horizontal="left" wrapText="1"/>
      <protection locked="0"/>
    </xf>
    <xf numFmtId="164" fontId="5" fillId="0" borderId="10" xfId="4" applyFont="1" applyFill="1" applyBorder="1" applyAlignment="1">
      <alignment horizontal="left" wrapText="1"/>
      <protection locked="0"/>
    </xf>
    <xf numFmtId="164" fontId="5" fillId="0" borderId="10" xfId="4" applyFont="1" applyFill="1" applyBorder="1" applyAlignment="1">
      <alignment horizontal="left"/>
      <protection locked="0"/>
    </xf>
    <xf numFmtId="175" fontId="5" fillId="0" borderId="9" xfId="8" applyNumberFormat="1" applyFont="1" applyFill="1" applyBorder="1" applyAlignment="1">
      <alignment horizontal="right"/>
    </xf>
    <xf numFmtId="175" fontId="5" fillId="0" borderId="11" xfId="8" applyNumberFormat="1" applyFont="1" applyFill="1" applyBorder="1" applyAlignment="1">
      <alignment horizontal="right"/>
    </xf>
    <xf numFmtId="175" fontId="5" fillId="0" borderId="29" xfId="8" applyNumberFormat="1" applyFont="1" applyFill="1" applyBorder="1" applyAlignment="1">
      <alignment horizontal="right"/>
    </xf>
    <xf numFmtId="164" fontId="5" fillId="0" borderId="6" xfId="4" applyFont="1" applyFill="1" applyBorder="1" applyAlignment="1">
      <alignment horizontal="left" wrapText="1"/>
      <protection locked="0"/>
    </xf>
    <xf numFmtId="175" fontId="5" fillId="0" borderId="27" xfId="8" applyNumberFormat="1" applyFont="1" applyFill="1" applyBorder="1"/>
    <xf numFmtId="164" fontId="5" fillId="0" borderId="0" xfId="4" applyFont="1" applyFill="1" applyBorder="1" applyAlignment="1">
      <alignment horizontal="left" wrapText="1"/>
      <protection locked="0"/>
    </xf>
    <xf numFmtId="164" fontId="5" fillId="0" borderId="37" xfId="4" applyFont="1" applyFill="1" applyBorder="1" applyAlignment="1">
      <alignment horizontal="left" wrapText="1"/>
      <protection locked="0"/>
    </xf>
    <xf numFmtId="175" fontId="5" fillId="0" borderId="0" xfId="8" applyNumberFormat="1" applyFont="1" applyBorder="1" applyAlignment="1">
      <alignment horizontal="left"/>
    </xf>
    <xf numFmtId="175" fontId="5" fillId="0" borderId="38" xfId="8" applyNumberFormat="1" applyFont="1" applyFill="1" applyBorder="1" applyAlignment="1">
      <alignment horizontal="right"/>
    </xf>
    <xf numFmtId="175" fontId="5" fillId="0" borderId="22" xfId="8" applyNumberFormat="1" applyFont="1" applyFill="1" applyBorder="1" applyAlignment="1">
      <alignment horizontal="right"/>
    </xf>
    <xf numFmtId="175" fontId="5" fillId="0" borderId="36" xfId="8" applyNumberFormat="1" applyFont="1" applyFill="1" applyBorder="1" applyAlignment="1">
      <alignment horizontal="right"/>
    </xf>
    <xf numFmtId="175" fontId="5" fillId="0" borderId="25" xfId="8" applyNumberFormat="1" applyFont="1" applyBorder="1"/>
    <xf numFmtId="175" fontId="5" fillId="0" borderId="27" xfId="8" applyNumberFormat="1" applyFont="1" applyBorder="1"/>
    <xf numFmtId="175" fontId="5" fillId="0" borderId="29" xfId="8" applyNumberFormat="1" applyFont="1" applyFill="1" applyBorder="1"/>
    <xf numFmtId="175" fontId="5" fillId="11" borderId="22" xfId="8" applyNumberFormat="1" applyFont="1" applyFill="1" applyBorder="1"/>
    <xf numFmtId="10" fontId="16" fillId="0" borderId="0" xfId="2" applyNumberFormat="1" applyFont="1"/>
    <xf numFmtId="164" fontId="5" fillId="0" borderId="21" xfId="4" applyFont="1" applyFill="1" applyBorder="1" applyAlignment="1">
      <alignment horizontal="left" wrapText="1"/>
      <protection locked="0"/>
    </xf>
    <xf numFmtId="164" fontId="5" fillId="0" borderId="22" xfId="4" applyFont="1" applyFill="1" applyBorder="1" applyAlignment="1">
      <alignment horizontal="left" wrapText="1"/>
      <protection locked="0"/>
    </xf>
    <xf numFmtId="175" fontId="5" fillId="0" borderId="22" xfId="8" applyNumberFormat="1" applyFont="1" applyFill="1" applyBorder="1"/>
    <xf numFmtId="175" fontId="5" fillId="0" borderId="36" xfId="8" applyNumberFormat="1" applyFont="1" applyFill="1" applyBorder="1"/>
    <xf numFmtId="175" fontId="5" fillId="0" borderId="38" xfId="8" applyNumberFormat="1" applyFont="1" applyFill="1" applyBorder="1"/>
    <xf numFmtId="175" fontId="5" fillId="0" borderId="23" xfId="8" applyNumberFormat="1" applyFont="1" applyFill="1" applyBorder="1" applyAlignment="1">
      <alignment horizontal="right"/>
    </xf>
    <xf numFmtId="164" fontId="6" fillId="0" borderId="12" xfId="0" applyNumberFormat="1" applyFont="1" applyBorder="1"/>
    <xf numFmtId="176" fontId="6" fillId="0" borderId="12" xfId="2" applyNumberFormat="1" applyFont="1" applyBorder="1"/>
    <xf numFmtId="177" fontId="16" fillId="0" borderId="0" xfId="1" applyNumberFormat="1" applyFont="1"/>
    <xf numFmtId="173" fontId="16" fillId="0" borderId="0" xfId="1" applyNumberFormat="1" applyFont="1"/>
    <xf numFmtId="173" fontId="17" fillId="0" borderId="12" xfId="1" applyNumberFormat="1" applyFont="1" applyFill="1" applyBorder="1"/>
    <xf numFmtId="10" fontId="20" fillId="0" borderId="0" xfId="2" quotePrefix="1" applyNumberFormat="1" applyFont="1" applyAlignment="1">
      <alignment vertical="center"/>
    </xf>
    <xf numFmtId="10" fontId="17" fillId="0" borderId="0" xfId="2" applyNumberFormat="1" applyFont="1"/>
    <xf numFmtId="41" fontId="5" fillId="0" borderId="0" xfId="0" applyNumberFormat="1" applyFont="1"/>
    <xf numFmtId="0" fontId="6" fillId="0" borderId="0" xfId="0" applyFont="1" applyAlignment="1">
      <alignment horizontal="center" wrapText="1"/>
    </xf>
    <xf numFmtId="176" fontId="6" fillId="0" borderId="0" xfId="2" applyNumberFormat="1" applyFont="1" applyBorder="1"/>
    <xf numFmtId="173" fontId="2" fillId="9" borderId="28" xfId="1" applyNumberFormat="1" applyFont="1" applyFill="1" applyBorder="1"/>
    <xf numFmtId="173" fontId="2" fillId="0" borderId="9" xfId="1" applyNumberFormat="1" applyFont="1" applyBorder="1"/>
    <xf numFmtId="173" fontId="2" fillId="13" borderId="29" xfId="1" applyNumberFormat="1" applyFont="1" applyFill="1" applyBorder="1"/>
    <xf numFmtId="0" fontId="30" fillId="0" borderId="0" xfId="5" applyFont="1" applyBorder="1"/>
    <xf numFmtId="170" fontId="2" fillId="0" borderId="0" xfId="5" applyNumberFormat="1" applyBorder="1"/>
    <xf numFmtId="0" fontId="29" fillId="0" borderId="21" xfId="5" applyFont="1" applyBorder="1"/>
    <xf numFmtId="0" fontId="29" fillId="0" borderId="22" xfId="5" applyFont="1" applyBorder="1"/>
    <xf numFmtId="0" fontId="35" fillId="9" borderId="3" xfId="5" applyFont="1" applyFill="1" applyBorder="1"/>
    <xf numFmtId="165" fontId="2" fillId="0" borderId="0" xfId="5" applyNumberFormat="1" applyBorder="1"/>
    <xf numFmtId="169" fontId="35" fillId="9" borderId="24" xfId="1" applyNumberFormat="1" applyFont="1" applyFill="1" applyBorder="1"/>
    <xf numFmtId="164" fontId="16" fillId="0" borderId="0" xfId="4" applyFont="1" applyFill="1" applyBorder="1" applyAlignment="1">
      <alignment horizontal="right"/>
      <protection locked="0"/>
    </xf>
    <xf numFmtId="173" fontId="2" fillId="9" borderId="0" xfId="5" applyNumberFormat="1" applyFill="1" applyBorder="1"/>
    <xf numFmtId="173" fontId="2" fillId="0" borderId="0" xfId="5" applyNumberFormat="1"/>
    <xf numFmtId="173" fontId="2" fillId="13" borderId="27" xfId="5" applyNumberFormat="1" applyFill="1" applyBorder="1"/>
    <xf numFmtId="173" fontId="2" fillId="9" borderId="26" xfId="5" applyNumberFormat="1" applyFill="1" applyBorder="1"/>
    <xf numFmtId="173" fontId="2" fillId="9" borderId="0" xfId="5" applyNumberFormat="1" applyFill="1"/>
    <xf numFmtId="175" fontId="5" fillId="0" borderId="7" xfId="8" applyNumberFormat="1" applyFont="1" applyBorder="1" applyAlignment="1">
      <alignment horizontal="center"/>
    </xf>
    <xf numFmtId="0" fontId="21" fillId="3" borderId="0" xfId="0" applyFont="1" applyFill="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xf>
    <xf numFmtId="0" fontId="17" fillId="21" borderId="2" xfId="0" applyFont="1" applyFill="1" applyBorder="1" applyAlignment="1">
      <alignment horizontal="center"/>
    </xf>
    <xf numFmtId="0" fontId="17" fillId="21" borderId="3" xfId="0" applyFont="1" applyFill="1" applyBorder="1" applyAlignment="1">
      <alignment horizontal="center"/>
    </xf>
    <xf numFmtId="0" fontId="17" fillId="21" borderId="4" xfId="0" applyFont="1" applyFill="1" applyBorder="1" applyAlignment="1">
      <alignment horizontal="center"/>
    </xf>
    <xf numFmtId="175" fontId="5" fillId="0" borderId="7" xfId="8" applyNumberFormat="1" applyFont="1" applyBorder="1" applyAlignment="1">
      <alignment horizontal="center"/>
    </xf>
    <xf numFmtId="175" fontId="5" fillId="0" borderId="0" xfId="8" applyNumberFormat="1" applyFont="1" applyBorder="1" applyAlignment="1">
      <alignment horizontal="center"/>
    </xf>
    <xf numFmtId="175" fontId="5" fillId="0" borderId="1" xfId="8" applyNumberFormat="1" applyFont="1" applyBorder="1" applyAlignment="1">
      <alignment horizontal="center"/>
    </xf>
    <xf numFmtId="175" fontId="5" fillId="0" borderId="7" xfId="8" applyNumberFormat="1" applyFont="1" applyBorder="1" applyAlignment="1">
      <alignment horizontal="center" vertical="center"/>
    </xf>
    <xf numFmtId="175" fontId="5" fillId="0" borderId="1" xfId="8" applyNumberFormat="1" applyFont="1" applyBorder="1" applyAlignment="1">
      <alignment horizontal="center" vertical="center"/>
    </xf>
    <xf numFmtId="0" fontId="21" fillId="3" borderId="1" xfId="0" applyFont="1" applyFill="1" applyBorder="1" applyAlignment="1">
      <alignment horizontal="center" vertical="center"/>
    </xf>
    <xf numFmtId="0" fontId="21" fillId="4" borderId="0" xfId="0" applyFont="1" applyFill="1" applyAlignment="1">
      <alignment horizontal="center" vertical="center"/>
    </xf>
    <xf numFmtId="0" fontId="21" fillId="4" borderId="1" xfId="0" applyFont="1" applyFill="1" applyBorder="1" applyAlignment="1">
      <alignment horizontal="center" vertical="center"/>
    </xf>
    <xf numFmtId="0" fontId="17" fillId="0" borderId="2" xfId="0" applyFont="1" applyBorder="1" applyAlignment="1">
      <alignment horizontal="center"/>
    </xf>
    <xf numFmtId="0" fontId="11" fillId="4" borderId="0" xfId="0" applyFont="1" applyFill="1" applyAlignment="1">
      <alignment horizontal="center" vertical="center"/>
    </xf>
    <xf numFmtId="0" fontId="11" fillId="4" borderId="1" xfId="0" applyFont="1" applyFill="1" applyBorder="1" applyAlignment="1">
      <alignment horizontal="center" vertical="center"/>
    </xf>
    <xf numFmtId="0" fontId="11" fillId="3" borderId="0" xfId="0" applyFont="1" applyFill="1" applyAlignment="1">
      <alignment horizontal="center" vertical="center"/>
    </xf>
    <xf numFmtId="0" fontId="17" fillId="0" borderId="7" xfId="0" applyFont="1" applyBorder="1" applyAlignment="1">
      <alignment horizontal="center"/>
    </xf>
    <xf numFmtId="0" fontId="17" fillId="0" borderId="0" xfId="0" applyFont="1" applyBorder="1" applyAlignment="1">
      <alignment horizontal="center"/>
    </xf>
    <xf numFmtId="0" fontId="17" fillId="0" borderId="1"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40" fillId="0" borderId="18" xfId="5" applyFont="1" applyBorder="1" applyAlignment="1">
      <alignment horizontal="center"/>
    </xf>
    <xf numFmtId="0" fontId="40" fillId="0" borderId="19" xfId="5" applyFont="1" applyBorder="1" applyAlignment="1">
      <alignment horizontal="center"/>
    </xf>
    <xf numFmtId="0" fontId="40" fillId="0" borderId="20" xfId="5" applyFont="1" applyBorder="1" applyAlignment="1">
      <alignment horizontal="center"/>
    </xf>
    <xf numFmtId="169" fontId="40" fillId="0" borderId="18" xfId="1" applyNumberFormat="1" applyFont="1" applyBorder="1" applyAlignment="1">
      <alignment horizontal="center"/>
    </xf>
    <xf numFmtId="169" fontId="40" fillId="0" borderId="19" xfId="1" applyNumberFormat="1" applyFont="1" applyBorder="1" applyAlignment="1">
      <alignment horizontal="center"/>
    </xf>
    <xf numFmtId="169" fontId="40" fillId="0" borderId="20" xfId="1" applyNumberFormat="1" applyFont="1" applyBorder="1" applyAlignment="1">
      <alignment horizontal="center"/>
    </xf>
    <xf numFmtId="175" fontId="6" fillId="0" borderId="35" xfId="8" applyNumberFormat="1" applyFont="1" applyBorder="1" applyAlignment="1">
      <alignment horizontal="center"/>
    </xf>
    <xf numFmtId="175" fontId="6" fillId="0" borderId="19" xfId="8" applyNumberFormat="1" applyFont="1" applyBorder="1" applyAlignment="1">
      <alignment horizontal="center"/>
    </xf>
    <xf numFmtId="175" fontId="6" fillId="0" borderId="20" xfId="8" applyNumberFormat="1" applyFont="1" applyBorder="1" applyAlignment="1">
      <alignment horizontal="center"/>
    </xf>
    <xf numFmtId="175" fontId="5" fillId="0" borderId="27" xfId="8" applyNumberFormat="1" applyFont="1" applyBorder="1" applyAlignment="1">
      <alignment horizontal="center"/>
    </xf>
    <xf numFmtId="175" fontId="6" fillId="0" borderId="33" xfId="8" applyNumberFormat="1" applyFont="1" applyBorder="1" applyAlignment="1">
      <alignment horizontal="center"/>
    </xf>
    <xf numFmtId="175" fontId="5" fillId="0" borderId="0" xfId="8" applyNumberFormat="1" applyFont="1" applyBorder="1" applyAlignment="1">
      <alignment horizontal="center" vertical="center"/>
    </xf>
    <xf numFmtId="0" fontId="29" fillId="0" borderId="18" xfId="5" applyFont="1" applyBorder="1" applyAlignment="1">
      <alignment horizontal="center"/>
    </xf>
    <xf numFmtId="0" fontId="29" fillId="0" borderId="19" xfId="5" applyFont="1" applyBorder="1" applyAlignment="1">
      <alignment horizontal="center"/>
    </xf>
    <xf numFmtId="0" fontId="29" fillId="0" borderId="20" xfId="5"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5" fillId="0" borderId="0" xfId="0" applyFont="1" applyAlignment="1">
      <alignment horizontal="left" wrapText="1"/>
    </xf>
    <xf numFmtId="0" fontId="5" fillId="0" borderId="0" xfId="0" applyFont="1" applyFill="1"/>
  </cellXfs>
  <cellStyles count="9">
    <cellStyle name="40% - Accent2" xfId="7" builtinId="35"/>
    <cellStyle name="Bad" xfId="6" builtinId="27"/>
    <cellStyle name="Comma" xfId="1" builtinId="3"/>
    <cellStyle name="Comma 2" xfId="3" xr:uid="{37E1A678-D6BC-48CA-A6D5-6ACDADF6BF0D}"/>
    <cellStyle name="Currency" xfId="8" builtinId="4"/>
    <cellStyle name="Input1" xfId="4" xr:uid="{997BE74B-5F7F-48C7-8D5D-6444BB20EFD1}"/>
    <cellStyle name="Normal" xfId="0" builtinId="0"/>
    <cellStyle name="Normal 2" xfId="5" xr:uid="{3E7E025A-32F1-45D4-8DBA-7C3DD8AC53EA}"/>
    <cellStyle name="Percent" xfId="2" builtinId="5"/>
  </cellStyles>
  <dxfs count="52">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val="0"/>
        <i val="0"/>
        <condense val="0"/>
        <extend val="0"/>
        <color indexed="8"/>
      </font>
    </dxf>
    <dxf>
      <font>
        <b/>
        <i val="0"/>
        <color rgb="FFC00000"/>
      </font>
    </dxf>
    <dxf>
      <font>
        <b val="0"/>
        <i val="0"/>
        <condense val="0"/>
        <extend val="0"/>
        <color indexed="8"/>
      </font>
    </dxf>
    <dxf>
      <font>
        <b/>
        <i val="0"/>
        <color rgb="FFC00000"/>
      </font>
    </dxf>
    <dxf>
      <font>
        <b val="0"/>
        <i val="0"/>
        <condense val="0"/>
        <extend val="0"/>
        <color indexed="8"/>
      </font>
    </dxf>
    <dxf>
      <font>
        <b/>
        <i val="0"/>
        <color rgb="FFC00000"/>
      </font>
    </dxf>
    <dxf>
      <font>
        <b val="0"/>
        <i val="0"/>
        <condense val="0"/>
        <extend val="0"/>
        <color indexed="8"/>
      </font>
    </dxf>
    <dxf>
      <font>
        <b/>
        <i val="0"/>
        <color rgb="FFC00000"/>
      </font>
    </dxf>
    <dxf>
      <font>
        <b val="0"/>
        <i val="0"/>
        <color rgb="FF00B050"/>
      </font>
    </dxf>
    <dxf>
      <font>
        <b/>
        <i val="0"/>
        <color rgb="FFC00000"/>
      </font>
    </dxf>
    <dxf>
      <font>
        <b val="0"/>
        <i val="0"/>
        <condense val="0"/>
        <extend val="0"/>
        <color indexed="8"/>
      </font>
    </dxf>
    <dxf>
      <font>
        <b/>
        <i val="0"/>
        <color rgb="FFC00000"/>
      </font>
    </dxf>
    <dxf>
      <font>
        <b val="0"/>
        <i val="0"/>
        <condense val="0"/>
        <extend val="0"/>
        <color indexed="8"/>
      </font>
    </dxf>
    <dxf>
      <font>
        <b/>
        <i val="0"/>
        <color rgb="FFC00000"/>
      </font>
    </dxf>
    <dxf>
      <font>
        <b val="0"/>
        <i val="0"/>
        <color rgb="FF00B050"/>
      </font>
    </dxf>
  </dxfs>
  <tableStyles count="0" defaultTableStyle="TableStyleMedium2" defaultPivotStyle="PivotStyleLight16"/>
  <colors>
    <mruColors>
      <color rgb="FFCCFFFF"/>
      <color rgb="FFFA780A"/>
      <color rgb="FF0000FF"/>
      <color rgb="FFFFFFCC"/>
      <color rgb="FF1F4C71"/>
      <color rgb="FF28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wmf"/><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xdr:colOff>
      <xdr:row>3</xdr:row>
      <xdr:rowOff>184150</xdr:rowOff>
    </xdr:from>
    <xdr:to>
      <xdr:col>4</xdr:col>
      <xdr:colOff>307975</xdr:colOff>
      <xdr:row>5</xdr:row>
      <xdr:rowOff>50800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2408" y="882650"/>
          <a:ext cx="1475317"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15</xdr:row>
      <xdr:rowOff>28575</xdr:rowOff>
    </xdr:from>
    <xdr:to>
      <xdr:col>2</xdr:col>
      <xdr:colOff>428625</xdr:colOff>
      <xdr:row>16</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5325" y="2057400"/>
          <a:ext cx="3143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16</xdr:row>
      <xdr:rowOff>0</xdr:rowOff>
    </xdr:from>
    <xdr:to>
      <xdr:col>2</xdr:col>
      <xdr:colOff>304800</xdr:colOff>
      <xdr:row>17</xdr:row>
      <xdr:rowOff>9525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2219325"/>
          <a:ext cx="171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17</xdr:row>
      <xdr:rowOff>0</xdr:rowOff>
    </xdr:from>
    <xdr:to>
      <xdr:col>2</xdr:col>
      <xdr:colOff>314325</xdr:colOff>
      <xdr:row>18</xdr:row>
      <xdr:rowOff>9525</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2409825"/>
          <a:ext cx="171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18</xdr:row>
      <xdr:rowOff>28575</xdr:rowOff>
    </xdr:from>
    <xdr:to>
      <xdr:col>2</xdr:col>
      <xdr:colOff>219075</xdr:colOff>
      <xdr:row>19</xdr:row>
      <xdr:rowOff>0</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2475" y="2628900"/>
          <a:ext cx="476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114300</xdr:colOff>
          <xdr:row>19</xdr:row>
          <xdr:rowOff>9525</xdr:rowOff>
        </xdr:from>
        <xdr:to>
          <xdr:col>2</xdr:col>
          <xdr:colOff>314325</xdr:colOff>
          <xdr:row>19</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180975</xdr:colOff>
      <xdr:row>21</xdr:row>
      <xdr:rowOff>19050</xdr:rowOff>
    </xdr:from>
    <xdr:to>
      <xdr:col>2</xdr:col>
      <xdr:colOff>276225</xdr:colOff>
      <xdr:row>21</xdr:row>
      <xdr:rowOff>180975</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000375"/>
          <a:ext cx="952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21</xdr:row>
      <xdr:rowOff>152400</xdr:rowOff>
    </xdr:from>
    <xdr:to>
      <xdr:col>2</xdr:col>
      <xdr:colOff>333375</xdr:colOff>
      <xdr:row>23</xdr:row>
      <xdr:rowOff>57150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4375" y="3133725"/>
          <a:ext cx="200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23</xdr:row>
      <xdr:rowOff>19050</xdr:rowOff>
    </xdr:from>
    <xdr:to>
      <xdr:col>2</xdr:col>
      <xdr:colOff>266700</xdr:colOff>
      <xdr:row>23</xdr:row>
      <xdr:rowOff>180975</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3381375"/>
          <a:ext cx="1238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24</xdr:row>
      <xdr:rowOff>28575</xdr:rowOff>
    </xdr:from>
    <xdr:to>
      <xdr:col>2</xdr:col>
      <xdr:colOff>419100</xdr:colOff>
      <xdr:row>25</xdr:row>
      <xdr:rowOff>0</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3581400"/>
          <a:ext cx="3524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25</xdr:row>
      <xdr:rowOff>9525</xdr:rowOff>
    </xdr:from>
    <xdr:to>
      <xdr:col>2</xdr:col>
      <xdr:colOff>323850</xdr:colOff>
      <xdr:row>25</xdr:row>
      <xdr:rowOff>171450</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1525" y="3752850"/>
          <a:ext cx="1333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84667</xdr:colOff>
      <xdr:row>6</xdr:row>
      <xdr:rowOff>42334</xdr:rowOff>
    </xdr:from>
    <xdr:to>
      <xdr:col>4</xdr:col>
      <xdr:colOff>456141</xdr:colOff>
      <xdr:row>7</xdr:row>
      <xdr:rowOff>13759</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750" y="1312334"/>
          <a:ext cx="1599141"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63500</xdr:colOff>
      <xdr:row>20</xdr:row>
      <xdr:rowOff>10583</xdr:rowOff>
    </xdr:from>
    <xdr:to>
      <xdr:col>2</xdr:col>
      <xdr:colOff>377825</xdr:colOff>
      <xdr:row>20</xdr:row>
      <xdr:rowOff>172508</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5583" y="3947583"/>
          <a:ext cx="3143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74083</xdr:colOff>
      <xdr:row>12</xdr:row>
      <xdr:rowOff>0</xdr:rowOff>
    </xdr:from>
    <xdr:to>
      <xdr:col>6</xdr:col>
      <xdr:colOff>150283</xdr:colOff>
      <xdr:row>12</xdr:row>
      <xdr:rowOff>161925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6166" y="2413000"/>
          <a:ext cx="2531534"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63500</xdr:colOff>
      <xdr:row>10</xdr:row>
      <xdr:rowOff>21167</xdr:rowOff>
    </xdr:from>
    <xdr:to>
      <xdr:col>7</xdr:col>
      <xdr:colOff>168275</xdr:colOff>
      <xdr:row>10</xdr:row>
      <xdr:rowOff>183092</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5583" y="2053167"/>
          <a:ext cx="3173942"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63501</xdr:colOff>
      <xdr:row>8</xdr:row>
      <xdr:rowOff>31750</xdr:rowOff>
    </xdr:from>
    <xdr:to>
      <xdr:col>4</xdr:col>
      <xdr:colOff>244476</xdr:colOff>
      <xdr:row>9</xdr:row>
      <xdr:rowOff>3175</xdr:rowOff>
    </xdr:to>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5584" y="1682750"/>
          <a:ext cx="1408642"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137584</xdr:colOff>
      <xdr:row>26</xdr:row>
      <xdr:rowOff>21165</xdr:rowOff>
    </xdr:from>
    <xdr:to>
      <xdr:col>2</xdr:col>
      <xdr:colOff>317500</xdr:colOff>
      <xdr:row>27</xdr:row>
      <xdr:rowOff>31750</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6"/>
        <a:srcRect l="84168" t="6429" r="3057" b="-28594"/>
        <a:stretch/>
      </xdr:blipFill>
      <xdr:spPr>
        <a:xfrm>
          <a:off x="718609" y="5097990"/>
          <a:ext cx="179916" cy="201085"/>
        </a:xfrm>
        <a:prstGeom prst="rect">
          <a:avLst/>
        </a:prstGeom>
      </xdr:spPr>
    </xdr:pic>
    <xdr:clientData/>
  </xdr:twoCellAnchor>
  <xdr:twoCellAnchor editAs="oneCell">
    <xdr:from>
      <xdr:col>3</xdr:col>
      <xdr:colOff>285750</xdr:colOff>
      <xdr:row>35</xdr:row>
      <xdr:rowOff>0</xdr:rowOff>
    </xdr:from>
    <xdr:to>
      <xdr:col>11</xdr:col>
      <xdr:colOff>551654</xdr:colOff>
      <xdr:row>42</xdr:row>
      <xdr:rowOff>31749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a:stretch>
          <a:fillRect/>
        </a:stretch>
      </xdr:blipFill>
      <xdr:spPr>
        <a:xfrm>
          <a:off x="1481667" y="6847417"/>
          <a:ext cx="5176570" cy="1365249"/>
        </a:xfrm>
        <a:prstGeom prst="rect">
          <a:avLst/>
        </a:prstGeom>
      </xdr:spPr>
    </xdr:pic>
    <xdr:clientData/>
  </xdr:twoCellAnchor>
  <xdr:twoCellAnchor editAs="oneCell">
    <xdr:from>
      <xdr:col>3</xdr:col>
      <xdr:colOff>285750</xdr:colOff>
      <xdr:row>44</xdr:row>
      <xdr:rowOff>158750</xdr:rowOff>
    </xdr:from>
    <xdr:to>
      <xdr:col>11</xdr:col>
      <xdr:colOff>116417</xdr:colOff>
      <xdr:row>52</xdr:row>
      <xdr:rowOff>8102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8"/>
        <a:stretch>
          <a:fillRect/>
        </a:stretch>
      </xdr:blipFill>
      <xdr:spPr>
        <a:xfrm>
          <a:off x="1481667" y="8530167"/>
          <a:ext cx="4741333" cy="1373352"/>
        </a:xfrm>
        <a:prstGeom prst="rect">
          <a:avLst/>
        </a:prstGeom>
      </xdr:spPr>
    </xdr:pic>
    <xdr:clientData/>
  </xdr:twoCellAnchor>
  <xdr:twoCellAnchor editAs="oneCell">
    <xdr:from>
      <xdr:col>2</xdr:col>
      <xdr:colOff>116418</xdr:colOff>
      <xdr:row>55</xdr:row>
      <xdr:rowOff>0</xdr:rowOff>
    </xdr:from>
    <xdr:to>
      <xdr:col>2</xdr:col>
      <xdr:colOff>455984</xdr:colOff>
      <xdr:row>56</xdr:row>
      <xdr:rowOff>116415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9"/>
        <a:stretch>
          <a:fillRect/>
        </a:stretch>
      </xdr:blipFill>
      <xdr:spPr>
        <a:xfrm>
          <a:off x="698501" y="10805585"/>
          <a:ext cx="339566" cy="306915"/>
        </a:xfrm>
        <a:prstGeom prst="rect">
          <a:avLst/>
        </a:prstGeom>
      </xdr:spPr>
    </xdr:pic>
    <xdr:clientData/>
  </xdr:twoCellAnchor>
  <xdr:twoCellAnchor editAs="oneCell">
    <xdr:from>
      <xdr:col>2</xdr:col>
      <xdr:colOff>158750</xdr:colOff>
      <xdr:row>53</xdr:row>
      <xdr:rowOff>137585</xdr:rowOff>
    </xdr:from>
    <xdr:to>
      <xdr:col>2</xdr:col>
      <xdr:colOff>402167</xdr:colOff>
      <xdr:row>55</xdr:row>
      <xdr:rowOff>11876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0"/>
        <a:stretch>
          <a:fillRect/>
        </a:stretch>
      </xdr:blipFill>
      <xdr:spPr>
        <a:xfrm>
          <a:off x="740833" y="10414002"/>
          <a:ext cx="243417" cy="255291"/>
        </a:xfrm>
        <a:prstGeom prst="rect">
          <a:avLst/>
        </a:prstGeom>
      </xdr:spPr>
    </xdr:pic>
    <xdr:clientData/>
  </xdr:twoCellAnchor>
  <xdr:twoCellAnchor editAs="oneCell">
    <xdr:from>
      <xdr:col>2</xdr:col>
      <xdr:colOff>137583</xdr:colOff>
      <xdr:row>56</xdr:row>
      <xdr:rowOff>137585</xdr:rowOff>
    </xdr:from>
    <xdr:to>
      <xdr:col>2</xdr:col>
      <xdr:colOff>381000</xdr:colOff>
      <xdr:row>58</xdr:row>
      <xdr:rowOff>36515</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1"/>
        <a:stretch>
          <a:fillRect/>
        </a:stretch>
      </xdr:blipFill>
      <xdr:spPr>
        <a:xfrm>
          <a:off x="719666" y="11176002"/>
          <a:ext cx="243417" cy="279930"/>
        </a:xfrm>
        <a:prstGeom prst="rect">
          <a:avLst/>
        </a:prstGeom>
      </xdr:spPr>
    </xdr:pic>
    <xdr:clientData/>
  </xdr:twoCellAnchor>
  <xdr:twoCellAnchor>
    <xdr:from>
      <xdr:col>2</xdr:col>
      <xdr:colOff>66675</xdr:colOff>
      <xdr:row>58</xdr:row>
      <xdr:rowOff>28575</xdr:rowOff>
    </xdr:from>
    <xdr:to>
      <xdr:col>2</xdr:col>
      <xdr:colOff>419100</xdr:colOff>
      <xdr:row>59</xdr:row>
      <xdr:rowOff>0</xdr:rowOff>
    </xdr:to>
    <xdr:pic>
      <xdr:nvPicPr>
        <xdr:cNvPr id="27" name="Pictur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8758" y="4727575"/>
          <a:ext cx="3524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59</xdr:row>
      <xdr:rowOff>9525</xdr:rowOff>
    </xdr:from>
    <xdr:to>
      <xdr:col>2</xdr:col>
      <xdr:colOff>323850</xdr:colOff>
      <xdr:row>59</xdr:row>
      <xdr:rowOff>171450</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2583" y="4899025"/>
          <a:ext cx="1333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137584</xdr:colOff>
      <xdr:row>60</xdr:row>
      <xdr:rowOff>21165</xdr:rowOff>
    </xdr:from>
    <xdr:ext cx="179916" cy="201085"/>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6"/>
        <a:srcRect l="84168" t="6429" r="3057" b="-28594"/>
        <a:stretch/>
      </xdr:blipFill>
      <xdr:spPr>
        <a:xfrm>
          <a:off x="719667" y="5101165"/>
          <a:ext cx="179916" cy="201085"/>
        </a:xfrm>
        <a:prstGeom prst="rect">
          <a:avLst/>
        </a:prstGeom>
      </xdr:spPr>
    </xdr:pic>
    <xdr:clientData/>
  </xdr:oneCellAnchor>
  <xdr:twoCellAnchor>
    <xdr:from>
      <xdr:col>2</xdr:col>
      <xdr:colOff>180975</xdr:colOff>
      <xdr:row>61</xdr:row>
      <xdr:rowOff>19050</xdr:rowOff>
    </xdr:from>
    <xdr:to>
      <xdr:col>2</xdr:col>
      <xdr:colOff>276225</xdr:colOff>
      <xdr:row>61</xdr:row>
      <xdr:rowOff>180975</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3058" y="4146550"/>
          <a:ext cx="952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61</xdr:row>
      <xdr:rowOff>152400</xdr:rowOff>
    </xdr:from>
    <xdr:to>
      <xdr:col>2</xdr:col>
      <xdr:colOff>333375</xdr:colOff>
      <xdr:row>63</xdr:row>
      <xdr:rowOff>57150</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5433" y="4279900"/>
          <a:ext cx="200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63</xdr:row>
      <xdr:rowOff>19050</xdr:rowOff>
    </xdr:from>
    <xdr:to>
      <xdr:col>2</xdr:col>
      <xdr:colOff>266700</xdr:colOff>
      <xdr:row>63</xdr:row>
      <xdr:rowOff>180975</xdr:rowOff>
    </xdr:to>
    <xdr:pic>
      <xdr:nvPicPr>
        <xdr:cNvPr id="32" name="Pictur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4958" y="4527550"/>
          <a:ext cx="1238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Affairs/2015PriceReset/10%20Modelling/03b-RevisedProposalWorkings/01%20Working%20Folder/02b-Schedules-PTRM/SAPN%20PTRM%20RP-%20SCS%20V3%20(Revenue%20Inpu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Affairs/Regulation/Submissions%20Filed/Pricing%20proposal%202012/Submission%20-%20Revised/Compliance%202012-13%20EU-RPP%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pStrategy/_RegNew/01_Reset%202020-25/09_Opex/07_RIN%20Inputs/2020-25%20Reset%20RIN%20-%20WB1%20Input%20data%20working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Document/SAPN_Attachment%20A_2020-21%20Tariff%20Approval%20Model_May%20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Document/Archive/Attachment%20A_CONFIDENTIAL%20-%20StdC%20Prices%20APP%202020-21%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SAPN%20PTRM%20extract%20-%20AER%2029%20May%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UPDATED%20SA%20Power%20Networks%20STPIS%20Compliance%20Model%202018-19%20-%2019%20May%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17-18/AER%20Files/SAPN%20-%20Final%20decision%20-%20PTRM%20-%20SCS%20-%202017-18%20RoD%20updat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utlookTemp\SAPN%20-%20Final%20Decision%20-%20PTRM%20-%202019-20%20RoD%20updat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Reconciliation%202018-19/02.%20Audited%20WAPC%20variables%20-%20SAPN%202018-19%20Final%20-%20BDO%20-%20SM%20Input%20&amp;%20TUoS%20correc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19-20/1.FINAL/FINAL%20Attachment%20A_CONFIDENTIAL%20-%20StdC%20Prices%20APP%202019-20%20v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17-18/Final%20v3/Attachment%20A_CONFIDENTIAL%20-%20StdC%20Prices%20APP%202017-18%20v3.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Strategy/_RegNew/02_Team%20Shared/11_Sales_Tariffs/02_Monthly/2019-20/10_Apr%202020/Forecast%202019-20%20EOM%20April%202020%20v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19-20/Attachment%20A_CONFIDENTIAL%20-%20StdC%20Prices%20APP%202019-20%20v1.0%20May%202020.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Qty%20Forecast/QTY%20Forecast%202020-21%20v1.2j%20MAY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rpStrategy/_RegNew/01_Reset%202020-25/21_TSS/Pricing%202020-25/Revised%20Proposal/Sales%202020-25%20Model%20RP%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20-21/Document/Sales%202020-25%20Model%20APP%20May%202020%20v2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rpStrategy/_RegNew/02_Team%20Shared/11_Sales_Tariffs/01_Annual/APP/2019-20/1.FINAL/FINAL%20Attachment%20A_CONFIDENTIAL%20-%20StdC%20Prices%20APP%202019-20%20v1.1%20-%20UPDATED%20PRICING%20SCHEDULE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Strategy/_RegNew/02_Team%20Shared/15_EB%20RIN/02%20Final%20versions/4%202015-16%20EB%20Data%20October%202016/SAPN%20-%20Benchmarking%20RIN%20-%202015-16%20ACTUA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Strategy/_RegNew/02_Team%20Shared/15_EB%20RIN/02%20Final%20versions/5%202016-17%20EB%20Data%20October%202017/SAPN%20-%20EB%20-%202016-17%20-%20ACTUAL.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orpStrategy/_RegNew/02_Team%20Shared/15_EB%20RIN/02%20Final%20versions/6%202017-18%20EB%20Data%20October%202018/1.%20SAPN%20-%20EB%20-%202017-18%20-%20CONSOLID(locked)%20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PTRM 2015-16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Sub-transmission lines</v>
          </cell>
          <cell r="J7">
            <v>166.69823167386551</v>
          </cell>
          <cell r="L7">
            <v>49.832023281364762</v>
          </cell>
          <cell r="M7">
            <v>55</v>
          </cell>
          <cell r="N7">
            <v>139.52637578474409</v>
          </cell>
          <cell r="O7">
            <v>34.905371572903107</v>
          </cell>
          <cell r="P7">
            <v>47.5</v>
          </cell>
        </row>
        <row r="8">
          <cell r="G8" t="str">
            <v>Distribution Lines</v>
          </cell>
          <cell r="J8">
            <v>2188.3919369329833</v>
          </cell>
          <cell r="L8">
            <v>19.84320478624149</v>
          </cell>
          <cell r="M8">
            <v>55</v>
          </cell>
          <cell r="N8">
            <v>1045.0602570639944</v>
          </cell>
          <cell r="O8">
            <v>26.686028552974559</v>
          </cell>
          <cell r="P8">
            <v>47.5</v>
          </cell>
        </row>
        <row r="9">
          <cell r="G9" t="str">
            <v>Substations</v>
          </cell>
          <cell r="J9">
            <v>1013.9888672862851</v>
          </cell>
          <cell r="L9">
            <v>22.504758438553647</v>
          </cell>
          <cell r="M9">
            <v>45</v>
          </cell>
          <cell r="N9">
            <v>760.77755176464018</v>
          </cell>
          <cell r="O9">
            <v>29.838575930546291</v>
          </cell>
          <cell r="P9">
            <v>40</v>
          </cell>
        </row>
        <row r="10">
          <cell r="G10" t="str">
            <v>Distribution Transformers</v>
          </cell>
          <cell r="J10">
            <v>413.74629550668698</v>
          </cell>
          <cell r="L10">
            <v>14.916959045906857</v>
          </cell>
          <cell r="M10">
            <v>45</v>
          </cell>
          <cell r="N10">
            <v>130.28682400394487</v>
          </cell>
          <cell r="O10">
            <v>24.322288515779075</v>
          </cell>
          <cell r="P10">
            <v>40</v>
          </cell>
        </row>
        <row r="11">
          <cell r="G11" t="str">
            <v>LVS</v>
          </cell>
          <cell r="J11">
            <v>634.68028956415276</v>
          </cell>
          <cell r="L11">
            <v>17.933042507604629</v>
          </cell>
          <cell r="M11">
            <v>55</v>
          </cell>
          <cell r="N11">
            <v>578.54160581847032</v>
          </cell>
          <cell r="O11">
            <v>26.965540811371262</v>
          </cell>
          <cell r="P11">
            <v>47.5</v>
          </cell>
        </row>
        <row r="12">
          <cell r="G12" t="str">
            <v>Communications</v>
          </cell>
          <cell r="J12">
            <v>29.878758356418153</v>
          </cell>
          <cell r="L12">
            <v>10.669312239217318</v>
          </cell>
          <cell r="M12">
            <v>15</v>
          </cell>
          <cell r="N12">
            <v>25.91330302533849</v>
          </cell>
          <cell r="O12">
            <v>8.3738643611374535</v>
          </cell>
          <cell r="P12">
            <v>10</v>
          </cell>
        </row>
        <row r="13">
          <cell r="G13" t="str">
            <v>Contributions</v>
          </cell>
          <cell r="J13">
            <v>-1211.9710624654397</v>
          </cell>
          <cell r="L13">
            <v>32.330865410574873</v>
          </cell>
          <cell r="M13">
            <v>40.200000000000003</v>
          </cell>
          <cell r="N13">
            <v>-538.33138754437084</v>
          </cell>
          <cell r="O13">
            <v>37.38988158029062</v>
          </cell>
          <cell r="P13" t="str">
            <v>n/a</v>
          </cell>
        </row>
        <row r="14">
          <cell r="G14" t="str">
            <v>Land</v>
          </cell>
          <cell r="J14">
            <v>219.3680640447362</v>
          </cell>
          <cell r="L14" t="str">
            <v>n/a</v>
          </cell>
          <cell r="M14" t="str">
            <v>n/a</v>
          </cell>
          <cell r="N14">
            <v>4.9773566801978699</v>
          </cell>
          <cell r="O14" t="str">
            <v>n/a</v>
          </cell>
          <cell r="P14" t="str">
            <v>n/a</v>
          </cell>
        </row>
        <row r="15">
          <cell r="G15" t="str">
            <v>Substation Land</v>
          </cell>
          <cell r="J15">
            <v>7.233914743609323</v>
          </cell>
          <cell r="L15" t="str">
            <v>n/a</v>
          </cell>
          <cell r="M15" t="str">
            <v>n/a</v>
          </cell>
          <cell r="N15">
            <v>6.5939999999999994</v>
          </cell>
          <cell r="O15" t="str">
            <v>n/a</v>
          </cell>
          <cell r="P15" t="str">
            <v>n/a</v>
          </cell>
        </row>
        <row r="16">
          <cell r="G16" t="str">
            <v>Easements</v>
          </cell>
          <cell r="J16">
            <v>4.9399090225187168</v>
          </cell>
          <cell r="L16" t="str">
            <v>n/a</v>
          </cell>
          <cell r="M16" t="str">
            <v>n/a</v>
          </cell>
          <cell r="N16">
            <v>4.5415488998170641</v>
          </cell>
          <cell r="O16" t="str">
            <v>n/a</v>
          </cell>
          <cell r="P16" t="str">
            <v>n/a</v>
          </cell>
        </row>
        <row r="17">
          <cell r="G17" t="str">
            <v>Buildings</v>
          </cell>
          <cell r="J17">
            <v>23.138234760050452</v>
          </cell>
          <cell r="L17">
            <v>24.612203855909598</v>
          </cell>
          <cell r="M17">
            <v>40</v>
          </cell>
          <cell r="N17">
            <v>9.8600628739291842</v>
          </cell>
          <cell r="O17">
            <v>39.969217378450921</v>
          </cell>
          <cell r="P17">
            <v>40</v>
          </cell>
        </row>
        <row r="18">
          <cell r="G18" t="str">
            <v>Vehicles - 15 years</v>
          </cell>
          <cell r="J18">
            <v>79.979129947961411</v>
          </cell>
          <cell r="L18">
            <v>13.624078314229781</v>
          </cell>
          <cell r="M18">
            <v>15</v>
          </cell>
          <cell r="N18">
            <v>77.777654507844119</v>
          </cell>
          <cell r="O18">
            <v>11.767619265366791</v>
          </cell>
          <cell r="P18">
            <v>15</v>
          </cell>
        </row>
        <row r="19">
          <cell r="G19" t="str">
            <v>Vehicles - 10 years</v>
          </cell>
          <cell r="J19">
            <v>0</v>
          </cell>
          <cell r="L19" t="str">
            <v>n/a</v>
          </cell>
          <cell r="M19">
            <v>10</v>
          </cell>
          <cell r="N19">
            <v>0</v>
          </cell>
          <cell r="O19" t="str">
            <v>n/a</v>
          </cell>
          <cell r="P19">
            <v>15</v>
          </cell>
        </row>
        <row r="20">
          <cell r="G20" t="str">
            <v>Light Vehicles</v>
          </cell>
          <cell r="J20">
            <v>16.548935935562511</v>
          </cell>
          <cell r="L20">
            <v>4.9254779063480241</v>
          </cell>
          <cell r="M20">
            <v>5</v>
          </cell>
          <cell r="N20">
            <v>18.85072624499427</v>
          </cell>
          <cell r="O20">
            <v>5.5766396106986189</v>
          </cell>
          <cell r="P20">
            <v>6.7</v>
          </cell>
        </row>
        <row r="21">
          <cell r="G21" t="str">
            <v>IT</v>
          </cell>
          <cell r="J21">
            <v>118.55090082302762</v>
          </cell>
          <cell r="L21">
            <v>4.9472394990187647</v>
          </cell>
          <cell r="M21">
            <v>5</v>
          </cell>
          <cell r="N21">
            <v>148.69862628355094</v>
          </cell>
          <cell r="O21">
            <v>4.9999999999999991</v>
          </cell>
          <cell r="P21">
            <v>4</v>
          </cell>
        </row>
        <row r="22">
          <cell r="G22" t="str">
            <v>Plant &amp; Tools/Office Furniture</v>
          </cell>
          <cell r="J22">
            <v>70.436085947282734</v>
          </cell>
          <cell r="L22">
            <v>7.7355636677701423</v>
          </cell>
          <cell r="M22">
            <v>10</v>
          </cell>
          <cell r="N22">
            <v>71.844274157795567</v>
          </cell>
          <cell r="O22">
            <v>7.4694871882277774</v>
          </cell>
          <cell r="P22">
            <v>10</v>
          </cell>
        </row>
        <row r="36">
          <cell r="G36" t="str">
            <v>Equity raising costs</v>
          </cell>
          <cell r="J36">
            <v>2.7484621426350002</v>
          </cell>
          <cell r="L36">
            <v>47.350373735494323</v>
          </cell>
          <cell r="M36">
            <v>52.3</v>
          </cell>
          <cell r="N36">
            <v>0.52161726737557101</v>
          </cell>
          <cell r="O36">
            <v>5</v>
          </cell>
          <cell r="P36">
            <v>5</v>
          </cell>
        </row>
        <row r="37">
          <cell r="J37">
            <v>3778.3569542223354</v>
          </cell>
        </row>
        <row r="70">
          <cell r="G70">
            <v>12.371499999999999</v>
          </cell>
        </row>
        <row r="216">
          <cell r="G216">
            <v>2.06E-2</v>
          </cell>
        </row>
        <row r="218">
          <cell r="G218">
            <v>0.25</v>
          </cell>
        </row>
        <row r="219">
          <cell r="G219">
            <v>0.6</v>
          </cell>
        </row>
        <row r="229">
          <cell r="G229">
            <v>0.7</v>
          </cell>
        </row>
        <row r="230">
          <cell r="G230">
            <v>0.03</v>
          </cell>
        </row>
        <row r="231">
          <cell r="G231">
            <v>0.01</v>
          </cell>
        </row>
        <row r="232">
          <cell r="G232">
            <v>0.3</v>
          </cell>
        </row>
        <row r="233">
          <cell r="G233">
            <v>8.1271412644700388E-4</v>
          </cell>
        </row>
      </sheetData>
      <sheetData sheetId="3"/>
      <sheetData sheetId="4">
        <row r="18">
          <cell r="G18">
            <v>7.0940000000000003E-2</v>
          </cell>
          <cell r="H18">
            <v>7.0940000000000003E-2</v>
          </cell>
          <cell r="I18">
            <v>7.0940000000000003E-2</v>
          </cell>
          <cell r="J18">
            <v>7.0940000000000003E-2</v>
          </cell>
          <cell r="K18">
            <v>7.0940000000000003E-2</v>
          </cell>
          <cell r="L18">
            <v>7.0940000000000003E-2</v>
          </cell>
          <cell r="M18">
            <v>7.0940000000000003E-2</v>
          </cell>
          <cell r="N18">
            <v>7.0940000000000003E-2</v>
          </cell>
          <cell r="O18">
            <v>7.0940000000000003E-2</v>
          </cell>
          <cell r="P18">
            <v>7.0940000000000003E-2</v>
          </cell>
        </row>
        <row r="19">
          <cell r="G19">
            <v>4.9323927101704836E-2</v>
          </cell>
          <cell r="H19">
            <v>4.9323927101704836E-2</v>
          </cell>
          <cell r="I19">
            <v>4.9323927101704836E-2</v>
          </cell>
          <cell r="J19">
            <v>4.9323927101704836E-2</v>
          </cell>
          <cell r="K19">
            <v>4.9323927101704836E-2</v>
          </cell>
          <cell r="L19">
            <v>4.9323927101704836E-2</v>
          </cell>
          <cell r="M19">
            <v>4.9323927101704836E-2</v>
          </cell>
          <cell r="N19">
            <v>4.9323927101704836E-2</v>
          </cell>
          <cell r="O19">
            <v>4.9323927101704836E-2</v>
          </cell>
          <cell r="P19">
            <v>4.9323927101704836E-2</v>
          </cell>
        </row>
      </sheetData>
      <sheetData sheetId="5"/>
      <sheetData sheetId="6"/>
      <sheetData sheetId="7"/>
      <sheetData sheetId="8">
        <row r="63">
          <cell r="G63">
            <v>0.27607114777446934</v>
          </cell>
          <cell r="H63">
            <v>-0.21</v>
          </cell>
          <cell r="I63">
            <v>-0.13</v>
          </cell>
          <cell r="J63">
            <v>-2.1028494162874913E-2</v>
          </cell>
        </row>
      </sheetData>
      <sheetData sheetId="9"/>
      <sheetData sheetId="10">
        <row r="54">
          <cell r="Q54">
            <v>12.720244118476092</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ariff classes"/>
      <sheetName val="2. Capex assumptions"/>
      <sheetName val="3. Opex assumptions"/>
      <sheetName val="4. Demand forecast"/>
      <sheetName val="5. LRMC calculation"/>
      <sheetName val="5a. Non system costs"/>
      <sheetName val="6. Tariff allocation"/>
      <sheetName val="7. 2010-11 tariff revenue"/>
      <sheetName val="8. Stand alone calculation"/>
      <sheetName val="9. Avoidable"/>
      <sheetName val="Tables 16 - 26"/>
      <sheetName val="Table 27 - Price trends"/>
      <sheetName val="Tables 28 - 31"/>
      <sheetName val="Table 32 - Unmetered price"/>
      <sheetName val="Tables 33 - 35"/>
      <sheetName val="Table 34 - Weighted Avg Revenue"/>
      <sheetName val="Table 36 - SC compliance"/>
      <sheetName val="Table 37 - SC small"/>
      <sheetName val="Table 38 - SA-A costs"/>
      <sheetName val="Fig 12 - Cost comparison $kVA"/>
      <sheetName val="Table 39 - LRMC"/>
      <sheetName val="Table 40 - TUoS U-O"/>
      <sheetName val="Table 41 - Alternative WAPC"/>
      <sheetName val="Table 42 - Alternative control"/>
      <sheetName val="LDC"/>
      <sheetName val="HV demand"/>
      <sheetName val="LV demand"/>
      <sheetName val="Res MWh"/>
      <sheetName val="Res MWh Retail"/>
      <sheetName val="Res-HW MWh"/>
      <sheetName val="Res-HW MWh Retail"/>
      <sheetName val="Bus-single MWh"/>
      <sheetName val="Bus-single MWh Retai"/>
      <sheetName val="Bus-two MWh"/>
      <sheetName val="Bus-two MWh Retail"/>
    </sheetNames>
    <sheetDataSet>
      <sheetData sheetId="0"/>
      <sheetData sheetId="1"/>
      <sheetData sheetId="2"/>
      <sheetData sheetId="3"/>
      <sheetData sheetId="4"/>
      <sheetData sheetId="5"/>
      <sheetData sheetId="6"/>
      <sheetData sheetId="7"/>
      <sheetData sheetId="8"/>
      <sheetData sheetId="9"/>
      <sheetData sheetId="10">
        <row r="1">
          <cell r="E1" t="str">
            <v>2012/13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CPI series"/>
      <sheetName val="2.6 Non-network"/>
      <sheetName val="2.14 Forecast price changes"/>
      <sheetName val="2.16 Opex Summary"/>
      <sheetName val="2.17 Step Changes"/>
      <sheetName val="3.5 Physical assets"/>
      <sheetName val="6.2 Reliability &amp; Cust serv"/>
      <sheetName val="2020-25 Reset RIN - WB1 Input d"/>
    </sheetNames>
    <sheetDataSet>
      <sheetData sheetId="0" refreshError="1"/>
      <sheetData sheetId="1" refreshError="1"/>
      <sheetData sheetId="2" refreshError="1"/>
      <sheetData sheetId="3" refreshError="1"/>
      <sheetData sheetId="4" refreshError="1">
        <row r="1">
          <cell r="B1" t="str">
            <v>REGULATORY REPORTING STATEMENT</v>
          </cell>
        </row>
        <row r="3">
          <cell r="B3" t="str">
            <v>2020-21 to 2024-25</v>
          </cell>
        </row>
        <row r="14">
          <cell r="C14" t="str">
            <v>SA Power Networks</v>
          </cell>
        </row>
        <row r="35">
          <cell r="C35" t="str">
            <v>2020-21</v>
          </cell>
          <cell r="D35" t="str">
            <v>2021-22</v>
          </cell>
          <cell r="E35" t="str">
            <v>2022-23</v>
          </cell>
          <cell r="F35" t="str">
            <v>2023-24</v>
          </cell>
          <cell r="G35" t="str">
            <v>2024-25</v>
          </cell>
        </row>
        <row r="39">
          <cell r="F39" t="str">
            <v>2018-19</v>
          </cell>
          <cell r="G39" t="str">
            <v>2019-20</v>
          </cell>
        </row>
        <row r="74">
          <cell r="C74" t="str">
            <v>June 2020</v>
          </cell>
        </row>
        <row r="83">
          <cell r="C83">
            <v>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e"/>
      <sheetName val="Outcomes"/>
      <sheetName val="SCS"/>
      <sheetName val="TRANS"/>
      <sheetName val="JSO"/>
      <sheetName val="DUoS (t)"/>
      <sheetName val="Q (t)"/>
    </sheetNames>
    <sheetDataSet>
      <sheetData sheetId="0" refreshError="1"/>
      <sheetData sheetId="1" refreshError="1">
        <row r="3">
          <cell r="B3" t="str">
            <v>SA Power Networks</v>
          </cell>
        </row>
        <row r="4">
          <cell r="B4">
            <v>2021</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Std Control"/>
      <sheetName val="Trans"/>
      <sheetName val="JSO"/>
      <sheetName val="CPT"/>
      <sheetName val="DUOS (t)"/>
      <sheetName val="TUOS (t)"/>
      <sheetName val="JSO (t)"/>
      <sheetName val="CPT (t)"/>
      <sheetName val="Neg Serv (t)"/>
      <sheetName val="NUOS (t)"/>
      <sheetName val="Q (t)"/>
      <sheetName val="DUOS (t-1)"/>
      <sheetName val="TUOS (t-1)"/>
      <sheetName val="JSO (t-1)"/>
      <sheetName val="Neg Serv (t-1)"/>
      <sheetName val="NUOS (t-1)"/>
      <sheetName val="TSS DUoS 17-20"/>
      <sheetName val="TSS TUoS 17-20 unadj"/>
      <sheetName val="TSS TUoS 17-20"/>
      <sheetName val="TSS JSO 17-20"/>
      <sheetName val="TSS NUoS 17-20"/>
      <sheetName val="DUoS Schedule"/>
      <sheetName val="TUoS Schedule"/>
      <sheetName val="JSO (PV) Schedule"/>
      <sheetName val="Neg Services Schedule"/>
      <sheetName val="NUoS Schedule"/>
      <sheetName val="Indicative Prices"/>
    </sheetNames>
    <sheetDataSet>
      <sheetData sheetId="0" refreshError="1">
        <row r="82">
          <cell r="C82" t="str">
            <v>New_South_Wales</v>
          </cell>
        </row>
        <row r="83">
          <cell r="C83" t="str">
            <v>South_Australia</v>
          </cell>
        </row>
        <row r="84">
          <cell r="C84" t="str">
            <v>Victoria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N"/>
    </sheetNames>
    <sheetDataSet>
      <sheetData sheetId="0">
        <row r="3">
          <cell r="B3">
            <v>4.7455559849309541E-2</v>
          </cell>
        </row>
        <row r="6">
          <cell r="B6">
            <v>2.2739900899011012E-2</v>
          </cell>
        </row>
        <row r="9">
          <cell r="B9">
            <v>2.4166123692419772E-2</v>
          </cell>
        </row>
        <row r="11">
          <cell r="H11">
            <v>775.90954497412315</v>
          </cell>
        </row>
        <row r="13">
          <cell r="I13">
            <v>1.7892495215348712E-2</v>
          </cell>
          <cell r="J13">
            <v>1.7892495215348712E-2</v>
          </cell>
          <cell r="K13">
            <v>1.7892495215348712E-2</v>
          </cell>
          <cell r="L13">
            <v>1.7892495215348712E-2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TPIS Performance Calculations"/>
      <sheetName val="S-factor"/>
      <sheetName val="overlap between reg periods"/>
      <sheetName val="2018-19 Daily Performance"/>
      <sheetName val="2017-18 Daily Performance"/>
      <sheetName val="2016-17 Daily Performance"/>
      <sheetName val="2018-19 Major Event Days"/>
      <sheetName val="2017-18 Major Event Days"/>
      <sheetName val="2016-17 Major Event Days"/>
      <sheetName val="2018-19 Telephone Answering"/>
      <sheetName val="2017-18 Telephone Answering"/>
      <sheetName val="2016-17 Telephone Answering"/>
      <sheetName val="Customer numbers"/>
      <sheetName val="2014-15 Telephone Answering"/>
      <sheetName val="2014-15 Major Event Days"/>
      <sheetName val="2014-15 Daily Performance "/>
      <sheetName val="2014-15 STPIS Exclusions"/>
      <sheetName val="2013-14 STPIS Exclusions"/>
      <sheetName val="2013-14 Major Event Days"/>
      <sheetName val="2013-14 Daily Performance Data"/>
      <sheetName val="2013-14 Telephone Answering"/>
      <sheetName val="2012-13 STPIS Exclusions"/>
      <sheetName val="2012-13 Major Event Days"/>
      <sheetName val="2012-13 Daily Performance Data"/>
      <sheetName val="2012-13 Telephone Answering"/>
      <sheetName val="2011-12 Major Event Days"/>
      <sheetName val="2011-12 Daily Performance Data"/>
      <sheetName val="2011-12 Telephone Answering"/>
      <sheetName val="2011-12 STPIS Exclusions"/>
    </sheetNames>
    <sheetDataSet>
      <sheetData sheetId="0" refreshError="1"/>
      <sheetData sheetId="1" refreshError="1"/>
      <sheetData sheetId="2" refreshError="1"/>
      <sheetData sheetId="3">
        <row r="36">
          <cell r="H36">
            <v>-5.8292991223979158E-7</v>
          </cell>
          <cell r="I36">
            <v>2.2371809708668033E-2</v>
          </cell>
          <cell r="J36">
            <v>1.3487255731585046E-2</v>
          </cell>
          <cell r="K36">
            <v>-6.6536169262350064E-3</v>
          </cell>
          <cell r="L36">
            <v>1.4359118242871505E-2</v>
          </cell>
          <cell r="M36">
            <v>4.2206517490312449E-2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PTRM 2015-16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temp_shared assets"/>
      <sheetName val="SAPN - Final decision - PTRM - "/>
    </sheetNames>
    <definedNames>
      <definedName name="vanilla01" refersTo="='WACC'!$G$18"/>
      <definedName name="vanilla02" refersTo="='WACC'!$H$18"/>
      <definedName name="vanilla03" refersTo="='WACC'!$I$18"/>
      <definedName name="X_03_RevCap" refersTo="='X factors'!$I$63"/>
    </definedNames>
    <sheetDataSet>
      <sheetData sheetId="0" refreshError="1"/>
      <sheetData sheetId="1" refreshError="1"/>
      <sheetData sheetId="2" refreshError="1"/>
      <sheetData sheetId="3" refreshError="1"/>
      <sheetData sheetId="4">
        <row r="18">
          <cell r="G18">
            <v>6.1679999999999999E-2</v>
          </cell>
          <cell r="H18">
            <v>6.1856401757822851E-2</v>
          </cell>
          <cell r="I18">
            <v>6.1753980592531385E-2</v>
          </cell>
        </row>
      </sheetData>
      <sheetData sheetId="5" refreshError="1"/>
      <sheetData sheetId="6" refreshError="1"/>
      <sheetData sheetId="7" refreshError="1"/>
      <sheetData sheetId="8">
        <row r="63">
          <cell r="I63">
            <v>-9.4255243297011355E-3</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PTRM 2015-16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temp_shared assets"/>
      <sheetName val="SAPN - Final Decision - PTRM - "/>
    </sheetNames>
    <definedNames>
      <definedName name="vanilla05" refersTo="='WACC'!$K$18"/>
      <definedName name="X_05_RevCap" refersTo="='X factors'!$K$63"/>
    </definedNames>
    <sheetDataSet>
      <sheetData sheetId="0"/>
      <sheetData sheetId="1"/>
      <sheetData sheetId="2"/>
      <sheetData sheetId="3"/>
      <sheetData sheetId="4">
        <row r="18">
          <cell r="K18">
            <v>6.0856782764485799E-2</v>
          </cell>
        </row>
      </sheetData>
      <sheetData sheetId="5">
        <row r="18">
          <cell r="K18">
            <v>0</v>
          </cell>
        </row>
        <row r="63">
          <cell r="K63">
            <v>0</v>
          </cell>
        </row>
      </sheetData>
      <sheetData sheetId="6">
        <row r="18">
          <cell r="K18">
            <v>1872.3574602538954</v>
          </cell>
        </row>
      </sheetData>
      <sheetData sheetId="7">
        <row r="18">
          <cell r="K18">
            <v>622200</v>
          </cell>
        </row>
        <row r="63">
          <cell r="K63">
            <v>0</v>
          </cell>
        </row>
      </sheetData>
      <sheetData sheetId="8">
        <row r="63">
          <cell r="K63">
            <v>-8.5389239476252911E-3</v>
          </cell>
        </row>
      </sheetData>
      <sheetData sheetId="9">
        <row r="18">
          <cell r="K18">
            <v>8.2724572962392801E-3</v>
          </cell>
        </row>
        <row r="63">
          <cell r="K63">
            <v>827.10674199631842</v>
          </cell>
        </row>
      </sheetData>
      <sheetData sheetId="10"/>
      <sheetData sheetId="1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0-Customer nos and Demand"/>
      <sheetName val="1-Dist O&amp;U"/>
      <sheetName val="2-Dist Tariffs"/>
      <sheetName val="3-Dist Rev"/>
      <sheetName val="4-Tx O&amp;U"/>
      <sheetName val="5-Tx Tariffs"/>
      <sheetName val="6-Tx Revenue"/>
      <sheetName val="7-JSO O&amp;U"/>
      <sheetName val="8-JSO Tariffs"/>
      <sheetName val="9-JSO Revenue"/>
      <sheetName val="10-Neg Serv Tariffs"/>
      <sheetName val="11-Neg Serv Tariff Rev"/>
      <sheetName val="12-Alt Cont Tariffs"/>
      <sheetName val="13-Alt Cont Tariff Rev"/>
      <sheetName val="16-Total Tariffs"/>
      <sheetName val="17-Check Zero Tariffs"/>
      <sheetName val="18-Total Tariff Revenue"/>
      <sheetName val="21-Customer nos  Alt Control"/>
      <sheetName val="22-Tariffs Alt Control"/>
      <sheetName val="23-Tariff Rev Alt Control"/>
      <sheetName val="31-Customer nos and Demand PV"/>
      <sheetName val="32-Tariffs PV"/>
      <sheetName val="33-Tariff Rev PV"/>
      <sheetName val="Check Sheet"/>
    </sheetNames>
    <sheetDataSet>
      <sheetData sheetId="0" refreshError="1"/>
      <sheetData sheetId="1" refreshError="1"/>
      <sheetData sheetId="2" refreshError="1"/>
      <sheetData sheetId="3">
        <row r="9">
          <cell r="E9">
            <v>793313.44528001361</v>
          </cell>
        </row>
        <row r="11">
          <cell r="E11">
            <v>804157.86699999997</v>
          </cell>
        </row>
      </sheetData>
      <sheetData sheetId="4" refreshError="1"/>
      <sheetData sheetId="5" refreshError="1"/>
      <sheetData sheetId="6">
        <row r="9">
          <cell r="E9">
            <v>236557.65442391532</v>
          </cell>
        </row>
        <row r="34">
          <cell r="V34">
            <v>21319.742040000001</v>
          </cell>
        </row>
        <row r="35">
          <cell r="V35">
            <v>21179.137190000001</v>
          </cell>
        </row>
        <row r="36">
          <cell r="V36">
            <v>21090.31639</v>
          </cell>
        </row>
        <row r="37">
          <cell r="V37">
            <v>20725.9022</v>
          </cell>
        </row>
        <row r="38">
          <cell r="V38">
            <v>18949.167420000002</v>
          </cell>
        </row>
        <row r="39">
          <cell r="V39">
            <v>19568.516919999998</v>
          </cell>
        </row>
        <row r="40">
          <cell r="V40">
            <v>20195.594239999999</v>
          </cell>
        </row>
        <row r="41">
          <cell r="V41">
            <v>18120.734260000001</v>
          </cell>
        </row>
        <row r="42">
          <cell r="V42">
            <v>20158.181479999999</v>
          </cell>
        </row>
        <row r="43">
          <cell r="V43">
            <v>18673.191009999999</v>
          </cell>
        </row>
        <row r="44">
          <cell r="V44">
            <v>19948.14169</v>
          </cell>
        </row>
        <row r="45">
          <cell r="V45">
            <v>20065.876769999999</v>
          </cell>
        </row>
      </sheetData>
      <sheetData sheetId="7" refreshError="1"/>
      <sheetData sheetId="8" refreshError="1"/>
      <sheetData sheetId="9">
        <row r="9">
          <cell r="E9">
            <v>75971.665933087628</v>
          </cell>
        </row>
        <row r="30">
          <cell r="E30">
            <v>-14958.821870529169</v>
          </cell>
        </row>
        <row r="31">
          <cell r="E31">
            <v>-67329.981056763398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9">
          <cell r="N69">
            <v>33997.32243302084</v>
          </cell>
        </row>
        <row r="70">
          <cell r="N70">
            <v>153022.68421991682</v>
          </cell>
        </row>
      </sheetData>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Std Control"/>
      <sheetName val="Trans"/>
      <sheetName val="JSO"/>
      <sheetName val="CPT"/>
      <sheetName val="DUOS (t)"/>
      <sheetName val="TUOS (t)"/>
      <sheetName val="JSO (t)"/>
      <sheetName val="CPT (t)"/>
      <sheetName val="Neg Serv (t)"/>
      <sheetName val="NUOS (t)"/>
      <sheetName val="Q (t)"/>
      <sheetName val="DUOS (t-1)"/>
      <sheetName val="TUOS (t-1)"/>
      <sheetName val="JSO (t-1)"/>
      <sheetName val="Neg Serv (t-1)"/>
      <sheetName val="NUOS (t-1)"/>
      <sheetName val="TSS DUoS 17-20"/>
      <sheetName val="TSS TUoS 17-20 unadj"/>
      <sheetName val="TSS TUoS 17-20"/>
      <sheetName val="TSS JSO 17-20"/>
      <sheetName val="TSS NUoS 17-20"/>
      <sheetName val="DUoS Schedule"/>
      <sheetName val="TUoS Schedule"/>
      <sheetName val="JSO (PV) Schedule"/>
      <sheetName val="Neg Services Schedule"/>
      <sheetName val="NUoS Schedule"/>
      <sheetName val="Indicative Prices"/>
    </sheetNames>
    <sheetDataSet>
      <sheetData sheetId="0" refreshError="1"/>
      <sheetData sheetId="1" refreshError="1"/>
      <sheetData sheetId="2">
        <row r="14">
          <cell r="F14">
            <v>837347.53899999999</v>
          </cell>
        </row>
        <row r="34">
          <cell r="D34">
            <v>-12669.747904945103</v>
          </cell>
        </row>
      </sheetData>
      <sheetData sheetId="3">
        <row r="32">
          <cell r="D32">
            <v>-3671.0453605029738</v>
          </cell>
        </row>
      </sheetData>
      <sheetData sheetId="4">
        <row r="31">
          <cell r="D31">
            <v>2986.868814140963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TSS DUoS 17-18"/>
      <sheetName val="TSS TUoS 17-18"/>
      <sheetName val="TSS JSO 17-18"/>
      <sheetName val="Std Control"/>
      <sheetName val="Trans"/>
      <sheetName val="JSO"/>
      <sheetName val="CPT"/>
      <sheetName val="DUOS (t)"/>
      <sheetName val="TUOS (t)"/>
      <sheetName val="JSO (t)"/>
      <sheetName val="CPT (t)"/>
      <sheetName val="Neg Serv (t)"/>
      <sheetName val="NUOS (t)"/>
      <sheetName val="Q (t)"/>
      <sheetName val="DUoS Schedule"/>
      <sheetName val="TUoS Schedule"/>
      <sheetName val="JSO (PV) Schedule"/>
      <sheetName val="Neg Services Schedule"/>
      <sheetName val="NUoS Schedule"/>
      <sheetName val="DUOS (t-1)"/>
      <sheetName val="TUOS (t-1)"/>
      <sheetName val="JSO (t-1)"/>
      <sheetName val="NUOS (t-1)"/>
      <sheetName val="Indicative Prices"/>
    </sheetNames>
    <sheetDataSet>
      <sheetData sheetId="0"/>
      <sheetData sheetId="1">
        <row r="3">
          <cell r="B3" t="str">
            <v>SA Power Networks</v>
          </cell>
        </row>
      </sheetData>
      <sheetData sheetId="2"/>
      <sheetData sheetId="3"/>
      <sheetData sheetId="4"/>
      <sheetData sheetId="5">
        <row r="11">
          <cell r="D11">
            <v>717802.65653265861</v>
          </cell>
        </row>
        <row r="15">
          <cell r="I15"/>
        </row>
        <row r="16">
          <cell r="I16"/>
        </row>
      </sheetData>
      <sheetData sheetId="6">
        <row r="11">
          <cell r="D11">
            <v>278448.12592440547</v>
          </cell>
        </row>
      </sheetData>
      <sheetData sheetId="7">
        <row r="11">
          <cell r="D11">
            <v>122978.42678093906</v>
          </cell>
        </row>
      </sheetData>
      <sheetData sheetId="8"/>
      <sheetData sheetId="9">
        <row r="9">
          <cell r="B9" t="str">
            <v>Tariff Class A - Residential</v>
          </cell>
        </row>
      </sheetData>
      <sheetData sheetId="10">
        <row r="9">
          <cell r="AJ9">
            <v>102718.1771062</v>
          </cell>
        </row>
      </sheetData>
      <sheetData sheetId="11">
        <row r="9">
          <cell r="AJ9">
            <v>41012.697236600005</v>
          </cell>
        </row>
      </sheetData>
      <sheetData sheetId="12"/>
      <sheetData sheetId="13">
        <row r="29">
          <cell r="F29">
            <v>9.7500000000000003E-2</v>
          </cell>
        </row>
      </sheetData>
      <sheetData sheetId="14">
        <row r="11">
          <cell r="E11">
            <v>0.37539999999999996</v>
          </cell>
        </row>
      </sheetData>
      <sheetData sheetId="15">
        <row r="11">
          <cell r="E11">
            <v>170787327</v>
          </cell>
        </row>
      </sheetData>
      <sheetData sheetId="16">
        <row r="7">
          <cell r="D7">
            <v>0.34599999999999997</v>
          </cell>
        </row>
      </sheetData>
      <sheetData sheetId="17">
        <row r="7">
          <cell r="D7">
            <v>0</v>
          </cell>
        </row>
      </sheetData>
      <sheetData sheetId="18">
        <row r="7">
          <cell r="D7">
            <v>2.9399999999999999E-2</v>
          </cell>
        </row>
      </sheetData>
      <sheetData sheetId="19">
        <row r="7">
          <cell r="D7">
            <v>0</v>
          </cell>
        </row>
      </sheetData>
      <sheetData sheetId="20">
        <row r="7">
          <cell r="D7">
            <v>0.37539999999999996</v>
          </cell>
        </row>
      </sheetData>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Input-Workings"/>
      <sheetName val="APP"/>
      <sheetName val="Compare RFc v APP"/>
      <sheetName val="Under-Overs"/>
      <sheetName val="Q (t) 2019"/>
    </sheetNames>
    <sheetDataSet>
      <sheetData sheetId="0" refreshError="1"/>
      <sheetData sheetId="1">
        <row r="9">
          <cell r="D9">
            <v>-1.9</v>
          </cell>
        </row>
      </sheetData>
      <sheetData sheetId="2" refreshError="1"/>
      <sheetData sheetId="3" refreshError="1"/>
      <sheetData sheetId="4">
        <row r="49">
          <cell r="N49">
            <v>244016.11350520965</v>
          </cell>
          <cell r="O49">
            <v>263186.61064000003</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Std Control"/>
      <sheetName val="Trans"/>
      <sheetName val="JSO"/>
      <sheetName val="CPT"/>
      <sheetName val="DUOS (t)"/>
      <sheetName val="TUOS (t)"/>
      <sheetName val="JSO (t)"/>
      <sheetName val="CPT (t)"/>
      <sheetName val="Neg Serv (t)"/>
      <sheetName val="NUOS (t)"/>
      <sheetName val="Q (t)"/>
      <sheetName val="DUOS (t-1)"/>
      <sheetName val="TUOS (t-1)"/>
      <sheetName val="JSO (t-1)"/>
      <sheetName val="Neg Serv (t-1)"/>
      <sheetName val="NUOS (t-1)"/>
      <sheetName val="TSS DUoS 17-20"/>
      <sheetName val="TSS TUoS 17-20 unadj"/>
      <sheetName val="TSS TUoS 17-20"/>
      <sheetName val="TSS JSO 17-20"/>
      <sheetName val="TSS NUoS 17-20"/>
      <sheetName val="DUoS Schedule"/>
      <sheetName val="TUoS Schedule"/>
      <sheetName val="JSO (PV) Schedule"/>
      <sheetName val="Neg Services Schedule"/>
      <sheetName val="NUoS Schedule"/>
      <sheetName val="Indicative Prices"/>
    </sheetNames>
    <sheetDataSet>
      <sheetData sheetId="0" refreshError="1"/>
      <sheetData sheetId="1" refreshError="1"/>
      <sheetData sheetId="2" refreshError="1"/>
      <sheetData sheetId="3" refreshError="1"/>
      <sheetData sheetId="4" refreshError="1"/>
      <sheetData sheetId="5" refreshError="1"/>
      <sheetData sheetId="6">
        <row r="131">
          <cell r="AR131">
            <v>137.00785523498408</v>
          </cell>
        </row>
        <row r="132">
          <cell r="AR132">
            <v>45.2</v>
          </cell>
        </row>
        <row r="133">
          <cell r="AR133">
            <v>125.03804282208803</v>
          </cell>
        </row>
        <row r="134">
          <cell r="AR134">
            <v>107.65216721383861</v>
          </cell>
        </row>
        <row r="135">
          <cell r="AR135">
            <v>70.599075896771254</v>
          </cell>
        </row>
        <row r="136">
          <cell r="AR136">
            <v>47.914679556219781</v>
          </cell>
        </row>
        <row r="137">
          <cell r="AR137">
            <v>10.79123501975532</v>
          </cell>
        </row>
        <row r="138">
          <cell r="AR138">
            <v>87.18378705254095</v>
          </cell>
        </row>
      </sheetData>
      <sheetData sheetId="7">
        <row r="131">
          <cell r="AR131">
            <v>32.500056930511271</v>
          </cell>
        </row>
        <row r="132">
          <cell r="AR132">
            <v>16.599999999999998</v>
          </cell>
        </row>
        <row r="133">
          <cell r="AR133">
            <v>30.427024091159371</v>
          </cell>
        </row>
        <row r="134">
          <cell r="AR134">
            <v>30.747795973207534</v>
          </cell>
        </row>
        <row r="135">
          <cell r="AR135">
            <v>21.809816272658697</v>
          </cell>
        </row>
        <row r="136">
          <cell r="AR136">
            <v>20.541325697455999</v>
          </cell>
        </row>
        <row r="137">
          <cell r="AR137">
            <v>15.70517570579875</v>
          </cell>
        </row>
        <row r="138">
          <cell r="AR138">
            <v>25.442574921469358</v>
          </cell>
        </row>
      </sheetData>
      <sheetData sheetId="8">
        <row r="131">
          <cell r="AR131">
            <v>15.271834803752231</v>
          </cell>
        </row>
        <row r="132">
          <cell r="AR132">
            <v>11.599999999999998</v>
          </cell>
        </row>
        <row r="133">
          <cell r="AR133">
            <v>14.793104811644659</v>
          </cell>
        </row>
        <row r="134">
          <cell r="AR134">
            <v>8.0838307903408424</v>
          </cell>
        </row>
        <row r="135">
          <cell r="AR135">
            <v>5.2007935783854577</v>
          </cell>
        </row>
        <row r="136">
          <cell r="AR136">
            <v>3.5957098292890035</v>
          </cell>
        </row>
        <row r="137">
          <cell r="AR137">
            <v>0.8</v>
          </cell>
        </row>
        <row r="138">
          <cell r="AR138">
            <v>8.4918205862717926</v>
          </cell>
        </row>
      </sheetData>
      <sheetData sheetId="9" refreshError="1"/>
      <sheetData sheetId="10" refreshError="1"/>
      <sheetData sheetId="11">
        <row r="131">
          <cell r="AT131">
            <v>184.77974696924755</v>
          </cell>
        </row>
        <row r="132">
          <cell r="AT132">
            <v>73.400000000000006</v>
          </cell>
        </row>
        <row r="133">
          <cell r="AT133">
            <v>170.25817172489204</v>
          </cell>
        </row>
        <row r="134">
          <cell r="AT134">
            <v>146.48379397738697</v>
          </cell>
        </row>
        <row r="135">
          <cell r="AT135">
            <v>97.609685747815405</v>
          </cell>
        </row>
        <row r="136">
          <cell r="AT136">
            <v>72.051715082964776</v>
          </cell>
        </row>
        <row r="137">
          <cell r="AT137">
            <v>27.296410725554065</v>
          </cell>
        </row>
        <row r="138">
          <cell r="AT138">
            <v>121.11818256028208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ustomer nos and Demand 2018"/>
      <sheetName val="Customer nos and Demand 2019"/>
      <sheetName val="Billing Qty 2020 estimate"/>
      <sheetName val="Billing Qty 2021 OLD Format"/>
      <sheetName val="Billing Qty 2021 NEW Format"/>
      <sheetName val="CHARTS"/>
    </sheetNames>
    <sheetDataSet>
      <sheetData sheetId="0"/>
      <sheetData sheetId="1"/>
      <sheetData sheetId="2"/>
      <sheetData sheetId="3"/>
      <sheetData sheetId="4"/>
      <sheetData sheetId="5">
        <row r="18">
          <cell r="G18">
            <v>242803475</v>
          </cell>
          <cell r="H18">
            <v>2657800</v>
          </cell>
        </row>
        <row r="19">
          <cell r="G19">
            <v>0</v>
          </cell>
          <cell r="H19">
            <v>0</v>
          </cell>
          <cell r="L19">
            <v>361600</v>
          </cell>
        </row>
        <row r="21">
          <cell r="G21">
            <v>47156905</v>
          </cell>
          <cell r="I21">
            <v>352600</v>
          </cell>
          <cell r="J21">
            <v>67700</v>
          </cell>
          <cell r="K21">
            <v>104400</v>
          </cell>
        </row>
        <row r="22">
          <cell r="G22">
            <v>0</v>
          </cell>
          <cell r="I22">
            <v>0</v>
          </cell>
          <cell r="J22">
            <v>0</v>
          </cell>
          <cell r="K22">
            <v>0</v>
          </cell>
          <cell r="M22">
            <v>0</v>
          </cell>
          <cell r="N22">
            <v>87500</v>
          </cell>
          <cell r="O22">
            <v>21900</v>
          </cell>
        </row>
        <row r="23">
          <cell r="G23">
            <v>1460000</v>
          </cell>
          <cell r="I23">
            <v>1800</v>
          </cell>
          <cell r="J23">
            <v>1700</v>
          </cell>
          <cell r="K23">
            <v>1000</v>
          </cell>
          <cell r="U23">
            <v>1752000</v>
          </cell>
        </row>
        <row r="24">
          <cell r="G24">
            <v>0</v>
          </cell>
          <cell r="I24">
            <v>0</v>
          </cell>
          <cell r="J24">
            <v>0</v>
          </cell>
          <cell r="K24">
            <v>0</v>
          </cell>
          <cell r="M24">
            <v>0</v>
          </cell>
          <cell r="N24">
            <v>0</v>
          </cell>
          <cell r="O24">
            <v>0</v>
          </cell>
        </row>
        <row r="27">
          <cell r="H27">
            <v>93000</v>
          </cell>
        </row>
        <row r="28">
          <cell r="H28">
            <v>17000</v>
          </cell>
        </row>
        <row r="30">
          <cell r="G30">
            <v>17076160</v>
          </cell>
          <cell r="H30">
            <v>339500</v>
          </cell>
        </row>
        <row r="31">
          <cell r="L31">
            <v>3000</v>
          </cell>
        </row>
        <row r="32">
          <cell r="G32">
            <v>8568740</v>
          </cell>
          <cell r="I32">
            <v>171600</v>
          </cell>
          <cell r="K32">
            <v>154600</v>
          </cell>
        </row>
        <row r="33">
          <cell r="L33">
            <v>2900</v>
          </cell>
        </row>
        <row r="34">
          <cell r="L34">
            <v>100</v>
          </cell>
        </row>
        <row r="36">
          <cell r="G36">
            <v>7314600</v>
          </cell>
          <cell r="I36">
            <v>32600</v>
          </cell>
          <cell r="J36">
            <v>229600</v>
          </cell>
          <cell r="K36">
            <v>205100</v>
          </cell>
        </row>
        <row r="37">
          <cell r="G37">
            <v>533265</v>
          </cell>
          <cell r="I37">
            <v>4400</v>
          </cell>
          <cell r="J37">
            <v>38000</v>
          </cell>
          <cell r="K37">
            <v>25700</v>
          </cell>
          <cell r="T37">
            <v>26073045</v>
          </cell>
        </row>
        <row r="38">
          <cell r="G38">
            <v>406975</v>
          </cell>
          <cell r="H38">
            <v>29200</v>
          </cell>
          <cell r="Q38">
            <v>1825137</v>
          </cell>
          <cell r="R38">
            <v>4632215</v>
          </cell>
        </row>
        <row r="41">
          <cell r="G41">
            <v>200</v>
          </cell>
          <cell r="H41">
            <v>100</v>
          </cell>
        </row>
        <row r="42">
          <cell r="L42">
            <v>0</v>
          </cell>
        </row>
        <row r="43">
          <cell r="G43">
            <v>400</v>
          </cell>
          <cell r="I43">
            <v>100</v>
          </cell>
          <cell r="K43">
            <v>100</v>
          </cell>
        </row>
        <row r="44">
          <cell r="L44">
            <v>0</v>
          </cell>
        </row>
        <row r="46">
          <cell r="G46">
            <v>1389555</v>
          </cell>
          <cell r="I46">
            <v>1286940</v>
          </cell>
          <cell r="K46">
            <v>1235550</v>
          </cell>
          <cell r="S46">
            <v>236666000</v>
          </cell>
          <cell r="T46">
            <v>323704630</v>
          </cell>
        </row>
        <row r="47">
          <cell r="G47">
            <v>109865</v>
          </cell>
          <cell r="I47">
            <v>79500</v>
          </cell>
          <cell r="K47">
            <v>54000</v>
          </cell>
          <cell r="P47">
            <v>3651331</v>
          </cell>
          <cell r="T47">
            <v>30277845</v>
          </cell>
        </row>
        <row r="49">
          <cell r="G49">
            <v>79205</v>
          </cell>
          <cell r="H49">
            <v>71000</v>
          </cell>
          <cell r="Q49">
            <v>5382848</v>
          </cell>
          <cell r="R49">
            <v>11592765</v>
          </cell>
        </row>
        <row r="50">
          <cell r="G50">
            <v>365</v>
          </cell>
          <cell r="I50">
            <v>0</v>
          </cell>
          <cell r="K50">
            <v>100</v>
          </cell>
          <cell r="S50">
            <v>0</v>
          </cell>
          <cell r="T50">
            <v>0</v>
          </cell>
        </row>
        <row r="56">
          <cell r="G56">
            <v>365</v>
          </cell>
          <cell r="I56">
            <v>4140</v>
          </cell>
          <cell r="K56">
            <v>5830</v>
          </cell>
          <cell r="S56">
            <v>738395</v>
          </cell>
          <cell r="T56">
            <v>911040</v>
          </cell>
        </row>
        <row r="57">
          <cell r="G57">
            <v>365</v>
          </cell>
          <cell r="I57">
            <v>420</v>
          </cell>
          <cell r="K57">
            <v>1020</v>
          </cell>
          <cell r="S57">
            <v>287620</v>
          </cell>
          <cell r="T57">
            <v>514650</v>
          </cell>
        </row>
        <row r="62">
          <cell r="G62">
            <v>365</v>
          </cell>
          <cell r="I62">
            <v>4100</v>
          </cell>
          <cell r="K62">
            <v>5400</v>
          </cell>
          <cell r="S62">
            <v>1069450</v>
          </cell>
          <cell r="T62">
            <v>1800910</v>
          </cell>
        </row>
        <row r="63">
          <cell r="G63">
            <v>365</v>
          </cell>
          <cell r="I63">
            <v>1100</v>
          </cell>
          <cell r="K63">
            <v>1600</v>
          </cell>
          <cell r="P63">
            <v>109475</v>
          </cell>
          <cell r="T63">
            <v>572320</v>
          </cell>
        </row>
        <row r="69">
          <cell r="G69">
            <v>50370</v>
          </cell>
          <cell r="I69">
            <v>265600</v>
          </cell>
          <cell r="K69">
            <v>284700</v>
          </cell>
          <cell r="S69">
            <v>50549580</v>
          </cell>
          <cell r="T69">
            <v>65300325</v>
          </cell>
        </row>
        <row r="70">
          <cell r="G70">
            <v>2190</v>
          </cell>
          <cell r="I70">
            <v>7600</v>
          </cell>
          <cell r="K70">
            <v>10800</v>
          </cell>
          <cell r="P70">
            <v>546922</v>
          </cell>
          <cell r="T70">
            <v>3293760</v>
          </cell>
        </row>
        <row r="72">
          <cell r="G72">
            <v>4745</v>
          </cell>
          <cell r="H72">
            <v>12500</v>
          </cell>
          <cell r="Q72">
            <v>449678</v>
          </cell>
          <cell r="R72">
            <v>1623520</v>
          </cell>
        </row>
        <row r="73">
          <cell r="G73">
            <v>9125</v>
          </cell>
          <cell r="I73">
            <v>3700</v>
          </cell>
          <cell r="K73">
            <v>3700</v>
          </cell>
          <cell r="S73">
            <v>662840</v>
          </cell>
          <cell r="T73">
            <v>1369115</v>
          </cell>
        </row>
        <row r="74">
          <cell r="G74">
            <v>0</v>
          </cell>
          <cell r="I74">
            <v>0</v>
          </cell>
          <cell r="K74">
            <v>0</v>
          </cell>
          <cell r="S74">
            <v>0</v>
          </cell>
          <cell r="T74">
            <v>0</v>
          </cell>
        </row>
        <row r="76">
          <cell r="G76">
            <v>365</v>
          </cell>
          <cell r="I76">
            <v>12700</v>
          </cell>
          <cell r="K76">
            <v>12500</v>
          </cell>
          <cell r="S76">
            <v>1564390</v>
          </cell>
          <cell r="T76">
            <v>2384180</v>
          </cell>
        </row>
        <row r="77">
          <cell r="G77">
            <v>365</v>
          </cell>
          <cell r="I77">
            <v>7300</v>
          </cell>
          <cell r="K77">
            <v>5700</v>
          </cell>
          <cell r="S77">
            <v>1600890</v>
          </cell>
          <cell r="T77">
            <v>1700170</v>
          </cell>
        </row>
        <row r="78">
          <cell r="G78">
            <v>365</v>
          </cell>
          <cell r="I78">
            <v>5000</v>
          </cell>
          <cell r="K78">
            <v>16000</v>
          </cell>
          <cell r="S78">
            <v>0</v>
          </cell>
          <cell r="T78">
            <v>2117000</v>
          </cell>
        </row>
        <row r="79">
          <cell r="G79">
            <v>365</v>
          </cell>
          <cell r="I79">
            <v>10700</v>
          </cell>
          <cell r="K79">
            <v>8500</v>
          </cell>
          <cell r="S79">
            <v>1764410</v>
          </cell>
          <cell r="T79">
            <v>2027210</v>
          </cell>
        </row>
        <row r="80">
          <cell r="G80">
            <v>365</v>
          </cell>
          <cell r="I80">
            <v>6600</v>
          </cell>
          <cell r="K80">
            <v>4500</v>
          </cell>
          <cell r="S80">
            <v>1330425</v>
          </cell>
          <cell r="T80">
            <v>1372400</v>
          </cell>
        </row>
        <row r="81">
          <cell r="G81">
            <v>365</v>
          </cell>
          <cell r="I81">
            <v>6300</v>
          </cell>
          <cell r="K81">
            <v>5100</v>
          </cell>
          <cell r="S81">
            <v>1231875</v>
          </cell>
          <cell r="T81">
            <v>1259250</v>
          </cell>
        </row>
        <row r="82">
          <cell r="G82">
            <v>365</v>
          </cell>
          <cell r="I82">
            <v>11600</v>
          </cell>
          <cell r="K82">
            <v>11600</v>
          </cell>
          <cell r="S82">
            <v>1614030</v>
          </cell>
          <cell r="T82">
            <v>1665860</v>
          </cell>
        </row>
        <row r="83">
          <cell r="G83">
            <v>365</v>
          </cell>
          <cell r="I83">
            <v>10400</v>
          </cell>
          <cell r="K83">
            <v>9600</v>
          </cell>
          <cell r="S83">
            <v>1488105</v>
          </cell>
          <cell r="T83">
            <v>1766235</v>
          </cell>
        </row>
        <row r="84">
          <cell r="G84">
            <v>365</v>
          </cell>
          <cell r="I84">
            <v>6100</v>
          </cell>
          <cell r="K84">
            <v>4900</v>
          </cell>
          <cell r="S84">
            <v>968710</v>
          </cell>
          <cell r="T84">
            <v>1090620</v>
          </cell>
        </row>
        <row r="94">
          <cell r="G94">
            <v>365</v>
          </cell>
          <cell r="H94">
            <v>20561.394500000002</v>
          </cell>
          <cell r="S94">
            <v>1573358.78</v>
          </cell>
          <cell r="T94">
            <v>1825000</v>
          </cell>
        </row>
        <row r="95">
          <cell r="G95">
            <v>365</v>
          </cell>
          <cell r="H95">
            <v>24905.050000000003</v>
          </cell>
          <cell r="S95">
            <v>2062195.2500000002</v>
          </cell>
          <cell r="T95">
            <v>2062195.2500000002</v>
          </cell>
        </row>
        <row r="96">
          <cell r="G96">
            <v>365</v>
          </cell>
          <cell r="H96">
            <v>8861.0153499999997</v>
          </cell>
          <cell r="S96">
            <v>1002255.69</v>
          </cell>
          <cell r="T96">
            <v>1825000</v>
          </cell>
        </row>
        <row r="97">
          <cell r="G97">
            <v>365</v>
          </cell>
          <cell r="H97">
            <v>23878.657950000001</v>
          </cell>
          <cell r="S97">
            <v>2490079.2749999999</v>
          </cell>
          <cell r="T97">
            <v>2500878.5299999998</v>
          </cell>
        </row>
        <row r="98">
          <cell r="G98">
            <v>365</v>
          </cell>
          <cell r="H98">
            <v>2289.5800020000001</v>
          </cell>
          <cell r="S98">
            <v>981071.09</v>
          </cell>
          <cell r="T98">
            <v>1919124.375</v>
          </cell>
        </row>
        <row r="99">
          <cell r="G99">
            <v>365</v>
          </cell>
          <cell r="H99">
            <v>24772.561650000003</v>
          </cell>
          <cell r="S99">
            <v>1781500.395</v>
          </cell>
          <cell r="T99">
            <v>1825000</v>
          </cell>
        </row>
        <row r="101">
          <cell r="G101">
            <v>365</v>
          </cell>
          <cell r="H101">
            <v>74000</v>
          </cell>
          <cell r="S101">
            <v>4078845.07</v>
          </cell>
          <cell r="T101">
            <v>5133823.55</v>
          </cell>
        </row>
        <row r="102">
          <cell r="G102">
            <v>365</v>
          </cell>
          <cell r="H102">
            <v>174006.38800000001</v>
          </cell>
          <cell r="S102">
            <v>9781182.7649999987</v>
          </cell>
          <cell r="T102">
            <v>9817630.5700000003</v>
          </cell>
        </row>
        <row r="103">
          <cell r="G103">
            <v>365</v>
          </cell>
          <cell r="H103">
            <v>23846.443004000001</v>
          </cell>
          <cell r="S103">
            <v>1524599.5249999999</v>
          </cell>
          <cell r="T103">
            <v>1825000</v>
          </cell>
        </row>
        <row r="104">
          <cell r="G104">
            <v>365</v>
          </cell>
          <cell r="H104">
            <v>27300</v>
          </cell>
          <cell r="S104">
            <v>3470830.26</v>
          </cell>
          <cell r="T104">
            <v>3472358.15</v>
          </cell>
        </row>
        <row r="105">
          <cell r="G105">
            <v>365</v>
          </cell>
          <cell r="H105">
            <v>10600</v>
          </cell>
          <cell r="S105">
            <v>1145428.3999999999</v>
          </cell>
          <cell r="T105">
            <v>1825000</v>
          </cell>
        </row>
        <row r="106">
          <cell r="G106">
            <v>365</v>
          </cell>
          <cell r="H106">
            <v>10600</v>
          </cell>
          <cell r="S106">
            <v>633535.245</v>
          </cell>
          <cell r="T106">
            <v>1825000</v>
          </cell>
        </row>
        <row r="107">
          <cell r="G107">
            <v>365</v>
          </cell>
          <cell r="H107">
            <v>0</v>
          </cell>
          <cell r="S107">
            <v>0</v>
          </cell>
          <cell r="T107">
            <v>0</v>
          </cell>
        </row>
        <row r="108">
          <cell r="G108">
            <v>365</v>
          </cell>
          <cell r="H108">
            <v>32021</v>
          </cell>
          <cell r="S108">
            <v>4581260.2699999996</v>
          </cell>
          <cell r="T108">
            <v>4618258.8599999994</v>
          </cell>
        </row>
        <row r="109">
          <cell r="G109">
            <v>365</v>
          </cell>
          <cell r="H109">
            <v>51446</v>
          </cell>
          <cell r="S109">
            <v>2717743.645</v>
          </cell>
          <cell r="T109">
            <v>3040755.1399999997</v>
          </cell>
        </row>
        <row r="110">
          <cell r="H110">
            <v>0</v>
          </cell>
          <cell r="S110">
            <v>0</v>
          </cell>
          <cell r="T110">
            <v>0</v>
          </cell>
        </row>
        <row r="112">
          <cell r="H112">
            <v>0</v>
          </cell>
          <cell r="S112">
            <v>0</v>
          </cell>
          <cell r="T112">
            <v>0</v>
          </cell>
        </row>
        <row r="113">
          <cell r="G113">
            <v>365</v>
          </cell>
          <cell r="H113">
            <v>8287.9185390000002</v>
          </cell>
          <cell r="S113">
            <v>1070883.72</v>
          </cell>
          <cell r="T113">
            <v>2372500</v>
          </cell>
        </row>
        <row r="114">
          <cell r="G114">
            <v>365</v>
          </cell>
          <cell r="H114">
            <v>2738.69022</v>
          </cell>
          <cell r="S114">
            <v>308511.505</v>
          </cell>
          <cell r="T114">
            <v>318869.83999999997</v>
          </cell>
        </row>
        <row r="115">
          <cell r="G115">
            <v>365</v>
          </cell>
          <cell r="H115">
            <v>9800</v>
          </cell>
          <cell r="S115">
            <v>1414892.2050000001</v>
          </cell>
          <cell r="T115">
            <v>1825000</v>
          </cell>
        </row>
        <row r="117">
          <cell r="G117">
            <v>365</v>
          </cell>
          <cell r="H117">
            <v>150000</v>
          </cell>
          <cell r="S117">
            <v>7717962.2299999995</v>
          </cell>
          <cell r="T117">
            <v>8005846.4900000002</v>
          </cell>
        </row>
        <row r="118">
          <cell r="G118">
            <v>365</v>
          </cell>
          <cell r="H118">
            <v>229778.88508499999</v>
          </cell>
          <cell r="S118">
            <v>10220000</v>
          </cell>
          <cell r="T118">
            <v>18207293.905000001</v>
          </cell>
        </row>
        <row r="119">
          <cell r="G119">
            <v>365</v>
          </cell>
          <cell r="H119">
            <v>85000</v>
          </cell>
          <cell r="S119">
            <v>14547318.455</v>
          </cell>
          <cell r="T119">
            <v>15953731.345000001</v>
          </cell>
        </row>
        <row r="120">
          <cell r="G120">
            <v>365</v>
          </cell>
          <cell r="H120">
            <v>15061.964</v>
          </cell>
          <cell r="S120">
            <v>1836743.875</v>
          </cell>
          <cell r="T120">
            <v>3650000</v>
          </cell>
        </row>
        <row r="121">
          <cell r="G121">
            <v>365</v>
          </cell>
          <cell r="H121">
            <v>90658.642500000002</v>
          </cell>
          <cell r="S121">
            <v>4013540</v>
          </cell>
          <cell r="T121">
            <v>5960337.9449999994</v>
          </cell>
        </row>
        <row r="122">
          <cell r="G122">
            <v>365</v>
          </cell>
          <cell r="H122">
            <v>31008.333723000003</v>
          </cell>
          <cell r="S122">
            <v>3680831.55</v>
          </cell>
          <cell r="T122">
            <v>3702753.8150000004</v>
          </cell>
        </row>
        <row r="123">
          <cell r="G123">
            <v>365</v>
          </cell>
          <cell r="H123">
            <v>17329.286500000002</v>
          </cell>
          <cell r="S123">
            <v>2555000</v>
          </cell>
          <cell r="T123">
            <v>9330396.8149999995</v>
          </cell>
        </row>
        <row r="124">
          <cell r="G124">
            <v>365</v>
          </cell>
          <cell r="H124">
            <v>33415.6944</v>
          </cell>
          <cell r="S124">
            <v>3308941.4450000003</v>
          </cell>
          <cell r="T124">
            <v>3317635.38</v>
          </cell>
        </row>
        <row r="125">
          <cell r="G125">
            <v>365</v>
          </cell>
          <cell r="H125">
            <v>12000</v>
          </cell>
          <cell r="S125">
            <v>2015820.54</v>
          </cell>
          <cell r="T125">
            <v>2331851.0449999999</v>
          </cell>
        </row>
        <row r="132">
          <cell r="J132">
            <v>337000</v>
          </cell>
          <cell r="K132">
            <v>2172000</v>
          </cell>
          <cell r="L132">
            <v>367600</v>
          </cell>
          <cell r="M132">
            <v>0</v>
          </cell>
          <cell r="N132">
            <v>87500</v>
          </cell>
          <cell r="O132">
            <v>21900</v>
          </cell>
          <cell r="P132">
            <v>4307728</v>
          </cell>
          <cell r="Q132">
            <v>7657663</v>
          </cell>
          <cell r="R132">
            <v>17848500</v>
          </cell>
          <cell r="S132">
            <v>392051051.185</v>
          </cell>
          <cell r="T132">
            <v>587691806.005</v>
          </cell>
          <cell r="U132">
            <v>1752000</v>
          </cell>
          <cell r="V132">
            <v>0</v>
          </cell>
        </row>
      </sheetData>
      <sheetData sheetId="6">
        <row r="42">
          <cell r="J42">
            <v>1340.3332530450236</v>
          </cell>
        </row>
        <row r="43">
          <cell r="J43">
            <v>2750.7831871144977</v>
          </cell>
        </row>
        <row r="44">
          <cell r="J44">
            <v>743.59826692868887</v>
          </cell>
        </row>
        <row r="47">
          <cell r="J47">
            <v>3187.0299143557245</v>
          </cell>
        </row>
        <row r="48">
          <cell r="J48">
            <v>476.99592162703982</v>
          </cell>
        </row>
        <row r="49">
          <cell r="J49">
            <v>1194.2035999020143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revenues"/>
      <sheetName val="Forecast Customer Numbers"/>
      <sheetName val="Residential"/>
      <sheetName val="Sheet1"/>
      <sheetName val="Small Bus"/>
      <sheetName val="Large LV Bus"/>
      <sheetName val="HV Bus"/>
      <sheetName val="Major Bus"/>
      <sheetName val="RIN Data 3.1"/>
      <sheetName val="RIN Data 3.4"/>
      <sheetName val="RIN Data 3.5"/>
      <sheetName val="RIN Data 3.6"/>
      <sheetName val="Price Schedule"/>
      <sheetName val="Price Schedule 5 year"/>
      <sheetName val="Price Structure FD"/>
    </sheetNames>
    <sheetDataSet>
      <sheetData sheetId="0">
        <row r="6">
          <cell r="F6">
            <v>759.42739737453542</v>
          </cell>
        </row>
      </sheetData>
      <sheetData sheetId="1" refreshError="1"/>
      <sheetData sheetId="2">
        <row r="2">
          <cell r="A2" t="str">
            <v>Residential Customers</v>
          </cell>
        </row>
        <row r="48">
          <cell r="B48" t="str">
            <v>Residential Type 6</v>
          </cell>
        </row>
        <row r="49">
          <cell r="B49" t="str">
            <v>Customers/Supply Ch</v>
          </cell>
        </row>
        <row r="50">
          <cell r="B50" t="str">
            <v>Usage</v>
          </cell>
        </row>
        <row r="53">
          <cell r="B53" t="str">
            <v>Residential TOU</v>
          </cell>
        </row>
        <row r="54">
          <cell r="B54" t="str">
            <v>Customers/Supply Ch</v>
          </cell>
        </row>
        <row r="55">
          <cell r="B55" t="str">
            <v>Peak Usage</v>
          </cell>
        </row>
        <row r="56">
          <cell r="B56" t="str">
            <v>Off-Pk Usage</v>
          </cell>
        </row>
        <row r="57">
          <cell r="B57" t="str">
            <v>Solar Sponge Usage</v>
          </cell>
        </row>
        <row r="60">
          <cell r="B60" t="str">
            <v>Residential Prosumer</v>
          </cell>
        </row>
        <row r="61">
          <cell r="B61" t="str">
            <v>Customers/Supply Ch</v>
          </cell>
        </row>
        <row r="62">
          <cell r="B62" t="str">
            <v>Peak Usage</v>
          </cell>
        </row>
        <row r="63">
          <cell r="B63" t="str">
            <v>Off-Pk Usage</v>
          </cell>
        </row>
        <row r="64">
          <cell r="B64" t="str">
            <v>Solar Sponge Usage</v>
          </cell>
        </row>
        <row r="65">
          <cell r="B65" t="str">
            <v>Summer Demand</v>
          </cell>
        </row>
        <row r="68">
          <cell r="B68" t="str">
            <v>OPCL Hot Water Type 5, 6</v>
          </cell>
        </row>
        <row r="69">
          <cell r="B69" t="str">
            <v>Usage</v>
          </cell>
        </row>
        <row r="72">
          <cell r="B72" t="str">
            <v>OPCL Hot Water Type 4</v>
          </cell>
        </row>
        <row r="73">
          <cell r="B73" t="str">
            <v>Peak Usage</v>
          </cell>
        </row>
        <row r="74">
          <cell r="B74" t="str">
            <v>Off-Pk Usage</v>
          </cell>
        </row>
        <row r="75">
          <cell r="B75" t="str">
            <v>Solar Sponge Usage</v>
          </cell>
        </row>
      </sheetData>
      <sheetData sheetId="3" refreshError="1"/>
      <sheetData sheetId="4">
        <row r="2">
          <cell r="A2" t="str">
            <v>Small Business Customers</v>
          </cell>
        </row>
        <row r="68">
          <cell r="B68" t="str">
            <v>Business Single Type 6</v>
          </cell>
        </row>
        <row r="69">
          <cell r="B69" t="str">
            <v>Customers/Supply Ch</v>
          </cell>
        </row>
        <row r="70">
          <cell r="B70" t="str">
            <v>Usage</v>
          </cell>
        </row>
        <row r="73">
          <cell r="B73" t="str">
            <v>Business 2-Rate Type 6</v>
          </cell>
        </row>
        <row r="74">
          <cell r="B74" t="str">
            <v>Customers/Supply Ch</v>
          </cell>
        </row>
        <row r="75">
          <cell r="B75" t="str">
            <v>Peak usage</v>
          </cell>
        </row>
        <row r="76">
          <cell r="B76" t="str">
            <v>Off-Pk Usage</v>
          </cell>
        </row>
        <row r="79">
          <cell r="B79" t="str">
            <v>Business TOU Type 4, 5</v>
          </cell>
        </row>
        <row r="80">
          <cell r="B80" t="str">
            <v>Customers/Supply Ch</v>
          </cell>
        </row>
        <row r="81">
          <cell r="B81" t="str">
            <v>Peak usage</v>
          </cell>
        </row>
        <row r="82">
          <cell r="B82" t="str">
            <v>Shoulder Usage</v>
          </cell>
        </row>
        <row r="83">
          <cell r="B83" t="str">
            <v>Off-Peak Usage</v>
          </cell>
        </row>
        <row r="86">
          <cell r="B86" t="str">
            <v>Business TOU+MD &gt;120 kVA</v>
          </cell>
        </row>
        <row r="87">
          <cell r="B87" t="str">
            <v>Customers/Supply Ch</v>
          </cell>
        </row>
        <row r="88">
          <cell r="B88" t="str">
            <v>Anytime Max Demand</v>
          </cell>
        </row>
        <row r="89">
          <cell r="B89" t="str">
            <v>Peak usage</v>
          </cell>
        </row>
        <row r="90">
          <cell r="B90" t="str">
            <v>Shoulder Usage</v>
          </cell>
        </row>
        <row r="91">
          <cell r="B91" t="str">
            <v>Off-Peak Usage</v>
          </cell>
        </row>
        <row r="94">
          <cell r="B94" t="str">
            <v>Small Business Actual Demand</v>
          </cell>
        </row>
        <row r="95">
          <cell r="B95" t="str">
            <v>Customers/Supply Ch</v>
          </cell>
        </row>
        <row r="96">
          <cell r="B96" t="str">
            <v>Peak Actual Demand</v>
          </cell>
        </row>
        <row r="97">
          <cell r="B97" t="str">
            <v>Shoulder Actual Demand</v>
          </cell>
        </row>
        <row r="98">
          <cell r="B98" t="str">
            <v>Usage</v>
          </cell>
        </row>
      </sheetData>
      <sheetData sheetId="5">
        <row r="2">
          <cell r="A2" t="str">
            <v>Large LV Business Customers</v>
          </cell>
        </row>
        <row r="68">
          <cell r="B68" t="str">
            <v>Large LV Bus Actual Demand</v>
          </cell>
        </row>
        <row r="69">
          <cell r="B69" t="str">
            <v>Customers/Supply Ch</v>
          </cell>
        </row>
        <row r="70">
          <cell r="B70" t="str">
            <v>Peak Actual Demand</v>
          </cell>
        </row>
        <row r="71">
          <cell r="B71" t="str">
            <v>Shoulder Actual Demand</v>
          </cell>
        </row>
        <row r="72">
          <cell r="B72" t="str">
            <v>Usage</v>
          </cell>
        </row>
        <row r="84">
          <cell r="B84" t="str">
            <v>Customers/Supply Ch</v>
          </cell>
        </row>
        <row r="85">
          <cell r="B85" t="str">
            <v>Peak Actual Monthly Demand</v>
          </cell>
        </row>
        <row r="86">
          <cell r="B86" t="str">
            <v>Anytime Actual Demand</v>
          </cell>
        </row>
        <row r="87">
          <cell r="B87" t="str">
            <v>Peak Usage</v>
          </cell>
        </row>
        <row r="88">
          <cell r="B88" t="str">
            <v>Off-Peak Usage</v>
          </cell>
        </row>
        <row r="92">
          <cell r="B92" t="str">
            <v>Customers/Supply Ch</v>
          </cell>
        </row>
        <row r="93">
          <cell r="B93" t="str">
            <v>Peak Annual Max Demand</v>
          </cell>
        </row>
        <row r="94">
          <cell r="B94" t="str">
            <v>Anytime Actual Demand</v>
          </cell>
        </row>
        <row r="95">
          <cell r="B95" t="str">
            <v>Peak Usage</v>
          </cell>
        </row>
        <row r="96">
          <cell r="B96" t="str">
            <v>Off-Peak Usage</v>
          </cell>
        </row>
        <row r="139">
          <cell r="B139" t="str">
            <v>Large Bus Generation Supplies</v>
          </cell>
        </row>
        <row r="140">
          <cell r="B140" t="str">
            <v>Customers/Supply Ch</v>
          </cell>
        </row>
        <row r="141">
          <cell r="B141" t="str">
            <v>Peak Annual Max Demand</v>
          </cell>
        </row>
        <row r="142">
          <cell r="B142" t="str">
            <v>Anytime Actual Demand</v>
          </cell>
        </row>
        <row r="143">
          <cell r="B143" t="str">
            <v>Peak Usage</v>
          </cell>
        </row>
        <row r="144">
          <cell r="B144" t="str">
            <v>Off-Peak Usage</v>
          </cell>
        </row>
      </sheetData>
      <sheetData sheetId="6">
        <row r="2">
          <cell r="A2" t="str">
            <v>HV Business Customers</v>
          </cell>
        </row>
        <row r="68">
          <cell r="B68" t="str">
            <v>HV Business Actual Demand</v>
          </cell>
        </row>
        <row r="69">
          <cell r="B69" t="str">
            <v>Customers/Supply Ch</v>
          </cell>
        </row>
        <row r="70">
          <cell r="B70" t="str">
            <v>Peak Actual Demand</v>
          </cell>
        </row>
        <row r="71">
          <cell r="B71" t="str">
            <v>Shoulder Actual Demand</v>
          </cell>
        </row>
        <row r="72">
          <cell r="B72" t="str">
            <v>Usage</v>
          </cell>
        </row>
        <row r="90">
          <cell r="B90" t="str">
            <v>Customers/Supply Ch</v>
          </cell>
        </row>
        <row r="91">
          <cell r="B91" t="str">
            <v>Peak Actual Monthly Demand</v>
          </cell>
        </row>
        <row r="92">
          <cell r="B92" t="str">
            <v>Anytime Actual Demand</v>
          </cell>
        </row>
        <row r="93">
          <cell r="B93" t="str">
            <v>Peak Usage</v>
          </cell>
        </row>
        <row r="94">
          <cell r="B94" t="str">
            <v>Off-Peak Usage</v>
          </cell>
        </row>
        <row r="98">
          <cell r="B98" t="str">
            <v>Customers/Supply Ch</v>
          </cell>
        </row>
        <row r="99">
          <cell r="B99" t="str">
            <v>Peak Annual Max Demand</v>
          </cell>
        </row>
        <row r="100">
          <cell r="B100" t="str">
            <v>Anytime Actual Demand</v>
          </cell>
        </row>
        <row r="101">
          <cell r="B101" t="str">
            <v>Peak Usage</v>
          </cell>
        </row>
        <row r="102">
          <cell r="B102" t="str">
            <v>Off-Peak Usage</v>
          </cell>
        </row>
        <row r="106">
          <cell r="B106" t="str">
            <v>Customers/Supply Ch</v>
          </cell>
        </row>
        <row r="107">
          <cell r="B107" t="str">
            <v>Peak Annual Max Demand</v>
          </cell>
        </row>
        <row r="108">
          <cell r="B108" t="str">
            <v>Anytime Actual Demand</v>
          </cell>
        </row>
        <row r="109">
          <cell r="B109" t="str">
            <v>Peak Usage</v>
          </cell>
        </row>
        <row r="110">
          <cell r="B110" t="str">
            <v>Off-Peak Usage</v>
          </cell>
        </row>
        <row r="145">
          <cell r="B145" t="str">
            <v>HV Bus Generation Supplies</v>
          </cell>
        </row>
        <row r="146">
          <cell r="B146" t="str">
            <v>Customers/Supply Ch</v>
          </cell>
        </row>
        <row r="147">
          <cell r="B147" t="str">
            <v>Peak Annual Max Demand</v>
          </cell>
        </row>
        <row r="148">
          <cell r="B148" t="str">
            <v>Anytime Actual Demand</v>
          </cell>
        </row>
        <row r="149">
          <cell r="B149" t="str">
            <v>Peak Usage</v>
          </cell>
        </row>
        <row r="150">
          <cell r="B150" t="str">
            <v>Off-Peak Usage</v>
          </cell>
        </row>
      </sheetData>
      <sheetData sheetId="7">
        <row r="2">
          <cell r="A2" t="str">
            <v>Major Business Customers</v>
          </cell>
        </row>
        <row r="68">
          <cell r="B68" t="str">
            <v>Zone S-Stn Non-Loc</v>
          </cell>
        </row>
        <row r="69">
          <cell r="B69" t="str">
            <v>Customers/Supply Ch</v>
          </cell>
        </row>
        <row r="70">
          <cell r="B70" t="str">
            <v>Peak Agreed Demand</v>
          </cell>
        </row>
        <row r="71">
          <cell r="B71" t="str">
            <v>Anytime Agreed Demand</v>
          </cell>
        </row>
        <row r="72">
          <cell r="B72" t="str">
            <v>Usage</v>
          </cell>
        </row>
        <row r="82">
          <cell r="B82" t="str">
            <v>Sub-Trans Non-Loc</v>
          </cell>
        </row>
        <row r="83">
          <cell r="B83" t="str">
            <v>Customers/Supply Ch</v>
          </cell>
        </row>
        <row r="84">
          <cell r="B84" t="str">
            <v>Peak Agreed Demand</v>
          </cell>
        </row>
        <row r="85">
          <cell r="B85" t="str">
            <v>Anytime Agreed Demand</v>
          </cell>
        </row>
        <row r="86">
          <cell r="B86" t="str">
            <v>Usage</v>
          </cell>
        </row>
      </sheetData>
      <sheetData sheetId="8" refreshError="1"/>
      <sheetData sheetId="9" refreshError="1"/>
      <sheetData sheetId="10" refreshError="1"/>
      <sheetData sheetId="11" refreshError="1"/>
      <sheetData sheetId="12" refreshError="1"/>
      <sheetData sheetId="13">
        <row r="6">
          <cell r="J6">
            <v>170.00219999999999</v>
          </cell>
        </row>
      </sheetData>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revenues"/>
      <sheetName val="Forecast Customer Numbers"/>
      <sheetName val="Chart1"/>
      <sheetName val="Residential"/>
      <sheetName val="Sheet1"/>
      <sheetName val="Small Bus"/>
      <sheetName val="Large LV Bus"/>
      <sheetName val="HV Bus"/>
      <sheetName val="Major Bus"/>
      <sheetName val="RIN Data 3.1"/>
      <sheetName val="RIN Data 3.4"/>
      <sheetName val="RIN Data 3.5"/>
      <sheetName val="RIN Data 3.6"/>
      <sheetName val="Price Schedule"/>
      <sheetName val="Price Schedule 5 year"/>
      <sheetName val="Price Structure FD"/>
    </sheetNames>
    <sheetDataSet>
      <sheetData sheetId="0">
        <row r="6">
          <cell r="G6">
            <v>779.35499622740429</v>
          </cell>
        </row>
      </sheetData>
      <sheetData sheetId="1"/>
      <sheetData sheetId="2" refreshError="1"/>
      <sheetData sheetId="3">
        <row r="35">
          <cell r="F35">
            <v>3182.0919498111698</v>
          </cell>
        </row>
      </sheetData>
      <sheetData sheetId="4"/>
      <sheetData sheetId="5">
        <row r="39">
          <cell r="F39">
            <v>1340.3332530450236</v>
          </cell>
        </row>
      </sheetData>
      <sheetData sheetId="6">
        <row r="39">
          <cell r="G39">
            <v>2723.7979043364303</v>
          </cell>
        </row>
      </sheetData>
      <sheetData sheetId="7">
        <row r="37">
          <cell r="G37">
            <v>753.8</v>
          </cell>
        </row>
      </sheetData>
      <sheetData sheetId="8">
        <row r="27">
          <cell r="G27">
            <v>1194.1680000000001</v>
          </cell>
        </row>
      </sheetData>
      <sheetData sheetId="9"/>
      <sheetData sheetId="10"/>
      <sheetData sheetId="11"/>
      <sheetData sheetId="12"/>
      <sheetData sheetId="13">
        <row r="6">
          <cell r="P6">
            <v>0.42470000000000002</v>
          </cell>
        </row>
      </sheetData>
      <sheetData sheetId="14">
        <row r="6">
          <cell r="J6">
            <v>165.00219999999999</v>
          </cell>
          <cell r="K6">
            <v>0</v>
          </cell>
          <cell r="L6">
            <v>15</v>
          </cell>
          <cell r="N6">
            <v>175.00219999999999</v>
          </cell>
          <cell r="O6">
            <v>0</v>
          </cell>
          <cell r="P6">
            <v>15</v>
          </cell>
          <cell r="R6">
            <v>185.00219999999999</v>
          </cell>
          <cell r="S6">
            <v>0</v>
          </cell>
          <cell r="T6">
            <v>15</v>
          </cell>
          <cell r="V6">
            <v>195.00219999999999</v>
          </cell>
          <cell r="W6">
            <v>0</v>
          </cell>
          <cell r="X6">
            <v>15</v>
          </cell>
        </row>
        <row r="7">
          <cell r="J7">
            <v>8.5866062908210417E-2</v>
          </cell>
          <cell r="K7">
            <v>3.4641712706910667E-2</v>
          </cell>
          <cell r="L7">
            <v>1.147846052552148E-2</v>
          </cell>
          <cell r="N7">
            <v>8.3905084671060962E-2</v>
          </cell>
          <cell r="O7">
            <v>3.5608308843501468E-2</v>
          </cell>
          <cell r="P7">
            <v>1.1480325320442894E-2</v>
          </cell>
          <cell r="R7">
            <v>8.1938699396734038E-2</v>
          </cell>
          <cell r="S7">
            <v>3.6602201922563658E-2</v>
          </cell>
          <cell r="T7">
            <v>1.1486197270780143E-2</v>
          </cell>
          <cell r="V7">
            <v>7.9924839365123748E-2</v>
          </cell>
          <cell r="W7">
            <v>3.7623618327448274E-2</v>
          </cell>
          <cell r="X7">
            <v>1.1492280215149857E-2</v>
          </cell>
        </row>
        <row r="9">
          <cell r="J9">
            <v>165.00219999999999</v>
          </cell>
          <cell r="K9">
            <v>0</v>
          </cell>
          <cell r="L9">
            <v>15</v>
          </cell>
          <cell r="N9">
            <v>175.00219999999999</v>
          </cell>
          <cell r="O9">
            <v>0</v>
          </cell>
          <cell r="P9">
            <v>15</v>
          </cell>
          <cell r="R9">
            <v>185.00219999999999</v>
          </cell>
          <cell r="S9">
            <v>0</v>
          </cell>
          <cell r="T9">
            <v>15</v>
          </cell>
          <cell r="V9">
            <v>195.00219999999999</v>
          </cell>
          <cell r="W9">
            <v>0</v>
          </cell>
          <cell r="X9">
            <v>15</v>
          </cell>
        </row>
        <row r="10">
          <cell r="J10">
            <v>0.10733257863526302</v>
          </cell>
          <cell r="K10">
            <v>4.3302140883638332E-2</v>
          </cell>
          <cell r="L10">
            <v>1.4348075656901851E-2</v>
          </cell>
          <cell r="N10">
            <v>0.1048813558388262</v>
          </cell>
          <cell r="O10">
            <v>4.4510386054376835E-2</v>
          </cell>
          <cell r="P10">
            <v>1.4350406650553617E-2</v>
          </cell>
          <cell r="R10">
            <v>0.10242337424591755</v>
          </cell>
          <cell r="S10">
            <v>4.5752752403204575E-2</v>
          </cell>
          <cell r="T10">
            <v>1.4357746588475179E-2</v>
          </cell>
          <cell r="V10">
            <v>9.9906049206404682E-2</v>
          </cell>
          <cell r="W10">
            <v>4.702952290931034E-2</v>
          </cell>
          <cell r="X10">
            <v>1.4365350268937321E-2</v>
          </cell>
        </row>
        <row r="11">
          <cell r="J11">
            <v>4.2933031454105208E-2</v>
          </cell>
          <cell r="K11">
            <v>1.7320856353455334E-2</v>
          </cell>
          <cell r="L11">
            <v>5.7392302627607399E-3</v>
          </cell>
          <cell r="N11">
            <v>4.1952542335530481E-2</v>
          </cell>
          <cell r="O11">
            <v>1.7804154421750734E-2</v>
          </cell>
          <cell r="P11">
            <v>5.740162660221447E-3</v>
          </cell>
          <cell r="R11">
            <v>4.0969349698367019E-2</v>
          </cell>
          <cell r="S11">
            <v>1.8301100961281829E-2</v>
          </cell>
          <cell r="T11">
            <v>5.7430986353900716E-3</v>
          </cell>
          <cell r="V11">
            <v>3.9962419682561874E-2</v>
          </cell>
          <cell r="W11">
            <v>1.8811809163724137E-2</v>
          </cell>
          <cell r="X11">
            <v>5.7461401075749284E-3</v>
          </cell>
        </row>
        <row r="12">
          <cell r="J12">
            <v>2.1466515727052604E-2</v>
          </cell>
          <cell r="K12">
            <v>8.6604281767276668E-3</v>
          </cell>
          <cell r="L12">
            <v>2.86961513138037E-3</v>
          </cell>
          <cell r="N12">
            <v>2.097627116776524E-2</v>
          </cell>
          <cell r="O12">
            <v>8.9020772108753671E-3</v>
          </cell>
          <cell r="P12">
            <v>2.8700813301107235E-3</v>
          </cell>
          <cell r="R12">
            <v>2.048467484918351E-2</v>
          </cell>
          <cell r="S12">
            <v>9.1505504806409146E-3</v>
          </cell>
          <cell r="T12">
            <v>2.8715493176950358E-3</v>
          </cell>
          <cell r="V12">
            <v>1.9981209841280937E-2</v>
          </cell>
          <cell r="W12">
            <v>9.4059045818620686E-3</v>
          </cell>
          <cell r="X12">
            <v>2.8730700537874642E-3</v>
          </cell>
        </row>
        <row r="14">
          <cell r="J14">
            <v>165.00219999999999</v>
          </cell>
          <cell r="K14">
            <v>0</v>
          </cell>
          <cell r="L14">
            <v>15</v>
          </cell>
          <cell r="N14">
            <v>175.00219999999999</v>
          </cell>
          <cell r="O14">
            <v>0</v>
          </cell>
          <cell r="P14">
            <v>15</v>
          </cell>
          <cell r="R14">
            <v>185.00219999999999</v>
          </cell>
          <cell r="S14">
            <v>0</v>
          </cell>
          <cell r="T14">
            <v>15</v>
          </cell>
          <cell r="V14">
            <v>195.00219999999999</v>
          </cell>
          <cell r="W14">
            <v>0</v>
          </cell>
          <cell r="X14">
            <v>15</v>
          </cell>
        </row>
        <row r="15">
          <cell r="J15">
            <v>6.4399547181157812E-2</v>
          </cell>
          <cell r="K15">
            <v>2.5981284530183002E-2</v>
          </cell>
          <cell r="L15">
            <v>8.608845394141109E-3</v>
          </cell>
          <cell r="N15">
            <v>6.2928813503295725E-2</v>
          </cell>
          <cell r="O15">
            <v>2.6706231632626101E-2</v>
          </cell>
          <cell r="P15">
            <v>8.6102439903321705E-3</v>
          </cell>
          <cell r="R15">
            <v>6.1454024547550529E-2</v>
          </cell>
          <cell r="S15">
            <v>2.7451651441922742E-2</v>
          </cell>
          <cell r="T15">
            <v>8.6146479530851069E-3</v>
          </cell>
          <cell r="V15">
            <v>5.9943629523842815E-2</v>
          </cell>
          <cell r="W15">
            <v>2.8217713745586206E-2</v>
          </cell>
          <cell r="X15">
            <v>8.6192101613623926E-3</v>
          </cell>
        </row>
        <row r="16">
          <cell r="J16">
            <v>2.5759818872463123E-2</v>
          </cell>
          <cell r="K16">
            <v>1.0392513812073199E-2</v>
          </cell>
          <cell r="L16">
            <v>3.4435381576564438E-3</v>
          </cell>
          <cell r="N16">
            <v>2.5171525401318288E-2</v>
          </cell>
          <cell r="O16">
            <v>1.068249265305044E-2</v>
          </cell>
          <cell r="P16">
            <v>3.444097596132868E-3</v>
          </cell>
          <cell r="R16">
            <v>2.458160981902021E-2</v>
          </cell>
          <cell r="S16">
            <v>1.0980660576769097E-2</v>
          </cell>
          <cell r="T16">
            <v>3.4458591812340429E-3</v>
          </cell>
          <cell r="V16">
            <v>2.3977451809537125E-2</v>
          </cell>
          <cell r="W16">
            <v>1.1287085498234482E-2</v>
          </cell>
          <cell r="X16">
            <v>3.447684064544957E-3</v>
          </cell>
        </row>
        <row r="17">
          <cell r="J17">
            <v>1.2879909436231561E-2</v>
          </cell>
          <cell r="K17">
            <v>5.1962569060365997E-3</v>
          </cell>
          <cell r="L17">
            <v>1.7217690788282219E-3</v>
          </cell>
          <cell r="N17">
            <v>1.2585762700659144E-2</v>
          </cell>
          <cell r="O17">
            <v>5.3412463265252201E-3</v>
          </cell>
          <cell r="P17">
            <v>1.722048798066434E-3</v>
          </cell>
          <cell r="R17">
            <v>1.2290804909510105E-2</v>
          </cell>
          <cell r="S17">
            <v>5.4903302883845487E-3</v>
          </cell>
          <cell r="T17">
            <v>1.7229295906170214E-3</v>
          </cell>
          <cell r="V17">
            <v>1.1988725904768563E-2</v>
          </cell>
          <cell r="W17">
            <v>5.643542749117241E-3</v>
          </cell>
          <cell r="X17">
            <v>1.7238420322724785E-3</v>
          </cell>
        </row>
        <row r="18">
          <cell r="J18">
            <v>14.419999999999998</v>
          </cell>
          <cell r="K18">
            <v>5.82</v>
          </cell>
          <cell r="L18">
            <v>1.92</v>
          </cell>
          <cell r="N18">
            <v>14.1</v>
          </cell>
          <cell r="O18">
            <v>5.9799999999999995</v>
          </cell>
          <cell r="P18">
            <v>1.92</v>
          </cell>
          <cell r="R18">
            <v>13.76</v>
          </cell>
          <cell r="S18">
            <v>6.14</v>
          </cell>
          <cell r="T18">
            <v>1.92</v>
          </cell>
          <cell r="V18">
            <v>13.419999999999998</v>
          </cell>
          <cell r="W18">
            <v>6.32</v>
          </cell>
          <cell r="X18">
            <v>1.92</v>
          </cell>
        </row>
        <row r="20">
          <cell r="J20">
            <v>4.2933031454105208E-2</v>
          </cell>
          <cell r="K20">
            <v>1.7320856353455334E-2</v>
          </cell>
          <cell r="L20">
            <v>5.7392302627607399E-3</v>
          </cell>
          <cell r="N20">
            <v>4.1952542335530481E-2</v>
          </cell>
          <cell r="O20">
            <v>1.7804154421750734E-2</v>
          </cell>
          <cell r="P20">
            <v>5.740162660221447E-3</v>
          </cell>
          <cell r="R20">
            <v>4.0969349698367019E-2</v>
          </cell>
          <cell r="S20">
            <v>1.8301100961281829E-2</v>
          </cell>
          <cell r="T20">
            <v>5.7430986353900716E-3</v>
          </cell>
          <cell r="V20">
            <v>3.9962419682561874E-2</v>
          </cell>
          <cell r="W20">
            <v>1.8811809163724137E-2</v>
          </cell>
          <cell r="X20">
            <v>5.7461401075749284E-3</v>
          </cell>
        </row>
        <row r="22">
          <cell r="J22">
            <v>0.10733257863526302</v>
          </cell>
          <cell r="K22">
            <v>4.3302140883638332E-2</v>
          </cell>
          <cell r="L22">
            <v>1.4348075656901851E-2</v>
          </cell>
          <cell r="N22">
            <v>0.1048813558388262</v>
          </cell>
          <cell r="O22">
            <v>4.4510386054376835E-2</v>
          </cell>
          <cell r="P22">
            <v>1.4350406650553617E-2</v>
          </cell>
          <cell r="R22">
            <v>0.10242337424591755</v>
          </cell>
          <cell r="S22">
            <v>4.5752752403204575E-2</v>
          </cell>
          <cell r="T22">
            <v>1.4357746588475179E-2</v>
          </cell>
          <cell r="V22">
            <v>9.9906049206404682E-2</v>
          </cell>
          <cell r="W22">
            <v>4.702952290931034E-2</v>
          </cell>
          <cell r="X22">
            <v>1.4365350268937321E-2</v>
          </cell>
        </row>
        <row r="23">
          <cell r="J23">
            <v>4.2933031454105208E-2</v>
          </cell>
          <cell r="K23">
            <v>1.7320856353455334E-2</v>
          </cell>
          <cell r="L23">
            <v>5.7392302627607399E-3</v>
          </cell>
          <cell r="N23">
            <v>4.1952542335530481E-2</v>
          </cell>
          <cell r="O23">
            <v>1.7804154421750734E-2</v>
          </cell>
          <cell r="P23">
            <v>5.740162660221447E-3</v>
          </cell>
          <cell r="R23">
            <v>4.0969349698367019E-2</v>
          </cell>
          <cell r="S23">
            <v>1.8301100961281829E-2</v>
          </cell>
          <cell r="T23">
            <v>5.7430986353900716E-3</v>
          </cell>
          <cell r="V23">
            <v>3.9962419682561874E-2</v>
          </cell>
          <cell r="W23">
            <v>1.8811809163724137E-2</v>
          </cell>
          <cell r="X23">
            <v>5.7461401075749284E-3</v>
          </cell>
        </row>
        <row r="24">
          <cell r="J24">
            <v>2.1466515727052604E-2</v>
          </cell>
          <cell r="K24">
            <v>8.6604281767276668E-3</v>
          </cell>
          <cell r="L24">
            <v>2.86961513138037E-3</v>
          </cell>
          <cell r="N24">
            <v>2.097627116776524E-2</v>
          </cell>
          <cell r="O24">
            <v>8.9020772108753671E-3</v>
          </cell>
          <cell r="P24">
            <v>2.8700813301107235E-3</v>
          </cell>
          <cell r="R24">
            <v>2.048467484918351E-2</v>
          </cell>
          <cell r="S24">
            <v>9.1505504806409146E-3</v>
          </cell>
          <cell r="T24">
            <v>2.8715493176950358E-3</v>
          </cell>
          <cell r="V24">
            <v>1.9981209841280937E-2</v>
          </cell>
          <cell r="W24">
            <v>9.4059045818620686E-3</v>
          </cell>
          <cell r="X24">
            <v>2.8730700537874642E-3</v>
          </cell>
        </row>
        <row r="27">
          <cell r="J27">
            <v>189.99680000000001</v>
          </cell>
          <cell r="K27">
            <v>0</v>
          </cell>
          <cell r="L27">
            <v>15</v>
          </cell>
          <cell r="N27">
            <v>209.99680000000001</v>
          </cell>
          <cell r="O27">
            <v>0</v>
          </cell>
          <cell r="P27">
            <v>15</v>
          </cell>
          <cell r="R27">
            <v>229.99680000000001</v>
          </cell>
          <cell r="S27">
            <v>0</v>
          </cell>
          <cell r="T27">
            <v>15</v>
          </cell>
          <cell r="V27">
            <v>249.99680000000001</v>
          </cell>
          <cell r="W27">
            <v>0</v>
          </cell>
          <cell r="X27">
            <v>15</v>
          </cell>
        </row>
        <row r="28">
          <cell r="J28">
            <v>9.7237507572330226E-2</v>
          </cell>
          <cell r="K28">
            <v>3.7803825341147394E-2</v>
          </cell>
          <cell r="L28">
            <v>8.5724576095938584E-3</v>
          </cell>
          <cell r="N28">
            <v>9.9049847607125277E-2</v>
          </cell>
          <cell r="O28">
            <v>3.9713037579173528E-2</v>
          </cell>
          <cell r="P28">
            <v>8.7788367173623014E-3</v>
          </cell>
          <cell r="R28">
            <v>0.10102369646756647</v>
          </cell>
          <cell r="S28">
            <v>4.1692756467118466E-2</v>
          </cell>
          <cell r="T28">
            <v>8.9828590316230646E-3</v>
          </cell>
          <cell r="V28">
            <v>0.10228393380344139</v>
          </cell>
          <cell r="W28">
            <v>4.3762122114744971E-2</v>
          </cell>
          <cell r="X28">
            <v>9.1977005810229828E-3</v>
          </cell>
        </row>
        <row r="29">
          <cell r="J29" t="str">
            <v>Tariff Closed</v>
          </cell>
        </row>
        <row r="30">
          <cell r="J30">
            <v>189.99680000000001</v>
          </cell>
          <cell r="K30">
            <v>0</v>
          </cell>
          <cell r="L30">
            <v>15</v>
          </cell>
          <cell r="N30">
            <v>209.99680000000001</v>
          </cell>
          <cell r="O30">
            <v>0</v>
          </cell>
          <cell r="P30">
            <v>15</v>
          </cell>
          <cell r="R30">
            <v>229.99680000000001</v>
          </cell>
          <cell r="S30">
            <v>0</v>
          </cell>
          <cell r="T30">
            <v>15</v>
          </cell>
          <cell r="V30">
            <v>249.99680000000001</v>
          </cell>
          <cell r="W30">
            <v>0</v>
          </cell>
          <cell r="X30">
            <v>15</v>
          </cell>
        </row>
        <row r="31">
          <cell r="J31">
            <v>0.10958667103401616</v>
          </cell>
          <cell r="K31">
            <v>4.2604911159473111E-2</v>
          </cell>
          <cell r="L31">
            <v>9.6611597260122788E-3</v>
          </cell>
          <cell r="N31">
            <v>0.11162917825323018</v>
          </cell>
          <cell r="O31">
            <v>4.4756593351728567E-2</v>
          </cell>
          <cell r="P31">
            <v>9.8937489804673141E-3</v>
          </cell>
          <cell r="R31">
            <v>0.1138537059189474</v>
          </cell>
          <cell r="S31">
            <v>4.6987736538442515E-2</v>
          </cell>
          <cell r="T31">
            <v>1.0123682128639193E-2</v>
          </cell>
          <cell r="V31">
            <v>0.11527399339647845</v>
          </cell>
          <cell r="W31">
            <v>4.9319911623317579E-2</v>
          </cell>
          <cell r="X31">
            <v>1.0365808554812901E-2</v>
          </cell>
        </row>
        <row r="32">
          <cell r="J32">
            <v>5.4793335517008081E-2</v>
          </cell>
          <cell r="K32">
            <v>2.1302455579736555E-2</v>
          </cell>
          <cell r="L32">
            <v>4.8305798630061394E-3</v>
          </cell>
          <cell r="N32">
            <v>5.5814589126615091E-2</v>
          </cell>
          <cell r="O32">
            <v>2.2378296675864284E-2</v>
          </cell>
          <cell r="P32">
            <v>4.946874490233657E-3</v>
          </cell>
          <cell r="R32">
            <v>5.6926852959473702E-2</v>
          </cell>
          <cell r="S32">
            <v>2.3493868269221257E-2</v>
          </cell>
          <cell r="T32">
            <v>5.0618410643195966E-3</v>
          </cell>
          <cell r="V32">
            <v>5.7636996698239226E-2</v>
          </cell>
          <cell r="W32">
            <v>2.465995581165879E-2</v>
          </cell>
          <cell r="X32">
            <v>5.1829042774064506E-3</v>
          </cell>
        </row>
        <row r="34">
          <cell r="J34">
            <v>189.99680000000001</v>
          </cell>
          <cell r="K34">
            <v>0</v>
          </cell>
          <cell r="L34">
            <v>15</v>
          </cell>
          <cell r="N34">
            <v>209.99680000000001</v>
          </cell>
          <cell r="O34">
            <v>0</v>
          </cell>
          <cell r="P34">
            <v>15</v>
          </cell>
          <cell r="R34">
            <v>229.99680000000001</v>
          </cell>
          <cell r="S34">
            <v>0</v>
          </cell>
          <cell r="T34">
            <v>15</v>
          </cell>
          <cell r="V34">
            <v>249.99680000000001</v>
          </cell>
          <cell r="W34">
            <v>0</v>
          </cell>
          <cell r="X34">
            <v>15</v>
          </cell>
        </row>
        <row r="35">
          <cell r="J35">
            <v>0.14585626135849533</v>
          </cell>
          <cell r="K35">
            <v>5.6705738011721088E-2</v>
          </cell>
          <cell r="L35">
            <v>1.2858686414390787E-2</v>
          </cell>
          <cell r="N35">
            <v>0.14857477141068792</v>
          </cell>
          <cell r="O35">
            <v>5.9569556368760296E-2</v>
          </cell>
          <cell r="P35">
            <v>1.3168255076043453E-2</v>
          </cell>
          <cell r="R35">
            <v>0.15153554470134969</v>
          </cell>
          <cell r="S35">
            <v>6.2539134700677707E-2</v>
          </cell>
          <cell r="T35">
            <v>1.3474288547434597E-2</v>
          </cell>
          <cell r="V35">
            <v>0.1534259007051621</v>
          </cell>
          <cell r="W35">
            <v>6.5643183172117453E-2</v>
          </cell>
          <cell r="X35">
            <v>1.3796550871534474E-2</v>
          </cell>
        </row>
        <row r="36">
          <cell r="J36">
            <v>0.10151595790551277</v>
          </cell>
          <cell r="K36">
            <v>3.9467193656157883E-2</v>
          </cell>
          <cell r="L36">
            <v>8.949645744415988E-3</v>
          </cell>
          <cell r="N36">
            <v>0.10340804090183879</v>
          </cell>
          <cell r="O36">
            <v>4.1460411232657167E-2</v>
          </cell>
          <cell r="P36">
            <v>9.1651055329262428E-3</v>
          </cell>
          <cell r="R36">
            <v>0.1054687391121394</v>
          </cell>
          <cell r="S36">
            <v>4.352723775167168E-2</v>
          </cell>
          <cell r="T36">
            <v>9.3781048290144803E-3</v>
          </cell>
          <cell r="V36">
            <v>0.10678442689079282</v>
          </cell>
          <cell r="W36">
            <v>4.568765548779375E-2</v>
          </cell>
          <cell r="X36">
            <v>9.6023994065879952E-3</v>
          </cell>
        </row>
        <row r="37">
          <cell r="J37">
            <v>5.4793335517008081E-2</v>
          </cell>
          <cell r="K37">
            <v>2.1302455579736555E-2</v>
          </cell>
          <cell r="L37">
            <v>4.8305798630061394E-3</v>
          </cell>
          <cell r="N37">
            <v>5.5814589126615091E-2</v>
          </cell>
          <cell r="O37">
            <v>2.2378296675864284E-2</v>
          </cell>
          <cell r="P37">
            <v>4.946874490233657E-3</v>
          </cell>
          <cell r="R37">
            <v>5.6926852959473702E-2</v>
          </cell>
          <cell r="S37">
            <v>2.3493868269221257E-2</v>
          </cell>
          <cell r="T37">
            <v>5.0618410643195966E-3</v>
          </cell>
          <cell r="V37">
            <v>5.7636996698239226E-2</v>
          </cell>
          <cell r="W37">
            <v>2.465995581165879E-2</v>
          </cell>
          <cell r="X37">
            <v>5.1829042774064506E-3</v>
          </cell>
        </row>
        <row r="39">
          <cell r="J39">
            <v>189.99680000000001</v>
          </cell>
          <cell r="K39">
            <v>0</v>
          </cell>
          <cell r="L39">
            <v>15</v>
          </cell>
          <cell r="N39">
            <v>209.99680000000001</v>
          </cell>
          <cell r="O39">
            <v>0</v>
          </cell>
          <cell r="P39">
            <v>15</v>
          </cell>
          <cell r="R39">
            <v>229.99680000000001</v>
          </cell>
          <cell r="S39">
            <v>0</v>
          </cell>
          <cell r="T39">
            <v>15</v>
          </cell>
          <cell r="V39">
            <v>249.99680000000001</v>
          </cell>
          <cell r="W39">
            <v>0</v>
          </cell>
          <cell r="X39">
            <v>15</v>
          </cell>
        </row>
        <row r="40">
          <cell r="J40">
            <v>27.6</v>
          </cell>
          <cell r="K40">
            <v>0</v>
          </cell>
          <cell r="L40">
            <v>0</v>
          </cell>
          <cell r="N40">
            <v>28.1</v>
          </cell>
          <cell r="O40">
            <v>0</v>
          </cell>
          <cell r="P40">
            <v>0</v>
          </cell>
          <cell r="R40">
            <v>28.7</v>
          </cell>
          <cell r="S40">
            <v>0</v>
          </cell>
          <cell r="T40">
            <v>0</v>
          </cell>
          <cell r="V40">
            <v>29.1</v>
          </cell>
          <cell r="W40">
            <v>0</v>
          </cell>
          <cell r="X40">
            <v>0</v>
          </cell>
        </row>
        <row r="41">
          <cell r="J41">
            <v>0.11668500908679628</v>
          </cell>
          <cell r="K41">
            <v>4.5364590409376883E-2</v>
          </cell>
          <cell r="L41">
            <v>1.0286949131512631E-2</v>
          </cell>
          <cell r="N41">
            <v>0.11885981712855034</v>
          </cell>
          <cell r="O41">
            <v>4.7655645095008241E-2</v>
          </cell>
          <cell r="P41">
            <v>1.0534604060834764E-2</v>
          </cell>
          <cell r="R41">
            <v>0.12122843576107978</v>
          </cell>
          <cell r="S41">
            <v>5.0031307760542168E-2</v>
          </cell>
          <cell r="T41">
            <v>1.077943083794768E-2</v>
          </cell>
          <cell r="V41">
            <v>0.12274072056412969</v>
          </cell>
          <cell r="W41">
            <v>5.2514546537693975E-2</v>
          </cell>
          <cell r="X41">
            <v>1.1037240697227581E-2</v>
          </cell>
        </row>
        <row r="42">
          <cell r="J42">
            <v>8.1212766324410213E-2</v>
          </cell>
          <cell r="K42">
            <v>3.1573754924926305E-2</v>
          </cell>
          <cell r="L42">
            <v>7.1597165955327906E-3</v>
          </cell>
          <cell r="N42">
            <v>8.2726432721471038E-2</v>
          </cell>
          <cell r="O42">
            <v>3.3168328986125734E-2</v>
          </cell>
          <cell r="P42">
            <v>7.3320844263409946E-3</v>
          </cell>
          <cell r="R42">
            <v>8.4374991289711515E-2</v>
          </cell>
          <cell r="S42">
            <v>3.4821790201337348E-2</v>
          </cell>
          <cell r="T42">
            <v>7.5024838632115837E-3</v>
          </cell>
          <cell r="V42">
            <v>8.542754151263425E-2</v>
          </cell>
          <cell r="W42">
            <v>3.6550124390235E-2</v>
          </cell>
          <cell r="X42">
            <v>7.6819195252703955E-3</v>
          </cell>
        </row>
        <row r="43">
          <cell r="J43">
            <v>4.3834668413606469E-2</v>
          </cell>
          <cell r="K43">
            <v>1.7041964463789246E-2</v>
          </cell>
          <cell r="L43">
            <v>3.8644638904049115E-3</v>
          </cell>
          <cell r="N43">
            <v>4.4651671301292079E-2</v>
          </cell>
          <cell r="O43">
            <v>1.7902637340691429E-2</v>
          </cell>
          <cell r="P43">
            <v>3.957499592186926E-3</v>
          </cell>
          <cell r="R43">
            <v>4.5541482367578968E-2</v>
          </cell>
          <cell r="S43">
            <v>1.8795094615377005E-2</v>
          </cell>
          <cell r="T43">
            <v>4.0494728514556778E-3</v>
          </cell>
          <cell r="V43">
            <v>4.6109597358591381E-2</v>
          </cell>
          <cell r="W43">
            <v>1.9727964649327034E-2</v>
          </cell>
          <cell r="X43">
            <v>4.146323421925161E-3</v>
          </cell>
        </row>
        <row r="45">
          <cell r="J45">
            <v>1999.9967999999999</v>
          </cell>
          <cell r="K45">
            <v>0</v>
          </cell>
          <cell r="L45">
            <v>15</v>
          </cell>
          <cell r="N45">
            <v>2999.9967999999999</v>
          </cell>
          <cell r="O45">
            <v>0</v>
          </cell>
          <cell r="P45">
            <v>15</v>
          </cell>
          <cell r="R45">
            <v>3999.9967999999999</v>
          </cell>
          <cell r="S45">
            <v>0</v>
          </cell>
          <cell r="T45">
            <v>15</v>
          </cell>
          <cell r="V45">
            <v>4999.9967999999999</v>
          </cell>
          <cell r="W45">
            <v>0</v>
          </cell>
          <cell r="X45">
            <v>15</v>
          </cell>
        </row>
        <row r="46">
          <cell r="J46">
            <v>9.3449600000000004</v>
          </cell>
          <cell r="K46">
            <v>2.6204799999999997</v>
          </cell>
          <cell r="L46">
            <v>0</v>
          </cell>
          <cell r="N46">
            <v>9.3449600000000004</v>
          </cell>
          <cell r="O46">
            <v>2.6204799999999997</v>
          </cell>
          <cell r="P46">
            <v>0</v>
          </cell>
          <cell r="R46">
            <v>9.3449600000000004</v>
          </cell>
          <cell r="S46">
            <v>2.6204799999999997</v>
          </cell>
          <cell r="T46">
            <v>0</v>
          </cell>
          <cell r="V46">
            <v>9.3449600000000004</v>
          </cell>
          <cell r="W46">
            <v>2.6204799999999997</v>
          </cell>
          <cell r="X46">
            <v>0</v>
          </cell>
        </row>
        <row r="47">
          <cell r="J47">
            <v>4.6573500000000001</v>
          </cell>
          <cell r="K47">
            <v>1.3053999999999999</v>
          </cell>
          <cell r="L47">
            <v>0</v>
          </cell>
          <cell r="N47">
            <v>4.6573500000000001</v>
          </cell>
          <cell r="O47">
            <v>1.3053999999999999</v>
          </cell>
          <cell r="P47">
            <v>0</v>
          </cell>
          <cell r="R47">
            <v>4.6573500000000001</v>
          </cell>
          <cell r="S47">
            <v>1.3053999999999999</v>
          </cell>
          <cell r="T47">
            <v>0</v>
          </cell>
          <cell r="V47">
            <v>4.6573500000000001</v>
          </cell>
          <cell r="W47">
            <v>1.3053999999999999</v>
          </cell>
          <cell r="X47">
            <v>0</v>
          </cell>
        </row>
        <row r="48">
          <cell r="J48">
            <v>5.8699999999999995E-2</v>
          </cell>
          <cell r="K48">
            <v>2.3100000000000002E-2</v>
          </cell>
          <cell r="L48">
            <v>7.1000000000000004E-3</v>
          </cell>
          <cell r="N48">
            <v>6.59E-2</v>
          </cell>
          <cell r="O48">
            <v>2.5900000000000003E-2</v>
          </cell>
          <cell r="P48">
            <v>7.1000000000000004E-3</v>
          </cell>
          <cell r="R48">
            <v>7.3099999999999998E-2</v>
          </cell>
          <cell r="S48">
            <v>2.8700000000000003E-2</v>
          </cell>
          <cell r="T48">
            <v>7.1000000000000004E-3</v>
          </cell>
          <cell r="V48">
            <v>8.0299999999999996E-2</v>
          </cell>
          <cell r="W48">
            <v>3.15E-2</v>
          </cell>
          <cell r="X48">
            <v>7.1000000000000004E-3</v>
          </cell>
        </row>
        <row r="50">
          <cell r="J50">
            <v>4.2933031454105208E-2</v>
          </cell>
          <cell r="K50">
            <v>1.7320856353455334E-2</v>
          </cell>
          <cell r="L50">
            <v>8.5724576095938584E-3</v>
          </cell>
          <cell r="N50">
            <v>4.1952542335530481E-2</v>
          </cell>
          <cell r="O50">
            <v>1.7804154421750734E-2</v>
          </cell>
          <cell r="P50">
            <v>8.7788367173623014E-3</v>
          </cell>
          <cell r="R50">
            <v>4.0969349698367019E-2</v>
          </cell>
          <cell r="S50">
            <v>1.8301100961281829E-2</v>
          </cell>
          <cell r="T50">
            <v>8.9828590316230646E-3</v>
          </cell>
          <cell r="V50">
            <v>3.9962419682561874E-2</v>
          </cell>
          <cell r="W50">
            <v>1.8811809163724137E-2</v>
          </cell>
          <cell r="X50">
            <v>9.1977005810229828E-3</v>
          </cell>
        </row>
        <row r="52">
          <cell r="J52">
            <v>6.3593329952303976E-2</v>
          </cell>
          <cell r="K52">
            <v>2.5971228009368262E-2</v>
          </cell>
          <cell r="L52">
            <v>5.6063872766743839E-3</v>
          </cell>
          <cell r="N52">
            <v>6.477860033505993E-2</v>
          </cell>
          <cell r="O52">
            <v>2.7282856816892215E-2</v>
          </cell>
          <cell r="P52">
            <v>5.7413592131549456E-3</v>
          </cell>
          <cell r="R52">
            <v>6.6069497489788478E-2</v>
          </cell>
          <cell r="S52">
            <v>2.8642923692910389E-2</v>
          </cell>
          <cell r="T52">
            <v>5.8747898066814847E-3</v>
          </cell>
          <cell r="V52">
            <v>6.6893692707450672E-2</v>
          </cell>
          <cell r="W52">
            <v>3.0064577892829798E-2</v>
          </cell>
          <cell r="X52">
            <v>6.0152961799890313E-3</v>
          </cell>
        </row>
        <row r="64">
          <cell r="J64">
            <v>2328.9714420139926</v>
          </cell>
          <cell r="K64">
            <v>0</v>
          </cell>
          <cell r="L64">
            <v>0</v>
          </cell>
          <cell r="N64">
            <v>2384.9634734328779</v>
          </cell>
          <cell r="O64">
            <v>0</v>
          </cell>
          <cell r="P64">
            <v>0</v>
          </cell>
          <cell r="R64">
            <v>2443.9913194003416</v>
          </cell>
          <cell r="S64">
            <v>0</v>
          </cell>
          <cell r="T64">
            <v>0</v>
          </cell>
          <cell r="V64">
            <v>2500.5986779072014</v>
          </cell>
          <cell r="W64">
            <v>0</v>
          </cell>
          <cell r="X64">
            <v>0</v>
          </cell>
        </row>
        <row r="65">
          <cell r="J65">
            <v>49.3</v>
          </cell>
          <cell r="K65">
            <v>40.700000000000003</v>
          </cell>
          <cell r="L65">
            <v>0</v>
          </cell>
          <cell r="N65">
            <v>50.5</v>
          </cell>
          <cell r="O65">
            <v>42.5</v>
          </cell>
          <cell r="P65">
            <v>0</v>
          </cell>
          <cell r="R65">
            <v>51.7</v>
          </cell>
          <cell r="S65">
            <v>44.5</v>
          </cell>
          <cell r="T65">
            <v>0</v>
          </cell>
          <cell r="V65">
            <v>52.9</v>
          </cell>
          <cell r="W65">
            <v>46.5</v>
          </cell>
          <cell r="X65">
            <v>0</v>
          </cell>
        </row>
        <row r="66">
          <cell r="J66">
            <v>35.200000000000003</v>
          </cell>
          <cell r="K66">
            <v>0</v>
          </cell>
          <cell r="L66">
            <v>0</v>
          </cell>
          <cell r="N66">
            <v>36</v>
          </cell>
          <cell r="O66">
            <v>0</v>
          </cell>
          <cell r="P66">
            <v>0</v>
          </cell>
          <cell r="R66">
            <v>36.9</v>
          </cell>
          <cell r="S66">
            <v>0</v>
          </cell>
          <cell r="T66">
            <v>0</v>
          </cell>
          <cell r="V66">
            <v>37.799999999999997</v>
          </cell>
          <cell r="W66">
            <v>0</v>
          </cell>
          <cell r="X66">
            <v>0</v>
          </cell>
        </row>
        <row r="67">
          <cell r="J67">
            <v>3.9201247311979527E-2</v>
          </cell>
          <cell r="K67">
            <v>1.8118444392542111E-2</v>
          </cell>
          <cell r="L67">
            <v>6.5773967516152667E-3</v>
          </cell>
          <cell r="N67">
            <v>4.0143705184822208E-2</v>
          </cell>
          <cell r="O67">
            <v>1.8939209923524266E-2</v>
          </cell>
          <cell r="P67">
            <v>6.7112414077694915E-3</v>
          </cell>
          <cell r="R67">
            <v>4.1137261888146558E-2</v>
          </cell>
          <cell r="S67">
            <v>1.9819518519055425E-2</v>
          </cell>
          <cell r="T67">
            <v>6.8502060418470789E-3</v>
          </cell>
          <cell r="V67">
            <v>4.2090076946534022E-2</v>
          </cell>
          <cell r="W67">
            <v>2.0731216370931976E-2</v>
          </cell>
          <cell r="X67">
            <v>6.9958126714100878E-3</v>
          </cell>
        </row>
        <row r="68">
          <cell r="J68">
            <v>2.4500779569987204E-2</v>
          </cell>
          <cell r="K68">
            <v>1.1324027745338821E-2</v>
          </cell>
          <cell r="L68">
            <v>4.1108729697595416E-3</v>
          </cell>
          <cell r="N68">
            <v>2.5089815740513877E-2</v>
          </cell>
          <cell r="O68">
            <v>1.1837006202202668E-2</v>
          </cell>
          <cell r="P68">
            <v>4.1945258798559322E-3</v>
          </cell>
          <cell r="R68">
            <v>2.5710788680091596E-2</v>
          </cell>
          <cell r="S68">
            <v>1.2387199074409643E-2</v>
          </cell>
          <cell r="T68">
            <v>4.2813787761544243E-3</v>
          </cell>
          <cell r="V68">
            <v>2.6306298091583764E-2</v>
          </cell>
          <cell r="W68">
            <v>1.2957010231832487E-2</v>
          </cell>
          <cell r="X68">
            <v>4.3723829196313044E-3</v>
          </cell>
        </row>
        <row r="70">
          <cell r="J70">
            <v>2328.9714420139926</v>
          </cell>
          <cell r="K70">
            <v>0</v>
          </cell>
          <cell r="L70">
            <v>0</v>
          </cell>
          <cell r="N70">
            <v>2384.9634734328779</v>
          </cell>
          <cell r="O70">
            <v>0</v>
          </cell>
          <cell r="P70">
            <v>0</v>
          </cell>
          <cell r="R70">
            <v>2443.9913194003416</v>
          </cell>
          <cell r="S70">
            <v>0</v>
          </cell>
          <cell r="T70">
            <v>0</v>
          </cell>
          <cell r="V70">
            <v>2500.5986779072014</v>
          </cell>
          <cell r="W70">
            <v>0</v>
          </cell>
          <cell r="X70">
            <v>0</v>
          </cell>
        </row>
        <row r="71">
          <cell r="J71">
            <v>14.789999999999997</v>
          </cell>
          <cell r="K71">
            <v>12.21</v>
          </cell>
          <cell r="L71">
            <v>0</v>
          </cell>
          <cell r="N71">
            <v>15.15</v>
          </cell>
          <cell r="O71">
            <v>12.75</v>
          </cell>
          <cell r="P71">
            <v>0</v>
          </cell>
          <cell r="R71">
            <v>15.510000000000002</v>
          </cell>
          <cell r="S71">
            <v>13.35</v>
          </cell>
          <cell r="T71">
            <v>0</v>
          </cell>
          <cell r="V71">
            <v>15.87</v>
          </cell>
          <cell r="W71">
            <v>13.95</v>
          </cell>
          <cell r="X71">
            <v>0</v>
          </cell>
        </row>
        <row r="72">
          <cell r="J72">
            <v>35.200000000000003</v>
          </cell>
          <cell r="K72">
            <v>0</v>
          </cell>
          <cell r="L72">
            <v>0</v>
          </cell>
          <cell r="N72">
            <v>36</v>
          </cell>
          <cell r="O72">
            <v>0</v>
          </cell>
          <cell r="P72">
            <v>0</v>
          </cell>
          <cell r="R72">
            <v>36.9</v>
          </cell>
          <cell r="S72">
            <v>0</v>
          </cell>
          <cell r="T72">
            <v>0</v>
          </cell>
          <cell r="V72">
            <v>37.799999999999997</v>
          </cell>
          <cell r="W72">
            <v>0</v>
          </cell>
          <cell r="X72">
            <v>0</v>
          </cell>
        </row>
        <row r="73">
          <cell r="J73">
            <v>3.9201247311979527E-2</v>
          </cell>
          <cell r="K73">
            <v>1.8118444392542111E-2</v>
          </cell>
          <cell r="L73">
            <v>6.5773967516152667E-3</v>
          </cell>
          <cell r="N73">
            <v>4.0143705184822208E-2</v>
          </cell>
          <cell r="O73">
            <v>1.8939209923524266E-2</v>
          </cell>
          <cell r="P73">
            <v>6.7112414077694915E-3</v>
          </cell>
          <cell r="R73">
            <v>4.1137261888146558E-2</v>
          </cell>
          <cell r="S73">
            <v>1.9819518519055425E-2</v>
          </cell>
          <cell r="T73">
            <v>6.8502060418470789E-3</v>
          </cell>
          <cell r="V73">
            <v>4.2090076946534022E-2</v>
          </cell>
          <cell r="W73">
            <v>2.0731216370931976E-2</v>
          </cell>
          <cell r="X73">
            <v>6.9958126714100878E-3</v>
          </cell>
        </row>
        <row r="74">
          <cell r="J74">
            <v>2.4500779569987204E-2</v>
          </cell>
          <cell r="K74">
            <v>1.1324027745338821E-2</v>
          </cell>
          <cell r="L74">
            <v>4.1108729697595416E-3</v>
          </cell>
          <cell r="N74">
            <v>2.5089815740513877E-2</v>
          </cell>
          <cell r="O74">
            <v>1.1837006202202668E-2</v>
          </cell>
          <cell r="P74">
            <v>4.1945258798559322E-3</v>
          </cell>
          <cell r="R74">
            <v>2.5710788680091596E-2</v>
          </cell>
          <cell r="S74">
            <v>1.2387199074409643E-2</v>
          </cell>
          <cell r="T74">
            <v>4.2813787761544243E-3</v>
          </cell>
          <cell r="V74">
            <v>2.6306298091583764E-2</v>
          </cell>
          <cell r="W74">
            <v>1.2957010231832487E-2</v>
          </cell>
          <cell r="X74">
            <v>4.3723829196313044E-3</v>
          </cell>
        </row>
        <row r="76">
          <cell r="J76">
            <v>1999.9967999999999</v>
          </cell>
          <cell r="K76">
            <v>0</v>
          </cell>
          <cell r="L76">
            <v>0</v>
          </cell>
          <cell r="N76">
            <v>2999.9967999999999</v>
          </cell>
          <cell r="O76">
            <v>0</v>
          </cell>
          <cell r="P76">
            <v>0</v>
          </cell>
          <cell r="R76">
            <v>3999.9967999999999</v>
          </cell>
          <cell r="S76">
            <v>0</v>
          </cell>
          <cell r="T76">
            <v>0</v>
          </cell>
          <cell r="V76">
            <v>4999.9967999999999</v>
          </cell>
          <cell r="W76">
            <v>0</v>
          </cell>
          <cell r="X76">
            <v>0</v>
          </cell>
        </row>
        <row r="77">
          <cell r="J77">
            <v>9.3449600000000004</v>
          </cell>
          <cell r="K77">
            <v>2.6204799999999997</v>
          </cell>
          <cell r="L77">
            <v>0</v>
          </cell>
          <cell r="N77">
            <v>9.3449600000000004</v>
          </cell>
          <cell r="O77">
            <v>2.6204799999999997</v>
          </cell>
          <cell r="P77">
            <v>0</v>
          </cell>
          <cell r="R77">
            <v>9.3449600000000004</v>
          </cell>
          <cell r="S77">
            <v>2.6204799999999997</v>
          </cell>
          <cell r="T77">
            <v>0</v>
          </cell>
          <cell r="V77">
            <v>9.3449600000000004</v>
          </cell>
          <cell r="W77">
            <v>2.6204799999999997</v>
          </cell>
          <cell r="X77">
            <v>0</v>
          </cell>
        </row>
        <row r="78">
          <cell r="J78">
            <v>4.6573500000000001</v>
          </cell>
          <cell r="K78">
            <v>1.3053999999999999</v>
          </cell>
          <cell r="L78">
            <v>0</v>
          </cell>
          <cell r="N78">
            <v>4.6573500000000001</v>
          </cell>
          <cell r="O78">
            <v>1.3053999999999999</v>
          </cell>
          <cell r="P78">
            <v>0</v>
          </cell>
          <cell r="R78">
            <v>4.6573500000000001</v>
          </cell>
          <cell r="S78">
            <v>1.3053999999999999</v>
          </cell>
          <cell r="T78">
            <v>0</v>
          </cell>
          <cell r="V78">
            <v>4.6573500000000001</v>
          </cell>
          <cell r="W78">
            <v>1.3053999999999999</v>
          </cell>
          <cell r="X78">
            <v>0</v>
          </cell>
        </row>
        <row r="79">
          <cell r="J79">
            <v>5.8699999999999995E-2</v>
          </cell>
          <cell r="K79">
            <v>2.3100000000000002E-2</v>
          </cell>
          <cell r="L79">
            <v>5.1999999999999998E-3</v>
          </cell>
          <cell r="N79">
            <v>6.59E-2</v>
          </cell>
          <cell r="O79">
            <v>2.5900000000000003E-2</v>
          </cell>
          <cell r="P79">
            <v>5.1999999999999998E-3</v>
          </cell>
          <cell r="R79">
            <v>7.3099999999999998E-2</v>
          </cell>
          <cell r="S79">
            <v>2.8700000000000003E-2</v>
          </cell>
          <cell r="T79">
            <v>5.1999999999999998E-3</v>
          </cell>
          <cell r="V79">
            <v>8.0299999999999996E-2</v>
          </cell>
          <cell r="W79">
            <v>3.15E-2</v>
          </cell>
          <cell r="X79">
            <v>5.1999999999999998E-3</v>
          </cell>
        </row>
        <row r="81">
          <cell r="J81">
            <v>189.99680000000001</v>
          </cell>
          <cell r="K81">
            <v>0</v>
          </cell>
          <cell r="L81">
            <v>0</v>
          </cell>
          <cell r="N81">
            <v>209.99680000000001</v>
          </cell>
          <cell r="O81">
            <v>0</v>
          </cell>
          <cell r="P81">
            <v>0</v>
          </cell>
          <cell r="R81">
            <v>229.99680000000001</v>
          </cell>
          <cell r="S81">
            <v>0</v>
          </cell>
          <cell r="T81">
            <v>0</v>
          </cell>
          <cell r="V81">
            <v>249.99680000000001</v>
          </cell>
          <cell r="W81">
            <v>0</v>
          </cell>
          <cell r="X81">
            <v>0</v>
          </cell>
        </row>
        <row r="82">
          <cell r="J82">
            <v>0.11668500908679627</v>
          </cell>
          <cell r="K82">
            <v>4.5364590409376869E-2</v>
          </cell>
          <cell r="L82">
            <v>5.7634439036028775E-3</v>
          </cell>
          <cell r="N82">
            <v>0.11885981712855033</v>
          </cell>
          <cell r="O82">
            <v>4.7655645095008234E-2</v>
          </cell>
          <cell r="P82">
            <v>5.8807252835580172E-3</v>
          </cell>
          <cell r="R82">
            <v>0.12122843576107975</v>
          </cell>
          <cell r="S82">
            <v>5.0031307760542161E-2</v>
          </cell>
          <cell r="T82">
            <v>6.0024930441685024E-3</v>
          </cell>
          <cell r="V82">
            <v>0.12274072056412966</v>
          </cell>
          <cell r="W82">
            <v>5.2514546537693961E-2</v>
          </cell>
          <cell r="X82">
            <v>6.1300808533230888E-3</v>
          </cell>
        </row>
        <row r="84">
          <cell r="J84">
            <v>189.99680000000001</v>
          </cell>
          <cell r="K84">
            <v>0</v>
          </cell>
          <cell r="L84">
            <v>0</v>
          </cell>
          <cell r="N84">
            <v>209.99680000000001</v>
          </cell>
          <cell r="O84">
            <v>0</v>
          </cell>
          <cell r="P84">
            <v>0</v>
          </cell>
          <cell r="R84">
            <v>229.99680000000001</v>
          </cell>
          <cell r="S84">
            <v>0</v>
          </cell>
          <cell r="T84">
            <v>0</v>
          </cell>
          <cell r="V84">
            <v>249.99680000000001</v>
          </cell>
          <cell r="W84">
            <v>0</v>
          </cell>
          <cell r="X84">
            <v>0</v>
          </cell>
        </row>
        <row r="85">
          <cell r="J85">
            <v>0.1315040052408194</v>
          </cell>
          <cell r="K85">
            <v>5.1125893391367729E-2</v>
          </cell>
          <cell r="L85">
            <v>6.5773967516152667E-3</v>
          </cell>
          <cell r="N85">
            <v>0.13395501390387621</v>
          </cell>
          <cell r="O85">
            <v>5.3707912022074276E-2</v>
          </cell>
          <cell r="P85">
            <v>6.7112414077694915E-3</v>
          </cell>
          <cell r="R85">
            <v>0.13662444710273688</v>
          </cell>
          <cell r="S85">
            <v>5.6385283846131014E-2</v>
          </cell>
          <cell r="T85">
            <v>6.8502060418470789E-3</v>
          </cell>
          <cell r="V85">
            <v>0.13832879207577414</v>
          </cell>
          <cell r="W85">
            <v>5.9183893947981091E-2</v>
          </cell>
          <cell r="X85">
            <v>6.9958126714100878E-3</v>
          </cell>
        </row>
        <row r="86">
          <cell r="J86">
            <v>6.57520026204097E-2</v>
          </cell>
          <cell r="K86">
            <v>2.5562946695683864E-2</v>
          </cell>
          <cell r="L86">
            <v>4.1108729697595416E-3</v>
          </cell>
          <cell r="N86">
            <v>6.6977506951938104E-2</v>
          </cell>
          <cell r="O86">
            <v>2.6853956011037138E-2</v>
          </cell>
          <cell r="P86">
            <v>4.1945258798559322E-3</v>
          </cell>
          <cell r="R86">
            <v>6.8312223551368442E-2</v>
          </cell>
          <cell r="S86">
            <v>2.8192641923065507E-2</v>
          </cell>
          <cell r="T86">
            <v>4.2813787761544243E-3</v>
          </cell>
          <cell r="V86">
            <v>6.9164396037887071E-2</v>
          </cell>
          <cell r="W86">
            <v>2.9591946973990545E-2</v>
          </cell>
          <cell r="X86">
            <v>4.3723829196313044E-3</v>
          </cell>
        </row>
        <row r="88">
          <cell r="J88">
            <v>2328.9714420139926</v>
          </cell>
          <cell r="K88">
            <v>0</v>
          </cell>
          <cell r="L88">
            <v>0</v>
          </cell>
          <cell r="N88">
            <v>2384.9634734328779</v>
          </cell>
          <cell r="O88">
            <v>0</v>
          </cell>
          <cell r="P88">
            <v>0</v>
          </cell>
          <cell r="R88">
            <v>2443.9913194003416</v>
          </cell>
          <cell r="S88">
            <v>0</v>
          </cell>
          <cell r="T88">
            <v>0</v>
          </cell>
          <cell r="V88">
            <v>2500.5986779072014</v>
          </cell>
          <cell r="W88">
            <v>0</v>
          </cell>
          <cell r="X88">
            <v>0</v>
          </cell>
        </row>
        <row r="89">
          <cell r="J89">
            <v>49.3</v>
          </cell>
          <cell r="K89">
            <v>40.700000000000003</v>
          </cell>
          <cell r="L89">
            <v>0</v>
          </cell>
          <cell r="N89">
            <v>50.5</v>
          </cell>
          <cell r="O89">
            <v>42.5</v>
          </cell>
          <cell r="P89">
            <v>0</v>
          </cell>
          <cell r="R89">
            <v>51.7</v>
          </cell>
          <cell r="S89">
            <v>44.5</v>
          </cell>
          <cell r="T89">
            <v>0</v>
          </cell>
          <cell r="V89">
            <v>52.9</v>
          </cell>
          <cell r="W89">
            <v>46.5</v>
          </cell>
          <cell r="X89">
            <v>0</v>
          </cell>
        </row>
        <row r="90">
          <cell r="J90">
            <v>35.200000000000003</v>
          </cell>
          <cell r="K90">
            <v>0</v>
          </cell>
          <cell r="L90">
            <v>0</v>
          </cell>
          <cell r="N90">
            <v>36</v>
          </cell>
          <cell r="O90">
            <v>0</v>
          </cell>
          <cell r="P90">
            <v>0</v>
          </cell>
          <cell r="R90">
            <v>36.9</v>
          </cell>
          <cell r="S90">
            <v>0</v>
          </cell>
          <cell r="T90">
            <v>0</v>
          </cell>
          <cell r="V90">
            <v>37.799999999999997</v>
          </cell>
          <cell r="W90">
            <v>0</v>
          </cell>
          <cell r="X90">
            <v>0</v>
          </cell>
        </row>
        <row r="91">
          <cell r="J91">
            <v>0</v>
          </cell>
          <cell r="K91">
            <v>0</v>
          </cell>
          <cell r="L91">
            <v>0</v>
          </cell>
          <cell r="N91">
            <v>0</v>
          </cell>
          <cell r="O91">
            <v>0</v>
          </cell>
          <cell r="P91">
            <v>0</v>
          </cell>
          <cell r="R91">
            <v>0</v>
          </cell>
          <cell r="S91">
            <v>0</v>
          </cell>
          <cell r="T91">
            <v>0</v>
          </cell>
          <cell r="V91">
            <v>0</v>
          </cell>
          <cell r="W91">
            <v>0</v>
          </cell>
          <cell r="X91">
            <v>0</v>
          </cell>
        </row>
        <row r="92">
          <cell r="J92">
            <v>0</v>
          </cell>
          <cell r="K92">
            <v>0</v>
          </cell>
          <cell r="L92">
            <v>0</v>
          </cell>
          <cell r="N92">
            <v>0</v>
          </cell>
          <cell r="O92">
            <v>0</v>
          </cell>
          <cell r="P92">
            <v>0</v>
          </cell>
          <cell r="R92">
            <v>0</v>
          </cell>
          <cell r="S92">
            <v>0</v>
          </cell>
          <cell r="T92">
            <v>0</v>
          </cell>
          <cell r="V92">
            <v>0</v>
          </cell>
          <cell r="W92">
            <v>0</v>
          </cell>
          <cell r="X92">
            <v>0</v>
          </cell>
        </row>
        <row r="104">
          <cell r="J104">
            <v>12982.5</v>
          </cell>
          <cell r="K104">
            <v>0</v>
          </cell>
          <cell r="L104">
            <v>0</v>
          </cell>
          <cell r="N104">
            <v>13263.435318727577</v>
          </cell>
          <cell r="O104">
            <v>0</v>
          </cell>
          <cell r="P104">
            <v>0</v>
          </cell>
          <cell r="R104">
            <v>13552.916320314198</v>
          </cell>
          <cell r="S104">
            <v>0</v>
          </cell>
          <cell r="T104">
            <v>0</v>
          </cell>
          <cell r="V104">
            <v>13851.080479361111</v>
          </cell>
          <cell r="W104">
            <v>0</v>
          </cell>
          <cell r="X104">
            <v>0</v>
          </cell>
        </row>
        <row r="105">
          <cell r="J105">
            <v>33.700000000000003</v>
          </cell>
          <cell r="K105">
            <v>38.799999999999997</v>
          </cell>
          <cell r="L105">
            <v>0</v>
          </cell>
          <cell r="N105">
            <v>34.4</v>
          </cell>
          <cell r="O105">
            <v>40.5</v>
          </cell>
          <cell r="P105">
            <v>0</v>
          </cell>
          <cell r="R105">
            <v>35.200000000000003</v>
          </cell>
          <cell r="S105">
            <v>42.4</v>
          </cell>
          <cell r="T105">
            <v>0</v>
          </cell>
          <cell r="V105">
            <v>36</v>
          </cell>
          <cell r="W105">
            <v>44.4</v>
          </cell>
          <cell r="X105">
            <v>0</v>
          </cell>
        </row>
        <row r="106">
          <cell r="J106">
            <v>32.700000000000003</v>
          </cell>
          <cell r="K106">
            <v>0</v>
          </cell>
          <cell r="L106">
            <v>0</v>
          </cell>
          <cell r="N106">
            <v>33.4</v>
          </cell>
          <cell r="O106">
            <v>0</v>
          </cell>
          <cell r="P106">
            <v>0</v>
          </cell>
          <cell r="R106">
            <v>34.1</v>
          </cell>
          <cell r="S106">
            <v>0</v>
          </cell>
          <cell r="T106">
            <v>0</v>
          </cell>
          <cell r="V106">
            <v>34.9</v>
          </cell>
          <cell r="W106">
            <v>0</v>
          </cell>
          <cell r="X106">
            <v>0</v>
          </cell>
        </row>
        <row r="107">
          <cell r="J107">
            <v>2.0772000000000002E-2</v>
          </cell>
          <cell r="K107">
            <v>1.2865366744909304E-2</v>
          </cell>
          <cell r="L107">
            <v>4.3334144808178524E-3</v>
          </cell>
          <cell r="N107">
            <v>2.1221496509964126E-2</v>
          </cell>
          <cell r="O107">
            <v>1.3444308248430221E-2</v>
          </cell>
          <cell r="P107">
            <v>4.421930155655172E-3</v>
          </cell>
          <cell r="R107">
            <v>2.1684666112502717E-2</v>
          </cell>
          <cell r="S107">
            <v>1.4062746427858012E-2</v>
          </cell>
          <cell r="T107">
            <v>4.5147607947111923E-3</v>
          </cell>
          <cell r="V107">
            <v>2.2161728766977778E-2</v>
          </cell>
          <cell r="W107">
            <v>1.4709632763539482E-2</v>
          </cell>
          <cell r="X107">
            <v>4.6115726439539947E-3</v>
          </cell>
        </row>
        <row r="108">
          <cell r="J108">
            <v>1.2982500000000001E-2</v>
          </cell>
          <cell r="K108">
            <v>8.040854215568315E-3</v>
          </cell>
          <cell r="L108">
            <v>2.7083840505111568E-3</v>
          </cell>
          <cell r="N108">
            <v>1.326343531872758E-2</v>
          </cell>
          <cell r="O108">
            <v>8.4026926552688893E-3</v>
          </cell>
          <cell r="P108">
            <v>2.7637063472844814E-3</v>
          </cell>
          <cell r="R108">
            <v>1.3552916320314199E-2</v>
          </cell>
          <cell r="S108">
            <v>8.7892165174112587E-3</v>
          </cell>
          <cell r="T108">
            <v>2.8217254966944939E-3</v>
          </cell>
          <cell r="V108">
            <v>1.3851080479361112E-2</v>
          </cell>
          <cell r="W108">
            <v>9.1935204772121762E-3</v>
          </cell>
          <cell r="X108">
            <v>2.8822329024712451E-3</v>
          </cell>
        </row>
        <row r="110">
          <cell r="J110">
            <v>12982.5</v>
          </cell>
          <cell r="K110">
            <v>0</v>
          </cell>
          <cell r="L110">
            <v>0</v>
          </cell>
          <cell r="N110">
            <v>13263.435318727577</v>
          </cell>
          <cell r="O110">
            <v>0</v>
          </cell>
          <cell r="P110">
            <v>0</v>
          </cell>
          <cell r="R110">
            <v>13552.916320314198</v>
          </cell>
          <cell r="S110">
            <v>0</v>
          </cell>
          <cell r="T110">
            <v>0</v>
          </cell>
          <cell r="V110">
            <v>13851.080479361111</v>
          </cell>
          <cell r="W110">
            <v>0</v>
          </cell>
          <cell r="X110">
            <v>0</v>
          </cell>
        </row>
        <row r="111">
          <cell r="J111">
            <v>10.110000000000001</v>
          </cell>
          <cell r="K111">
            <v>11.639999999999999</v>
          </cell>
          <cell r="L111">
            <v>0</v>
          </cell>
          <cell r="N111">
            <v>10.319999999999999</v>
          </cell>
          <cell r="O111">
            <v>12.15</v>
          </cell>
          <cell r="P111">
            <v>0</v>
          </cell>
          <cell r="R111">
            <v>10.56</v>
          </cell>
          <cell r="S111">
            <v>12.719999999999999</v>
          </cell>
          <cell r="T111">
            <v>0</v>
          </cell>
          <cell r="V111">
            <v>10.8</v>
          </cell>
          <cell r="W111">
            <v>13.319999999999999</v>
          </cell>
          <cell r="X111">
            <v>0</v>
          </cell>
        </row>
        <row r="112">
          <cell r="J112">
            <v>32.700000000000003</v>
          </cell>
          <cell r="K112">
            <v>0</v>
          </cell>
          <cell r="L112">
            <v>0</v>
          </cell>
          <cell r="N112">
            <v>33.4</v>
          </cell>
          <cell r="O112">
            <v>0</v>
          </cell>
          <cell r="P112">
            <v>0</v>
          </cell>
          <cell r="R112">
            <v>34.1</v>
          </cell>
          <cell r="S112">
            <v>0</v>
          </cell>
          <cell r="T112">
            <v>0</v>
          </cell>
          <cell r="V112">
            <v>34.9</v>
          </cell>
          <cell r="W112">
            <v>0</v>
          </cell>
          <cell r="X112">
            <v>0</v>
          </cell>
        </row>
        <row r="113">
          <cell r="J113">
            <v>2.0772000000000002E-2</v>
          </cell>
          <cell r="K113">
            <v>1.2865366744909304E-2</v>
          </cell>
          <cell r="L113">
            <v>4.3334144808178524E-3</v>
          </cell>
          <cell r="N113">
            <v>2.1221496509964126E-2</v>
          </cell>
          <cell r="O113">
            <v>1.3444308248430221E-2</v>
          </cell>
          <cell r="P113">
            <v>4.421930155655172E-3</v>
          </cell>
          <cell r="R113">
            <v>2.1684666112502717E-2</v>
          </cell>
          <cell r="S113">
            <v>1.4062746427858012E-2</v>
          </cell>
          <cell r="T113">
            <v>4.5147607947111923E-3</v>
          </cell>
          <cell r="V113">
            <v>2.2161728766977778E-2</v>
          </cell>
          <cell r="W113">
            <v>1.4709632763539482E-2</v>
          </cell>
          <cell r="X113">
            <v>4.6115726439539947E-3</v>
          </cell>
        </row>
        <row r="114">
          <cell r="J114">
            <v>1.2982500000000001E-2</v>
          </cell>
          <cell r="K114">
            <v>8.040854215568315E-3</v>
          </cell>
          <cell r="L114">
            <v>2.7083840505111568E-3</v>
          </cell>
          <cell r="N114">
            <v>1.326343531872758E-2</v>
          </cell>
          <cell r="O114">
            <v>8.4026926552688893E-3</v>
          </cell>
          <cell r="P114">
            <v>2.7637063472844814E-3</v>
          </cell>
          <cell r="R114">
            <v>1.3552916320314199E-2</v>
          </cell>
          <cell r="S114">
            <v>8.7892165174112587E-3</v>
          </cell>
          <cell r="T114">
            <v>2.8217254966944939E-3</v>
          </cell>
          <cell r="V114">
            <v>1.3851080479361112E-2</v>
          </cell>
          <cell r="W114">
            <v>9.1935204772121762E-3</v>
          </cell>
          <cell r="X114">
            <v>2.8822329024712451E-3</v>
          </cell>
        </row>
        <row r="116">
          <cell r="J116">
            <v>2328.9714420139926</v>
          </cell>
          <cell r="K116">
            <v>0</v>
          </cell>
          <cell r="L116">
            <v>0</v>
          </cell>
          <cell r="N116">
            <v>2384.9634734328779</v>
          </cell>
          <cell r="O116">
            <v>0</v>
          </cell>
          <cell r="P116">
            <v>0</v>
          </cell>
          <cell r="R116">
            <v>2443.9913194003416</v>
          </cell>
          <cell r="S116">
            <v>0</v>
          </cell>
          <cell r="T116">
            <v>0</v>
          </cell>
          <cell r="V116">
            <v>2500.5986779072014</v>
          </cell>
          <cell r="W116">
            <v>0</v>
          </cell>
          <cell r="X116">
            <v>0</v>
          </cell>
        </row>
        <row r="117">
          <cell r="J117">
            <v>49.3</v>
          </cell>
          <cell r="K117">
            <v>61.050000000000004</v>
          </cell>
          <cell r="L117">
            <v>0</v>
          </cell>
          <cell r="N117">
            <v>50.5</v>
          </cell>
          <cell r="O117">
            <v>63.75</v>
          </cell>
          <cell r="P117">
            <v>0</v>
          </cell>
          <cell r="R117">
            <v>51.7</v>
          </cell>
          <cell r="S117">
            <v>66.75</v>
          </cell>
          <cell r="T117">
            <v>0</v>
          </cell>
          <cell r="V117">
            <v>52.9</v>
          </cell>
          <cell r="W117">
            <v>69.75</v>
          </cell>
          <cell r="X117">
            <v>0</v>
          </cell>
        </row>
        <row r="118">
          <cell r="J118">
            <v>35.200000000000003</v>
          </cell>
          <cell r="K118">
            <v>0</v>
          </cell>
          <cell r="L118">
            <v>0</v>
          </cell>
          <cell r="N118">
            <v>36</v>
          </cell>
          <cell r="O118">
            <v>0</v>
          </cell>
          <cell r="P118">
            <v>0</v>
          </cell>
          <cell r="R118">
            <v>36.9</v>
          </cell>
          <cell r="S118">
            <v>0</v>
          </cell>
          <cell r="T118">
            <v>0</v>
          </cell>
          <cell r="V118">
            <v>37.799999999999997</v>
          </cell>
          <cell r="W118">
            <v>0</v>
          </cell>
          <cell r="X118">
            <v>0</v>
          </cell>
        </row>
        <row r="119">
          <cell r="J119">
            <v>3.9201247311979527E-2</v>
          </cell>
          <cell r="K119">
            <v>1.8118444392542111E-2</v>
          </cell>
          <cell r="L119">
            <v>4.3334144808178524E-3</v>
          </cell>
          <cell r="N119">
            <v>4.0143705184822208E-2</v>
          </cell>
          <cell r="O119">
            <v>1.8939209923524266E-2</v>
          </cell>
          <cell r="P119">
            <v>4.421930155655172E-3</v>
          </cell>
          <cell r="R119">
            <v>4.1137261888146558E-2</v>
          </cell>
          <cell r="S119">
            <v>1.9819518519055425E-2</v>
          </cell>
          <cell r="T119">
            <v>4.5147607947111923E-3</v>
          </cell>
          <cell r="V119">
            <v>4.2090076946534022E-2</v>
          </cell>
          <cell r="W119">
            <v>2.0731216370931976E-2</v>
          </cell>
          <cell r="X119">
            <v>4.6115726439539947E-3</v>
          </cell>
        </row>
        <row r="120">
          <cell r="J120">
            <v>2.4500779569987204E-2</v>
          </cell>
          <cell r="K120">
            <v>1.1324027745338821E-2</v>
          </cell>
          <cell r="L120">
            <v>2.7083840505111568E-3</v>
          </cell>
          <cell r="N120">
            <v>2.5089815740513877E-2</v>
          </cell>
          <cell r="O120">
            <v>1.1837006202202668E-2</v>
          </cell>
          <cell r="P120">
            <v>2.7637063472844814E-3</v>
          </cell>
          <cell r="R120">
            <v>2.5710788680091596E-2</v>
          </cell>
          <cell r="S120">
            <v>1.2387199074409643E-2</v>
          </cell>
          <cell r="T120">
            <v>2.8217254966944939E-3</v>
          </cell>
          <cell r="V120">
            <v>2.6306298091583764E-2</v>
          </cell>
          <cell r="W120">
            <v>1.2957010231832487E-2</v>
          </cell>
          <cell r="X120">
            <v>2.8822329024712451E-3</v>
          </cell>
        </row>
        <row r="122">
          <cell r="J122">
            <v>1999.9967999999999</v>
          </cell>
          <cell r="K122">
            <v>0</v>
          </cell>
          <cell r="L122">
            <v>0</v>
          </cell>
          <cell r="N122">
            <v>2999.9967999999999</v>
          </cell>
          <cell r="O122">
            <v>0</v>
          </cell>
          <cell r="P122">
            <v>0</v>
          </cell>
          <cell r="R122">
            <v>3999.9967999999999</v>
          </cell>
          <cell r="S122">
            <v>0</v>
          </cell>
          <cell r="T122">
            <v>0</v>
          </cell>
          <cell r="V122">
            <v>4999.9967999999999</v>
          </cell>
          <cell r="W122">
            <v>0</v>
          </cell>
          <cell r="X122">
            <v>0</v>
          </cell>
        </row>
        <row r="123">
          <cell r="J123">
            <v>9.3449600000000004</v>
          </cell>
          <cell r="K123">
            <v>2.6204799999999997</v>
          </cell>
          <cell r="L123">
            <v>0</v>
          </cell>
          <cell r="N123">
            <v>9.3449600000000004</v>
          </cell>
          <cell r="O123">
            <v>2.6204799999999997</v>
          </cell>
          <cell r="P123">
            <v>0</v>
          </cell>
          <cell r="R123">
            <v>9.3449600000000004</v>
          </cell>
          <cell r="S123">
            <v>2.6204799999999997</v>
          </cell>
          <cell r="T123">
            <v>0</v>
          </cell>
          <cell r="V123">
            <v>9.3449600000000004</v>
          </cell>
          <cell r="W123">
            <v>2.6204799999999997</v>
          </cell>
          <cell r="X123">
            <v>0</v>
          </cell>
        </row>
        <row r="124">
          <cell r="J124">
            <v>4.6573500000000001</v>
          </cell>
          <cell r="K124">
            <v>1.3053999999999999</v>
          </cell>
          <cell r="L124">
            <v>0</v>
          </cell>
          <cell r="N124">
            <v>4.6573500000000001</v>
          </cell>
          <cell r="O124">
            <v>1.3053999999999999</v>
          </cell>
          <cell r="P124">
            <v>0</v>
          </cell>
          <cell r="R124">
            <v>4.6573500000000001</v>
          </cell>
          <cell r="S124">
            <v>1.3053999999999999</v>
          </cell>
          <cell r="T124">
            <v>0</v>
          </cell>
          <cell r="V124">
            <v>4.6573500000000001</v>
          </cell>
          <cell r="W124">
            <v>1.3053999999999999</v>
          </cell>
          <cell r="X124">
            <v>0</v>
          </cell>
        </row>
        <row r="125">
          <cell r="J125">
            <v>5.8699999999999995E-2</v>
          </cell>
          <cell r="K125">
            <v>2.3100000000000002E-2</v>
          </cell>
          <cell r="L125">
            <v>3.5999999999999999E-3</v>
          </cell>
          <cell r="N125">
            <v>6.59E-2</v>
          </cell>
          <cell r="O125">
            <v>2.5900000000000003E-2</v>
          </cell>
          <cell r="P125">
            <v>3.5999999999999999E-3</v>
          </cell>
          <cell r="R125">
            <v>7.3099999999999998E-2</v>
          </cell>
          <cell r="S125">
            <v>2.8700000000000003E-2</v>
          </cell>
          <cell r="T125">
            <v>3.5999999999999999E-3</v>
          </cell>
          <cell r="V125">
            <v>8.0299999999999996E-2</v>
          </cell>
          <cell r="W125">
            <v>3.15E-2</v>
          </cell>
          <cell r="X125">
            <v>3.5999999999999999E-3</v>
          </cell>
        </row>
        <row r="127">
          <cell r="J127">
            <v>0</v>
          </cell>
          <cell r="K127">
            <v>0</v>
          </cell>
          <cell r="L127">
            <v>0</v>
          </cell>
          <cell r="N127">
            <v>0</v>
          </cell>
          <cell r="O127">
            <v>0</v>
          </cell>
          <cell r="P127">
            <v>0</v>
          </cell>
          <cell r="R127">
            <v>0</v>
          </cell>
          <cell r="S127">
            <v>0</v>
          </cell>
          <cell r="T127">
            <v>0</v>
          </cell>
          <cell r="V127">
            <v>0</v>
          </cell>
          <cell r="W127">
            <v>0</v>
          </cell>
          <cell r="X127">
            <v>0</v>
          </cell>
        </row>
        <row r="128">
          <cell r="J128">
            <v>33.700000000000003</v>
          </cell>
          <cell r="K128">
            <v>38.799999999999997</v>
          </cell>
          <cell r="L128">
            <v>0</v>
          </cell>
          <cell r="N128">
            <v>34.4</v>
          </cell>
          <cell r="O128">
            <v>40.5</v>
          </cell>
          <cell r="P128">
            <v>0</v>
          </cell>
          <cell r="R128">
            <v>35.200000000000003</v>
          </cell>
          <cell r="S128">
            <v>42.4</v>
          </cell>
          <cell r="T128">
            <v>0</v>
          </cell>
          <cell r="V128">
            <v>36</v>
          </cell>
          <cell r="W128">
            <v>44.4</v>
          </cell>
          <cell r="X128">
            <v>0</v>
          </cell>
        </row>
        <row r="129">
          <cell r="J129">
            <v>32.700000000000003</v>
          </cell>
          <cell r="K129">
            <v>0</v>
          </cell>
          <cell r="L129">
            <v>0</v>
          </cell>
          <cell r="N129">
            <v>33.4</v>
          </cell>
          <cell r="O129">
            <v>0</v>
          </cell>
          <cell r="P129">
            <v>0</v>
          </cell>
          <cell r="R129">
            <v>34.1</v>
          </cell>
          <cell r="S129">
            <v>0</v>
          </cell>
          <cell r="T129">
            <v>0</v>
          </cell>
          <cell r="V129">
            <v>34.9</v>
          </cell>
          <cell r="W129">
            <v>0</v>
          </cell>
          <cell r="X129">
            <v>0</v>
          </cell>
        </row>
        <row r="130">
          <cell r="J130">
            <v>0</v>
          </cell>
          <cell r="K130">
            <v>0</v>
          </cell>
          <cell r="L130">
            <v>0</v>
          </cell>
          <cell r="N130">
            <v>0</v>
          </cell>
          <cell r="O130">
            <v>0</v>
          </cell>
          <cell r="P130">
            <v>0</v>
          </cell>
          <cell r="R130">
            <v>0</v>
          </cell>
          <cell r="S130">
            <v>0</v>
          </cell>
          <cell r="T130">
            <v>0</v>
          </cell>
          <cell r="V130">
            <v>0</v>
          </cell>
          <cell r="W130">
            <v>0</v>
          </cell>
          <cell r="X130">
            <v>0</v>
          </cell>
        </row>
        <row r="131">
          <cell r="J131">
            <v>0</v>
          </cell>
          <cell r="K131">
            <v>0</v>
          </cell>
          <cell r="L131">
            <v>0</v>
          </cell>
          <cell r="N131">
            <v>0</v>
          </cell>
          <cell r="O131">
            <v>0</v>
          </cell>
          <cell r="P131">
            <v>0</v>
          </cell>
          <cell r="R131">
            <v>0</v>
          </cell>
          <cell r="S131">
            <v>0</v>
          </cell>
          <cell r="T131">
            <v>0</v>
          </cell>
          <cell r="V131">
            <v>0</v>
          </cell>
          <cell r="W131">
            <v>0</v>
          </cell>
          <cell r="X131">
            <v>0</v>
          </cell>
        </row>
        <row r="134">
          <cell r="J134">
            <v>0</v>
          </cell>
          <cell r="K134">
            <v>0</v>
          </cell>
          <cell r="L134">
            <v>0</v>
          </cell>
          <cell r="N134">
            <v>0</v>
          </cell>
          <cell r="O134">
            <v>0</v>
          </cell>
          <cell r="P134">
            <v>0</v>
          </cell>
          <cell r="R134">
            <v>0</v>
          </cell>
          <cell r="S134">
            <v>0</v>
          </cell>
          <cell r="T134">
            <v>0</v>
          </cell>
          <cell r="V134">
            <v>0</v>
          </cell>
          <cell r="W134">
            <v>0</v>
          </cell>
          <cell r="X134">
            <v>0</v>
          </cell>
        </row>
        <row r="135">
          <cell r="J135">
            <v>14.2</v>
          </cell>
          <cell r="K135">
            <v>38.799999999999997</v>
          </cell>
          <cell r="L135">
            <v>0</v>
          </cell>
          <cell r="N135">
            <v>14.2</v>
          </cell>
          <cell r="O135">
            <v>40.5</v>
          </cell>
          <cell r="P135">
            <v>0</v>
          </cell>
          <cell r="R135">
            <v>14.2</v>
          </cell>
          <cell r="S135">
            <v>42.4</v>
          </cell>
          <cell r="T135">
            <v>0</v>
          </cell>
          <cell r="V135">
            <v>14.2</v>
          </cell>
          <cell r="W135">
            <v>44.4</v>
          </cell>
          <cell r="X135">
            <v>0</v>
          </cell>
        </row>
        <row r="136">
          <cell r="J136">
            <v>25.3</v>
          </cell>
          <cell r="K136">
            <v>0</v>
          </cell>
          <cell r="L136">
            <v>0</v>
          </cell>
          <cell r="N136">
            <v>25.4</v>
          </cell>
          <cell r="O136">
            <v>0</v>
          </cell>
          <cell r="P136">
            <v>0</v>
          </cell>
          <cell r="R136">
            <v>25.5</v>
          </cell>
          <cell r="S136">
            <v>0</v>
          </cell>
          <cell r="T136">
            <v>0</v>
          </cell>
          <cell r="V136">
            <v>25.6</v>
          </cell>
          <cell r="W136">
            <v>0</v>
          </cell>
          <cell r="X136">
            <v>0</v>
          </cell>
        </row>
        <row r="137">
          <cell r="J137">
            <v>4.0977406010908142E-3</v>
          </cell>
          <cell r="K137">
            <v>1.0453110480238809E-2</v>
          </cell>
          <cell r="L137">
            <v>8.4527894381393064E-4</v>
          </cell>
          <cell r="N137">
            <v>4.1059034309734593E-3</v>
          </cell>
          <cell r="O137">
            <v>1.0923500451849555E-2</v>
          </cell>
          <cell r="P137">
            <v>8.4527894381393042E-4</v>
          </cell>
          <cell r="R137">
            <v>4.1202740929818663E-3</v>
          </cell>
          <cell r="S137">
            <v>1.1425981472634635E-2</v>
          </cell>
          <cell r="T137">
            <v>8.4527894381393064E-4</v>
          </cell>
          <cell r="V137">
            <v>4.1346950523073033E-3</v>
          </cell>
          <cell r="W137">
            <v>1.1951576620375829E-2</v>
          </cell>
          <cell r="X137">
            <v>8.4527894381393042E-4</v>
          </cell>
        </row>
        <row r="139">
          <cell r="J139">
            <v>0</v>
          </cell>
          <cell r="K139">
            <v>0</v>
          </cell>
          <cell r="L139">
            <v>0</v>
          </cell>
          <cell r="N139">
            <v>0</v>
          </cell>
          <cell r="O139">
            <v>0</v>
          </cell>
          <cell r="P139">
            <v>0</v>
          </cell>
          <cell r="R139">
            <v>0</v>
          </cell>
          <cell r="S139">
            <v>0</v>
          </cell>
          <cell r="T139">
            <v>0</v>
          </cell>
          <cell r="V139">
            <v>0</v>
          </cell>
          <cell r="W139">
            <v>0</v>
          </cell>
          <cell r="X139">
            <v>0</v>
          </cell>
        </row>
        <row r="140">
          <cell r="J140">
            <v>0</v>
          </cell>
          <cell r="K140">
            <v>38.799999999999997</v>
          </cell>
          <cell r="L140">
            <v>0</v>
          </cell>
          <cell r="N140">
            <v>0</v>
          </cell>
          <cell r="O140">
            <v>40.5</v>
          </cell>
          <cell r="P140">
            <v>0</v>
          </cell>
          <cell r="R140">
            <v>0</v>
          </cell>
          <cell r="S140">
            <v>42.4</v>
          </cell>
          <cell r="T140">
            <v>0</v>
          </cell>
          <cell r="V140">
            <v>0</v>
          </cell>
          <cell r="W140">
            <v>44.4</v>
          </cell>
          <cell r="X140">
            <v>0</v>
          </cell>
        </row>
        <row r="141">
          <cell r="J141">
            <v>14.2</v>
          </cell>
          <cell r="K141">
            <v>0</v>
          </cell>
          <cell r="L141">
            <v>0</v>
          </cell>
          <cell r="N141">
            <v>14.2</v>
          </cell>
          <cell r="O141">
            <v>0</v>
          </cell>
          <cell r="P141">
            <v>0</v>
          </cell>
          <cell r="R141">
            <v>14.2</v>
          </cell>
          <cell r="S141">
            <v>0</v>
          </cell>
          <cell r="T141">
            <v>0</v>
          </cell>
          <cell r="V141">
            <v>14.2</v>
          </cell>
          <cell r="W141">
            <v>0</v>
          </cell>
          <cell r="X141">
            <v>0</v>
          </cell>
        </row>
        <row r="142">
          <cell r="J142">
            <v>1.475186616392693E-3</v>
          </cell>
          <cell r="K142">
            <v>1.0453110480238809E-2</v>
          </cell>
          <cell r="L142">
            <v>8.4527894381393064E-4</v>
          </cell>
          <cell r="N142">
            <v>1.4781252351504454E-3</v>
          </cell>
          <cell r="O142">
            <v>1.0923500451849555E-2</v>
          </cell>
          <cell r="P142">
            <v>8.4527894381393042E-4</v>
          </cell>
          <cell r="R142">
            <v>1.483298673473472E-3</v>
          </cell>
          <cell r="S142">
            <v>1.1425981472634635E-2</v>
          </cell>
          <cell r="T142">
            <v>8.4527894381393064E-4</v>
          </cell>
          <cell r="V142">
            <v>1.4884902188306293E-3</v>
          </cell>
          <cell r="W142">
            <v>1.1951576620375829E-2</v>
          </cell>
          <cell r="X142">
            <v>8.4527894381393042E-4</v>
          </cell>
        </row>
      </sheetData>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Std Control"/>
      <sheetName val="Trans"/>
      <sheetName val="JSO"/>
      <sheetName val="CPT"/>
      <sheetName val="DUOS (t)"/>
      <sheetName val="TUOS (t)"/>
      <sheetName val="JSO (t)"/>
      <sheetName val="CPT (t)"/>
      <sheetName val="Neg Serv (t)"/>
      <sheetName val="NUOS (t)"/>
      <sheetName val="Q (t)"/>
      <sheetName val="DUOS (t-1)"/>
      <sheetName val="TUOS (t-1)"/>
      <sheetName val="JSO (t-1)"/>
      <sheetName val="Neg Serv (t-1)"/>
      <sheetName val="NUOS (t-1)"/>
      <sheetName val="TSS DUoS 17-20"/>
      <sheetName val="TSS TUoS 17-20 unadj"/>
      <sheetName val="TSS TUoS 17-20"/>
      <sheetName val="TSS JSO 17-20"/>
      <sheetName val="TSS NUoS 17-20"/>
      <sheetName val="DUoS Schedule"/>
      <sheetName val="TUoS Schedule"/>
      <sheetName val="JSO (PV) Schedule"/>
      <sheetName val="Neg Services Schedule"/>
      <sheetName val="NUoS Schedule"/>
      <sheetName val="Indicative Prices"/>
    </sheetNames>
    <sheetDataSet>
      <sheetData sheetId="0" refreshError="1"/>
      <sheetData sheetId="1" refreshError="1"/>
      <sheetData sheetId="2" refreshError="1"/>
      <sheetData sheetId="3" refreshError="1"/>
      <sheetData sheetId="4" refreshError="1"/>
      <sheetData sheetId="5" refreshError="1"/>
      <sheetData sheetId="6">
        <row r="11">
          <cell r="AF11">
            <v>69908.770005835249</v>
          </cell>
        </row>
        <row r="133">
          <cell r="AJ133">
            <v>450196.28412648686</v>
          </cell>
        </row>
        <row r="134">
          <cell r="AJ134">
            <v>152033.46877284691</v>
          </cell>
        </row>
        <row r="135">
          <cell r="AJ135">
            <v>207351.75475107081</v>
          </cell>
        </row>
        <row r="136">
          <cell r="AJ136">
            <v>36432.141155650665</v>
          </cell>
        </row>
        <row r="137">
          <cell r="AJ137">
            <v>12237.634758764776</v>
          </cell>
        </row>
      </sheetData>
      <sheetData sheetId="7">
        <row r="11">
          <cell r="AF11">
            <v>0</v>
          </cell>
        </row>
        <row r="133">
          <cell r="AJ133">
            <v>109551.72420890821</v>
          </cell>
        </row>
        <row r="134">
          <cell r="AJ134">
            <v>43424.059170502114</v>
          </cell>
        </row>
        <row r="135">
          <cell r="AJ135">
            <v>64056.131294787388</v>
          </cell>
        </row>
        <row r="136">
          <cell r="AJ136">
            <v>15618.688975177889</v>
          </cell>
        </row>
        <row r="137">
          <cell r="AJ137">
            <v>17810.213915084274</v>
          </cell>
        </row>
      </sheetData>
      <sheetData sheetId="8">
        <row r="11">
          <cell r="AF11">
            <v>7013.5011979964165</v>
          </cell>
        </row>
        <row r="133">
          <cell r="AJ133">
            <v>53262.196581020231</v>
          </cell>
        </row>
        <row r="134">
          <cell r="AJ134">
            <v>11416.517361763565</v>
          </cell>
        </row>
        <row r="135">
          <cell r="AJ135">
            <v>15274.897877603014</v>
          </cell>
        </row>
        <row r="136">
          <cell r="AJ136">
            <v>2734.0140697740003</v>
          </cell>
        </row>
        <row r="137">
          <cell r="AJ137">
            <v>907.22774446940014</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efreshError="1"/>
      <sheetData sheetId="1" refreshError="1"/>
      <sheetData sheetId="2" refreshError="1"/>
      <sheetData sheetId="3" refreshError="1"/>
      <sheetData sheetId="4">
        <row r="24">
          <cell r="C24">
            <v>-38062705.536566369</v>
          </cell>
        </row>
      </sheetData>
      <sheetData sheetId="5" refreshError="1"/>
      <sheetData sheetId="6" refreshError="1"/>
      <sheetData sheetId="7" refreshError="1"/>
      <sheetData sheetId="8">
        <row r="12">
          <cell r="D12">
            <v>10355.11590956942</v>
          </cell>
        </row>
      </sheetData>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sheetData sheetId="4">
        <row r="24">
          <cell r="C24">
            <v>22196934.777813505</v>
          </cell>
        </row>
      </sheetData>
      <sheetData sheetId="5"/>
      <sheetData sheetId="6"/>
      <sheetData sheetId="7"/>
      <sheetData sheetId="8">
        <row r="12">
          <cell r="D12">
            <v>10214.620056368474</v>
          </cell>
        </row>
      </sheetData>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66">
          <cell r="C66" t="str">
            <v>Financial</v>
          </cell>
        </row>
      </sheetData>
      <sheetData sheetId="4">
        <row r="24">
          <cell r="C24">
            <v>17067560.717834804</v>
          </cell>
        </row>
      </sheetData>
      <sheetData sheetId="5"/>
      <sheetData sheetId="6"/>
      <sheetData sheetId="7"/>
      <sheetData sheetId="8">
        <row r="12">
          <cell r="D12">
            <v>10153.866861921531</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0F69-8AF0-4C1B-8E45-51711185FD75}">
  <sheetPr codeName="Sheet1">
    <tabColor rgb="FF1F4C71"/>
  </sheetPr>
  <dimension ref="A1:S64"/>
  <sheetViews>
    <sheetView showGridLines="0" zoomScale="90" zoomScaleNormal="90" workbookViewId="0">
      <selection activeCell="T38" sqref="T38"/>
    </sheetView>
  </sheetViews>
  <sheetFormatPr defaultRowHeight="15" x14ac:dyDescent="0.25"/>
  <cols>
    <col min="1" max="1" width="2.5703125" style="128" customWidth="1"/>
    <col min="2" max="2" width="6.140625" style="128" customWidth="1"/>
    <col min="3" max="16384" width="9.140625" style="128"/>
  </cols>
  <sheetData>
    <row r="1" spans="1:13" s="132" customFormat="1" ht="21" x14ac:dyDescent="0.35">
      <c r="A1" s="139" t="s">
        <v>0</v>
      </c>
    </row>
    <row r="3" spans="1:13" ht="18.75" x14ac:dyDescent="0.3">
      <c r="B3" s="127" t="s">
        <v>1</v>
      </c>
    </row>
    <row r="5" spans="1:13" x14ac:dyDescent="0.25">
      <c r="B5" s="133" t="s">
        <v>201</v>
      </c>
      <c r="I5" s="133" t="s">
        <v>2</v>
      </c>
    </row>
    <row r="6" spans="1:13" x14ac:dyDescent="0.25">
      <c r="B6" s="135"/>
    </row>
    <row r="7" spans="1:13" x14ac:dyDescent="0.25">
      <c r="B7" s="133" t="s">
        <v>202</v>
      </c>
      <c r="I7" s="133" t="s">
        <v>473</v>
      </c>
    </row>
    <row r="8" spans="1:13" x14ac:dyDescent="0.25">
      <c r="B8" s="133"/>
    </row>
    <row r="9" spans="1:13" x14ac:dyDescent="0.25">
      <c r="B9" s="133" t="s">
        <v>203</v>
      </c>
      <c r="C9"/>
      <c r="I9" s="128" t="s">
        <v>474</v>
      </c>
      <c r="K9"/>
    </row>
    <row r="10" spans="1:13" x14ac:dyDescent="0.25">
      <c r="B10" s="133"/>
    </row>
    <row r="11" spans="1:13" x14ac:dyDescent="0.25">
      <c r="B11" s="133">
        <v>4</v>
      </c>
      <c r="C11" s="600"/>
      <c r="I11" s="128" t="s">
        <v>475</v>
      </c>
      <c r="L11"/>
    </row>
    <row r="12" spans="1:13" x14ac:dyDescent="0.25">
      <c r="B12" s="133"/>
    </row>
    <row r="13" spans="1:13" x14ac:dyDescent="0.25">
      <c r="B13" s="133">
        <v>5</v>
      </c>
      <c r="C13"/>
      <c r="I13" s="133" t="s">
        <v>476</v>
      </c>
    </row>
    <row r="15" spans="1:13" x14ac:dyDescent="0.25">
      <c r="B15" s="134" t="s">
        <v>3</v>
      </c>
    </row>
    <row r="16" spans="1:13" x14ac:dyDescent="0.25">
      <c r="D16" s="134" t="s">
        <v>4</v>
      </c>
      <c r="M16"/>
    </row>
    <row r="17" spans="2:19" x14ac:dyDescent="0.25">
      <c r="D17" s="134" t="s">
        <v>5</v>
      </c>
    </row>
    <row r="18" spans="2:19" x14ac:dyDescent="0.25">
      <c r="D18" s="134" t="s">
        <v>6</v>
      </c>
    </row>
    <row r="19" spans="2:19" x14ac:dyDescent="0.25">
      <c r="D19" s="134" t="s">
        <v>7</v>
      </c>
    </row>
    <row r="20" spans="2:19" x14ac:dyDescent="0.25">
      <c r="D20" s="133" t="s">
        <v>199</v>
      </c>
    </row>
    <row r="21" spans="2:19" x14ac:dyDescent="0.25">
      <c r="B21"/>
      <c r="D21" s="133" t="s">
        <v>472</v>
      </c>
    </row>
    <row r="22" spans="2:19" x14ac:dyDescent="0.25">
      <c r="D22" s="133" t="s">
        <v>477</v>
      </c>
    </row>
    <row r="23" spans="2:19" x14ac:dyDescent="0.25">
      <c r="D23" s="133" t="s">
        <v>8</v>
      </c>
    </row>
    <row r="24" spans="2:19" x14ac:dyDescent="0.25">
      <c r="D24" s="133" t="s">
        <v>478</v>
      </c>
    </row>
    <row r="25" spans="2:19" x14ac:dyDescent="0.25">
      <c r="D25" s="133" t="s">
        <v>200</v>
      </c>
    </row>
    <row r="26" spans="2:19" x14ac:dyDescent="0.25">
      <c r="D26" s="133" t="s">
        <v>479</v>
      </c>
    </row>
    <row r="27" spans="2:19" x14ac:dyDescent="0.25">
      <c r="D27" s="133" t="s">
        <v>700</v>
      </c>
    </row>
    <row r="28" spans="2:19" x14ac:dyDescent="0.25">
      <c r="D28" s="133"/>
    </row>
    <row r="29" spans="2:19" x14ac:dyDescent="0.25">
      <c r="S29" s="137"/>
    </row>
    <row r="30" spans="2:19" ht="18.75" x14ac:dyDescent="0.3">
      <c r="B30" s="127" t="s">
        <v>9</v>
      </c>
      <c r="E30" s="138"/>
    </row>
    <row r="32" spans="2:19" x14ac:dyDescent="0.25">
      <c r="B32" s="128" t="s">
        <v>693</v>
      </c>
    </row>
    <row r="34" spans="2:3" x14ac:dyDescent="0.25">
      <c r="B34" s="126" t="s">
        <v>694</v>
      </c>
    </row>
    <row r="36" spans="2:3" x14ac:dyDescent="0.25">
      <c r="B36" s="126" t="s">
        <v>428</v>
      </c>
      <c r="C36" s="128" t="s">
        <v>695</v>
      </c>
    </row>
    <row r="44" spans="2:3" x14ac:dyDescent="0.25">
      <c r="B44" s="126" t="s">
        <v>483</v>
      </c>
      <c r="C44" s="128" t="s">
        <v>696</v>
      </c>
    </row>
    <row r="54" spans="2:4" x14ac:dyDescent="0.25">
      <c r="B54" s="134" t="s">
        <v>3</v>
      </c>
    </row>
    <row r="55" spans="2:4" x14ac:dyDescent="0.25">
      <c r="D55" s="134" t="s">
        <v>5</v>
      </c>
    </row>
    <row r="56" spans="2:4" x14ac:dyDescent="0.25">
      <c r="D56" s="128" t="s">
        <v>697</v>
      </c>
    </row>
    <row r="58" spans="2:4" x14ac:dyDescent="0.25">
      <c r="D58" s="128" t="s">
        <v>698</v>
      </c>
    </row>
    <row r="59" spans="2:4" x14ac:dyDescent="0.25">
      <c r="D59" s="133" t="s">
        <v>200</v>
      </c>
    </row>
    <row r="60" spans="2:4" x14ac:dyDescent="0.25">
      <c r="D60" s="133" t="s">
        <v>699</v>
      </c>
    </row>
    <row r="61" spans="2:4" x14ac:dyDescent="0.25">
      <c r="D61" s="133" t="s">
        <v>700</v>
      </c>
    </row>
    <row r="62" spans="2:4" x14ac:dyDescent="0.25">
      <c r="D62" s="133" t="s">
        <v>477</v>
      </c>
    </row>
    <row r="63" spans="2:4" x14ac:dyDescent="0.25">
      <c r="D63" s="133" t="s">
        <v>8</v>
      </c>
    </row>
    <row r="64" spans="2:4" x14ac:dyDescent="0.25">
      <c r="D64" s="133" t="s">
        <v>478</v>
      </c>
    </row>
  </sheetData>
  <hyperlinks>
    <hyperlink ref="D23" location="_ftn1" display="_ftn1" xr:uid="{69E4B240-F17F-418D-BBEB-00F332F62C4C}"/>
    <hyperlink ref="D63" location="_ftn1" display="_ftn1" xr:uid="{AD986FD2-9BE0-4624-9A78-B6D598E2E9ED}"/>
  </hyperlinks>
  <pageMargins left="0.7" right="0.7" top="0.75" bottom="0.75" header="0.3" footer="0.3"/>
  <pageSetup paperSize="9" orientation="portrait" r:id="rId1"/>
  <customProperties>
    <customPr name="_pios_id" r:id="rId2"/>
  </customProperties>
  <drawing r:id="rId3"/>
  <legacyDrawing r:id="rId4"/>
  <oleObjects>
    <mc:AlternateContent xmlns:mc="http://schemas.openxmlformats.org/markup-compatibility/2006">
      <mc:Choice Requires="x14">
        <oleObject progId="Equation.3" shapeId="1025" r:id="rId5">
          <objectPr defaultSize="0" autoPict="0" r:id="rId6">
            <anchor moveWithCells="1" sizeWithCells="1">
              <from>
                <xdr:col>2</xdr:col>
                <xdr:colOff>114300</xdr:colOff>
                <xdr:row>19</xdr:row>
                <xdr:rowOff>9525</xdr:rowOff>
              </from>
              <to>
                <xdr:col>2</xdr:col>
                <xdr:colOff>314325</xdr:colOff>
                <xdr:row>19</xdr:row>
                <xdr:rowOff>152400</xdr:rowOff>
              </to>
            </anchor>
          </objectPr>
        </oleObject>
      </mc:Choice>
      <mc:Fallback>
        <oleObject progId="Equation.3"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85F8D-729A-4ABD-87BA-9FC4E6C7CAF5}">
  <sheetPr>
    <tabColor theme="1" tint="0.499984740745262"/>
  </sheetPr>
  <dimension ref="A1:X35"/>
  <sheetViews>
    <sheetView showGridLines="0" zoomScale="90" zoomScaleNormal="90" workbookViewId="0">
      <selection activeCell="G9" sqref="G9"/>
    </sheetView>
  </sheetViews>
  <sheetFormatPr defaultRowHeight="15.75" x14ac:dyDescent="0.25"/>
  <cols>
    <col min="1" max="1" width="4" style="128" customWidth="1"/>
    <col min="2" max="3" width="14.42578125" style="128" customWidth="1"/>
    <col min="4" max="6" width="20.85546875" style="128" customWidth="1"/>
    <col min="7" max="11" width="20.85546875" style="336" customWidth="1"/>
    <col min="12" max="12" width="18.85546875" style="336" customWidth="1"/>
    <col min="13" max="13" width="9.140625" style="336"/>
    <col min="14" max="14" width="8.85546875" style="336" customWidth="1"/>
    <col min="15" max="15" width="13.85546875" style="336" customWidth="1"/>
    <col min="16" max="21" width="11.140625" style="336" customWidth="1"/>
    <col min="22" max="23" width="9.140625" style="336"/>
    <col min="24" max="16384" width="9.140625" style="128"/>
  </cols>
  <sheetData>
    <row r="1" spans="1:24" s="125" customFormat="1" ht="21" x14ac:dyDescent="0.35">
      <c r="A1" s="131" t="s">
        <v>216</v>
      </c>
      <c r="G1" s="335"/>
      <c r="H1" s="335"/>
      <c r="I1" s="335"/>
      <c r="J1" s="335"/>
      <c r="K1" s="335"/>
      <c r="L1" s="335"/>
      <c r="M1" s="335"/>
      <c r="N1" s="335"/>
      <c r="O1" s="335"/>
      <c r="P1" s="335"/>
      <c r="Q1" s="335"/>
      <c r="R1" s="335"/>
      <c r="S1" s="335"/>
      <c r="T1" s="335"/>
      <c r="U1" s="335"/>
      <c r="V1" s="335"/>
      <c r="W1" s="335"/>
    </row>
    <row r="3" spans="1:24" ht="18.75" x14ac:dyDescent="0.3">
      <c r="B3" s="127" t="s">
        <v>198</v>
      </c>
    </row>
    <row r="5" spans="1:24" x14ac:dyDescent="0.25">
      <c r="B5" s="126" t="s">
        <v>10</v>
      </c>
      <c r="D5" s="539" t="s">
        <v>11</v>
      </c>
      <c r="E5" s="540"/>
      <c r="L5" s="337"/>
      <c r="M5" s="338"/>
      <c r="N5"/>
      <c r="O5"/>
      <c r="P5"/>
      <c r="Q5"/>
      <c r="R5"/>
      <c r="S5"/>
      <c r="T5" s="338"/>
      <c r="U5" s="338"/>
    </row>
    <row r="6" spans="1:24" x14ac:dyDescent="0.25">
      <c r="B6" s="126"/>
      <c r="D6" s="129"/>
      <c r="L6" s="339"/>
      <c r="M6" s="340"/>
      <c r="N6"/>
      <c r="O6"/>
      <c r="P6"/>
      <c r="Q6"/>
      <c r="R6"/>
      <c r="S6"/>
      <c r="T6" s="341"/>
      <c r="U6" s="342"/>
    </row>
    <row r="7" spans="1:24" x14ac:dyDescent="0.25">
      <c r="B7" s="126" t="s">
        <v>189</v>
      </c>
      <c r="D7" s="541" t="s">
        <v>188</v>
      </c>
      <c r="L7" s="337"/>
      <c r="M7" s="340"/>
      <c r="N7"/>
      <c r="O7"/>
      <c r="P7"/>
      <c r="Q7"/>
      <c r="R7"/>
      <c r="S7"/>
      <c r="T7" s="341"/>
      <c r="U7" s="342"/>
    </row>
    <row r="8" spans="1:24" x14ac:dyDescent="0.25">
      <c r="B8" s="126"/>
      <c r="D8" s="129"/>
      <c r="F8" s="21" t="s">
        <v>549</v>
      </c>
      <c r="G8" s="21" t="s">
        <v>550</v>
      </c>
      <c r="L8" s="337"/>
      <c r="M8" s="340"/>
      <c r="N8"/>
      <c r="O8"/>
      <c r="P8"/>
      <c r="Q8"/>
      <c r="R8"/>
      <c r="S8"/>
      <c r="T8" s="341"/>
      <c r="U8" s="342"/>
    </row>
    <row r="9" spans="1:24" x14ac:dyDescent="0.25">
      <c r="B9" s="126" t="s">
        <v>190</v>
      </c>
      <c r="D9" s="541" t="s">
        <v>179</v>
      </c>
      <c r="E9" s="130" t="s">
        <v>213</v>
      </c>
      <c r="F9" s="541">
        <v>365</v>
      </c>
      <c r="G9" s="128">
        <f>IF(F9=365,151,152)</f>
        <v>151</v>
      </c>
      <c r="L9" s="337"/>
      <c r="M9" s="340"/>
      <c r="N9"/>
      <c r="O9"/>
      <c r="P9"/>
      <c r="Q9"/>
      <c r="R9"/>
      <c r="S9"/>
      <c r="T9" s="341"/>
      <c r="U9" s="342"/>
    </row>
    <row r="10" spans="1:24" x14ac:dyDescent="0.25">
      <c r="L10" s="337"/>
      <c r="M10" s="340"/>
      <c r="N10"/>
      <c r="O10"/>
      <c r="P10"/>
      <c r="Q10"/>
      <c r="R10"/>
      <c r="S10"/>
      <c r="T10" s="341"/>
      <c r="U10" s="342"/>
    </row>
    <row r="11" spans="1:24" x14ac:dyDescent="0.25">
      <c r="B11" s="128" t="s">
        <v>264</v>
      </c>
      <c r="C11" s="130" t="s">
        <v>191</v>
      </c>
      <c r="D11" s="130" t="s">
        <v>228</v>
      </c>
      <c r="E11" s="130" t="s">
        <v>355</v>
      </c>
      <c r="F11" s="130" t="s">
        <v>196</v>
      </c>
      <c r="G11" s="130" t="s">
        <v>273</v>
      </c>
      <c r="M11" s="337"/>
      <c r="N11" s="340"/>
      <c r="O11"/>
      <c r="P11"/>
      <c r="Q11"/>
      <c r="R11"/>
      <c r="S11"/>
      <c r="T11"/>
      <c r="U11" s="341"/>
      <c r="V11" s="342"/>
      <c r="X11" s="336"/>
    </row>
    <row r="12" spans="1:24" x14ac:dyDescent="0.25">
      <c r="B12" s="128" t="s">
        <v>182</v>
      </c>
      <c r="C12" s="593">
        <v>2021</v>
      </c>
      <c r="D12" s="455">
        <f>INDEX($F$19:$F$31,MATCH($B$12,$B$19:$B$31,0))</f>
        <v>1.8404907975460238E-2</v>
      </c>
      <c r="E12" s="455">
        <f>INDEX($G$19:$G$31,MATCH($B$12,$B$19:$B$31,0))</f>
        <v>0</v>
      </c>
      <c r="F12" s="455">
        <f>INDEX($H$19:$H$31,MATCH($B$12,$B$19:$B$31,0))</f>
        <v>4.7455559849309541E-2</v>
      </c>
      <c r="G12" s="455">
        <f>INDEX($I$19:$I$31,MATCH($B$12,$B$19:$B$31,0))</f>
        <v>4.2206517490312449E-2</v>
      </c>
      <c r="N12" s="340"/>
      <c r="O12"/>
      <c r="P12"/>
      <c r="Q12"/>
      <c r="R12"/>
      <c r="S12"/>
      <c r="T12"/>
      <c r="X12" s="336"/>
    </row>
    <row r="13" spans="1:24" x14ac:dyDescent="0.25">
      <c r="B13" s="128" t="s">
        <v>181</v>
      </c>
      <c r="C13" s="129">
        <f>C12-1</f>
        <v>2020</v>
      </c>
      <c r="D13" s="455">
        <f>INDEX($F$19:$F$31,MATCH($B$13,$B$19:$B$31,0))</f>
        <v>1.7841213202497874E-2</v>
      </c>
      <c r="E13" s="455">
        <f>INDEX($G$19:$G$31,MATCH($B$13,$B$19:$B$31,0))</f>
        <v>-8.5389239476252911E-3</v>
      </c>
      <c r="F13" s="455">
        <f>INDEX($H$19:$H$31,MATCH($B$13,$B$19:$B$31,0))</f>
        <v>6.0856782764485799E-2</v>
      </c>
      <c r="G13" s="455">
        <f>INDEX($I$19:$I$31,MATCH($B$13,$B$19:$B$31,0))</f>
        <v>1.4359118242871505E-2</v>
      </c>
      <c r="O13"/>
      <c r="P13"/>
      <c r="Q13"/>
      <c r="R13"/>
      <c r="S13"/>
      <c r="T13"/>
      <c r="X13" s="336"/>
    </row>
    <row r="14" spans="1:24" x14ac:dyDescent="0.25">
      <c r="B14" s="128" t="s">
        <v>180</v>
      </c>
      <c r="C14" s="129">
        <f>C13-1</f>
        <v>2019</v>
      </c>
      <c r="D14" s="455">
        <f>INDEX($F$19:$F$31,MATCH($B$14,$B$19:$B$31,0))</f>
        <v>1.9090909090909047E-2</v>
      </c>
      <c r="E14" s="455">
        <f>INDEX($G$19:$G$31,MATCH($B$14,$B$19:$B$31,0))</f>
        <v>-7.3863031297503766E-3</v>
      </c>
      <c r="F14" s="455">
        <f>INDEX($H$19:$H$31,MATCH($B$14,$B$19:$B$31,0))</f>
        <v>6.1290228084052739E-2</v>
      </c>
      <c r="G14" s="455">
        <f>INDEX($I$19:$I$31,MATCH($B$14,$B$19:$B$31,0))</f>
        <v>-6.6536169262350064E-3</v>
      </c>
      <c r="X14" s="336"/>
    </row>
    <row r="16" spans="1:24" ht="15" x14ac:dyDescent="0.25">
      <c r="G16" s="128"/>
      <c r="H16" s="128"/>
      <c r="I16" s="128"/>
      <c r="J16" s="128"/>
      <c r="K16" s="128"/>
      <c r="L16" s="128"/>
      <c r="M16" s="128"/>
      <c r="N16" s="128"/>
      <c r="O16" s="128"/>
      <c r="P16" s="128"/>
      <c r="Q16" s="128"/>
      <c r="R16" s="128"/>
      <c r="S16" s="128"/>
      <c r="T16" s="128"/>
      <c r="U16" s="128"/>
      <c r="V16" s="128"/>
      <c r="W16" s="128"/>
    </row>
    <row r="17" spans="2:23" ht="15" x14ac:dyDescent="0.25">
      <c r="B17" s="351" t="s">
        <v>272</v>
      </c>
      <c r="E17" s="549" t="s">
        <v>188</v>
      </c>
      <c r="G17" s="128"/>
      <c r="H17" s="128"/>
      <c r="I17" s="128"/>
      <c r="J17" s="128"/>
      <c r="K17" s="128"/>
      <c r="L17" s="128"/>
      <c r="M17" s="128"/>
      <c r="N17" s="128"/>
      <c r="O17" s="128"/>
      <c r="P17" s="128"/>
      <c r="Q17" s="128"/>
      <c r="R17" s="128"/>
      <c r="S17" s="128"/>
      <c r="T17" s="128"/>
      <c r="U17" s="128"/>
      <c r="V17" s="128"/>
      <c r="W17" s="128"/>
    </row>
    <row r="18" spans="2:23" ht="15" x14ac:dyDescent="0.25">
      <c r="B18" s="146" t="s">
        <v>265</v>
      </c>
      <c r="C18" s="355" t="s">
        <v>252</v>
      </c>
      <c r="D18" s="352" t="s">
        <v>261</v>
      </c>
      <c r="E18" s="352" t="s">
        <v>228</v>
      </c>
      <c r="F18" s="352" t="s">
        <v>253</v>
      </c>
      <c r="G18" s="352" t="s">
        <v>262</v>
      </c>
      <c r="H18" s="352" t="s">
        <v>196</v>
      </c>
      <c r="I18" s="352" t="s">
        <v>273</v>
      </c>
      <c r="J18" s="603" t="s">
        <v>480</v>
      </c>
      <c r="K18" s="603" t="s">
        <v>673</v>
      </c>
      <c r="L18" s="603" t="s">
        <v>674</v>
      </c>
      <c r="M18" s="128"/>
      <c r="N18" s="128"/>
      <c r="O18" s="128"/>
      <c r="P18" s="128"/>
      <c r="Q18" s="128"/>
      <c r="R18" s="128"/>
      <c r="S18" s="128"/>
      <c r="T18" s="128"/>
      <c r="U18" s="128"/>
      <c r="V18" s="128"/>
      <c r="W18" s="128"/>
    </row>
    <row r="19" spans="2:23" ht="15" x14ac:dyDescent="0.25">
      <c r="B19" s="536" t="s">
        <v>182</v>
      </c>
      <c r="C19" s="542" t="s">
        <v>179</v>
      </c>
      <c r="D19" s="543" t="s">
        <v>274</v>
      </c>
      <c r="E19" s="580">
        <v>116.2</v>
      </c>
      <c r="F19" s="356">
        <f>E19/E31-1</f>
        <v>1.8404907975460238E-2</v>
      </c>
      <c r="G19" s="583">
        <v>0</v>
      </c>
      <c r="H19" s="583">
        <f>[6]SAPN!$B$3</f>
        <v>4.7455559849309541E-2</v>
      </c>
      <c r="I19" s="602">
        <f>'[7]S-factor'!$M$36</f>
        <v>4.2206517490312449E-2</v>
      </c>
      <c r="J19" s="606">
        <f>[6]SAPN!$H$11</f>
        <v>775.90954497412315</v>
      </c>
      <c r="K19" s="782">
        <f>[6]SAPN!$B$9</f>
        <v>2.4166123692419772E-2</v>
      </c>
      <c r="L19" s="782">
        <f>(1+K19)*(1+F19)-1</f>
        <v>4.3015806950562618E-2</v>
      </c>
      <c r="M19" s="128"/>
      <c r="N19" s="128"/>
      <c r="O19" s="128"/>
      <c r="P19" s="128"/>
      <c r="Q19" s="128"/>
      <c r="R19" s="128"/>
      <c r="S19" s="128"/>
      <c r="T19" s="128"/>
      <c r="U19" s="128"/>
      <c r="V19" s="128"/>
      <c r="W19" s="128"/>
    </row>
    <row r="20" spans="2:23" ht="15" x14ac:dyDescent="0.25">
      <c r="B20" s="537"/>
      <c r="C20" s="544" t="s">
        <v>279</v>
      </c>
      <c r="D20" s="545" t="s">
        <v>275</v>
      </c>
      <c r="E20" s="581">
        <f>E19*(1+[6]SAPN!$B$6)</f>
        <v>118.84237648446508</v>
      </c>
      <c r="F20" s="353">
        <f>IF(E20="","",(E20/E19-1))</f>
        <v>2.2739900899011012E-2</v>
      </c>
      <c r="G20" s="584">
        <f>[6]SAPN!$I$13</f>
        <v>1.7892495215348712E-2</v>
      </c>
      <c r="H20" s="584"/>
      <c r="I20" s="601"/>
      <c r="J20" s="604"/>
      <c r="K20" s="604"/>
      <c r="L20" s="604"/>
      <c r="M20" s="128"/>
      <c r="N20" s="128"/>
      <c r="O20" s="128"/>
      <c r="P20" s="128"/>
      <c r="Q20" s="128"/>
      <c r="R20" s="128"/>
      <c r="S20" s="128"/>
      <c r="T20" s="128"/>
      <c r="U20" s="128"/>
      <c r="V20" s="128"/>
      <c r="W20" s="128"/>
    </row>
    <row r="21" spans="2:23" ht="15" x14ac:dyDescent="0.25">
      <c r="B21" s="537"/>
      <c r="C21" s="544" t="s">
        <v>280</v>
      </c>
      <c r="D21" s="545" t="s">
        <v>276</v>
      </c>
      <c r="E21" s="581">
        <f>E20*(1+[6]SAPN!$B$6)</f>
        <v>121.54484034832477</v>
      </c>
      <c r="F21" s="353">
        <f>IF(E21="","",(E21/E20-1))</f>
        <v>2.2739900899011012E-2</v>
      </c>
      <c r="G21" s="584">
        <f>[6]SAPN!$J$13</f>
        <v>1.7892495215348712E-2</v>
      </c>
      <c r="H21" s="584"/>
      <c r="I21" s="584"/>
      <c r="J21" s="604"/>
      <c r="K21" s="604"/>
      <c r="L21" s="604"/>
      <c r="M21" s="128"/>
      <c r="N21" s="128"/>
      <c r="O21" s="128"/>
      <c r="P21" s="128"/>
      <c r="Q21" s="128"/>
      <c r="R21" s="128"/>
      <c r="S21" s="128"/>
      <c r="T21" s="128"/>
      <c r="U21" s="128"/>
      <c r="V21" s="128"/>
      <c r="W21" s="128"/>
    </row>
    <row r="22" spans="2:23" ht="15" x14ac:dyDescent="0.25">
      <c r="B22" s="537"/>
      <c r="C22" s="544" t="s">
        <v>281</v>
      </c>
      <c r="D22" s="545" t="s">
        <v>277</v>
      </c>
      <c r="E22" s="581">
        <f>E21*(1+[6]SAPN!$B$6)</f>
        <v>124.3087579726318</v>
      </c>
      <c r="F22" s="353">
        <f t="shared" ref="F22:F23" si="0">IF(E22="","",(E22/E21-1))</f>
        <v>2.2739900899011012E-2</v>
      </c>
      <c r="G22" s="584">
        <f>[6]SAPN!$K$13</f>
        <v>1.7892495215348712E-2</v>
      </c>
      <c r="H22" s="584"/>
      <c r="I22" s="584"/>
      <c r="J22" s="604"/>
      <c r="K22" s="604"/>
      <c r="L22" s="604"/>
      <c r="M22" s="128"/>
      <c r="N22" s="128"/>
      <c r="O22" s="128"/>
      <c r="P22" s="128"/>
      <c r="Q22" s="128"/>
      <c r="R22" s="128"/>
      <c r="S22" s="128"/>
      <c r="T22" s="128"/>
      <c r="U22" s="128"/>
      <c r="V22" s="128"/>
      <c r="W22" s="128"/>
    </row>
    <row r="23" spans="2:23" ht="15" x14ac:dyDescent="0.25">
      <c r="B23" s="538"/>
      <c r="C23" s="547" t="s">
        <v>282</v>
      </c>
      <c r="D23" s="548" t="s">
        <v>278</v>
      </c>
      <c r="E23" s="582">
        <f>E22*(1+[6]SAPN!$B$6)</f>
        <v>127.13552680980858</v>
      </c>
      <c r="F23" s="354">
        <f t="shared" si="0"/>
        <v>2.2739900899011012E-2</v>
      </c>
      <c r="G23" s="585">
        <f>[6]SAPN!$L$13</f>
        <v>1.7892495215348712E-2</v>
      </c>
      <c r="H23" s="585"/>
      <c r="I23" s="585"/>
      <c r="J23" s="605"/>
      <c r="K23" s="605"/>
      <c r="L23" s="605"/>
      <c r="M23" s="128"/>
      <c r="N23" s="128"/>
      <c r="O23" s="128"/>
      <c r="P23" s="128"/>
      <c r="Q23" s="128"/>
      <c r="R23" s="128"/>
      <c r="S23" s="128"/>
      <c r="T23" s="128"/>
      <c r="U23" s="128"/>
      <c r="V23" s="128"/>
      <c r="W23" s="128"/>
    </row>
    <row r="24" spans="2:23" ht="15" x14ac:dyDescent="0.25">
      <c r="B24" s="129"/>
      <c r="C24" s="129"/>
      <c r="D24" s="129"/>
      <c r="E24" s="129"/>
      <c r="F24" s="129"/>
      <c r="G24" s="586"/>
      <c r="H24" s="586"/>
      <c r="I24" s="587"/>
      <c r="J24" s="244"/>
      <c r="K24" s="244"/>
      <c r="L24" s="128"/>
      <c r="M24" s="128"/>
      <c r="N24" s="128"/>
      <c r="O24" s="128"/>
      <c r="P24" s="128"/>
      <c r="Q24" s="128"/>
      <c r="R24" s="128"/>
      <c r="S24" s="128"/>
      <c r="T24" s="128"/>
      <c r="U24" s="128"/>
      <c r="V24" s="128"/>
      <c r="W24" s="128"/>
    </row>
    <row r="25" spans="2:23" ht="15" x14ac:dyDescent="0.25">
      <c r="B25" s="351" t="s">
        <v>260</v>
      </c>
      <c r="E25" s="549" t="s">
        <v>271</v>
      </c>
      <c r="G25" s="588"/>
      <c r="H25" s="588"/>
      <c r="I25" s="589"/>
      <c r="J25" s="240"/>
      <c r="K25" s="240"/>
      <c r="L25" s="128"/>
      <c r="M25" s="128"/>
      <c r="N25" s="128"/>
      <c r="O25" s="128"/>
      <c r="P25" s="128"/>
      <c r="Q25" s="128"/>
      <c r="R25" s="128"/>
      <c r="S25" s="128"/>
      <c r="T25" s="128"/>
      <c r="U25" s="128"/>
      <c r="V25" s="128"/>
      <c r="W25" s="128"/>
    </row>
    <row r="26" spans="2:23" ht="15" x14ac:dyDescent="0.25">
      <c r="B26" s="146" t="s">
        <v>265</v>
      </c>
      <c r="C26" s="355" t="s">
        <v>252</v>
      </c>
      <c r="D26" s="352" t="s">
        <v>261</v>
      </c>
      <c r="E26" s="352" t="s">
        <v>228</v>
      </c>
      <c r="F26" s="352" t="s">
        <v>253</v>
      </c>
      <c r="G26" s="590" t="s">
        <v>262</v>
      </c>
      <c r="H26" s="590" t="s">
        <v>196</v>
      </c>
      <c r="I26" s="590" t="s">
        <v>263</v>
      </c>
      <c r="J26" s="420" t="s">
        <v>254</v>
      </c>
      <c r="K26" s="421" t="s">
        <v>283</v>
      </c>
      <c r="L26" s="128"/>
      <c r="M26" s="128"/>
      <c r="N26" s="128"/>
      <c r="O26" s="128"/>
      <c r="P26" s="128"/>
      <c r="Q26" s="128"/>
      <c r="R26" s="128"/>
      <c r="S26" s="128"/>
      <c r="T26" s="128"/>
      <c r="U26" s="128"/>
      <c r="V26" s="128"/>
      <c r="W26" s="128"/>
    </row>
    <row r="27" spans="2:23" ht="15" x14ac:dyDescent="0.25">
      <c r="B27" s="536"/>
      <c r="C27" s="542" t="s">
        <v>255</v>
      </c>
      <c r="D27" s="543" t="s">
        <v>266</v>
      </c>
      <c r="E27" s="580">
        <v>106.6</v>
      </c>
      <c r="F27" s="550">
        <v>1.7175572519083859E-2</v>
      </c>
      <c r="G27" s="583"/>
      <c r="H27" s="583">
        <f>ROUND([8]!vanilla01,8)</f>
        <v>6.1679999999999999E-2</v>
      </c>
      <c r="I27" s="583">
        <f>'[7]S-factor'!$H$36</f>
        <v>-5.8292991223979158E-7</v>
      </c>
      <c r="J27" s="422">
        <v>1</v>
      </c>
      <c r="K27" s="425">
        <f>J27-1</f>
        <v>0</v>
      </c>
      <c r="L27" s="128"/>
      <c r="M27" s="128"/>
      <c r="N27" s="128"/>
      <c r="O27" s="128"/>
      <c r="P27" s="128"/>
      <c r="Q27" s="128"/>
      <c r="R27" s="128"/>
      <c r="S27" s="128"/>
      <c r="T27" s="128"/>
      <c r="U27" s="128"/>
      <c r="V27" s="128"/>
      <c r="W27" s="128"/>
    </row>
    <row r="28" spans="2:23" ht="15" x14ac:dyDescent="0.25">
      <c r="B28" s="537"/>
      <c r="C28" s="544" t="s">
        <v>256</v>
      </c>
      <c r="D28" s="545" t="s">
        <v>267</v>
      </c>
      <c r="E28" s="581">
        <v>108.4</v>
      </c>
      <c r="F28" s="353">
        <f>E28/E27-1</f>
        <v>1.6885553470919357E-2</v>
      </c>
      <c r="G28" s="584">
        <v>-7.127E-2</v>
      </c>
      <c r="H28" s="584">
        <f>ROUND([8]!vanilla02,8)</f>
        <v>6.1856399999999999E-2</v>
      </c>
      <c r="I28" s="584">
        <f>'[7]S-factor'!$I$36</f>
        <v>2.2371809708668033E-2</v>
      </c>
      <c r="J28" s="422">
        <f>(1+I28)*J27</f>
        <v>1.022371809708668</v>
      </c>
      <c r="K28" s="425">
        <f t="shared" ref="K28:K30" si="1">J28-1</f>
        <v>2.2371809708668033E-2</v>
      </c>
      <c r="L28" s="128"/>
      <c r="M28" s="128"/>
      <c r="N28" s="128"/>
      <c r="O28" s="128"/>
      <c r="P28" s="128"/>
      <c r="Q28" s="128"/>
      <c r="R28" s="128"/>
      <c r="S28" s="128"/>
      <c r="T28" s="128"/>
      <c r="U28" s="128"/>
      <c r="V28" s="128"/>
      <c r="W28" s="128"/>
    </row>
    <row r="29" spans="2:23" ht="15" x14ac:dyDescent="0.25">
      <c r="B29" s="537"/>
      <c r="C29" s="544" t="s">
        <v>257</v>
      </c>
      <c r="D29" s="545" t="s">
        <v>268</v>
      </c>
      <c r="E29" s="581">
        <v>110</v>
      </c>
      <c r="F29" s="353">
        <f>E29/E28-1</f>
        <v>1.4760147601476037E-2</v>
      </c>
      <c r="G29" s="584">
        <f>ROUND([8]!X_03_RevCap,8)</f>
        <v>-9.4255199999999997E-3</v>
      </c>
      <c r="H29" s="584">
        <f>ROUND([8]!vanilla03,8)</f>
        <v>6.175398E-2</v>
      </c>
      <c r="I29" s="584">
        <f>'[7]S-factor'!$J$36</f>
        <v>1.3487255731585046E-2</v>
      </c>
      <c r="J29" s="422">
        <f t="shared" ref="J29:J30" si="2">(1+I29)*J28</f>
        <v>1.0361607997589724</v>
      </c>
      <c r="K29" s="425">
        <f t="shared" si="1"/>
        <v>3.6160799758972351E-2</v>
      </c>
      <c r="L29" s="128"/>
      <c r="M29" s="128"/>
      <c r="N29" s="128"/>
      <c r="O29" s="128"/>
      <c r="P29" s="128"/>
      <c r="Q29" s="128"/>
      <c r="R29" s="128"/>
      <c r="S29" s="128"/>
      <c r="T29" s="128"/>
      <c r="U29" s="128"/>
      <c r="V29" s="128"/>
      <c r="W29" s="128"/>
    </row>
    <row r="30" spans="2:23" ht="15" x14ac:dyDescent="0.25">
      <c r="B30" s="537" t="s">
        <v>180</v>
      </c>
      <c r="C30" s="544" t="s">
        <v>258</v>
      </c>
      <c r="D30" s="545" t="s">
        <v>269</v>
      </c>
      <c r="E30" s="581">
        <v>112.1</v>
      </c>
      <c r="F30" s="353">
        <f>E30/E29-1</f>
        <v>1.9090909090909047E-2</v>
      </c>
      <c r="G30" s="584">
        <v>-7.3863031297503766E-3</v>
      </c>
      <c r="H30" s="584">
        <v>6.1290228084052739E-2</v>
      </c>
      <c r="I30" s="584">
        <f>'[7]S-factor'!$K$36</f>
        <v>-6.6536169262350064E-3</v>
      </c>
      <c r="J30" s="422">
        <f t="shared" si="2"/>
        <v>1.0292665827233949</v>
      </c>
      <c r="K30" s="425">
        <f t="shared" si="1"/>
        <v>2.9266582723394885E-2</v>
      </c>
      <c r="L30" s="128"/>
      <c r="M30" s="128"/>
      <c r="N30" s="128"/>
      <c r="O30" s="128"/>
      <c r="P30" s="128"/>
      <c r="Q30" s="128"/>
      <c r="R30" s="128"/>
      <c r="S30" s="128"/>
      <c r="T30" s="128"/>
      <c r="U30" s="128"/>
      <c r="V30" s="128"/>
      <c r="W30" s="128"/>
    </row>
    <row r="31" spans="2:23" ht="15" x14ac:dyDescent="0.25">
      <c r="B31" s="538" t="s">
        <v>181</v>
      </c>
      <c r="C31" s="547" t="s">
        <v>259</v>
      </c>
      <c r="D31" s="548" t="s">
        <v>270</v>
      </c>
      <c r="E31" s="582">
        <v>114.1</v>
      </c>
      <c r="F31" s="354">
        <f>E31/E30-1</f>
        <v>1.7841213202497874E-2</v>
      </c>
      <c r="G31" s="585">
        <f>[9]!X_05_RevCap</f>
        <v>-8.5389239476252911E-3</v>
      </c>
      <c r="H31" s="585">
        <f>[9]!vanilla05</f>
        <v>6.0856782764485799E-2</v>
      </c>
      <c r="I31" s="585">
        <f>'[7]S-factor'!$L$36</f>
        <v>1.4359118242871505E-2</v>
      </c>
      <c r="J31" s="424">
        <f>(1+I31)*J30</f>
        <v>1.0440459432881564</v>
      </c>
      <c r="K31" s="426">
        <f>J31-1</f>
        <v>4.4045943288156364E-2</v>
      </c>
      <c r="L31" s="128"/>
      <c r="M31" s="128"/>
      <c r="N31" s="128"/>
      <c r="O31" s="128"/>
      <c r="P31" s="128"/>
      <c r="Q31" s="128"/>
      <c r="R31" s="128"/>
      <c r="S31" s="128"/>
      <c r="T31" s="128"/>
      <c r="U31" s="128"/>
      <c r="V31" s="128"/>
      <c r="W31" s="128"/>
    </row>
    <row r="32" spans="2:23" ht="14.25" customHeight="1" x14ac:dyDescent="0.25">
      <c r="G32" s="128"/>
      <c r="H32" s="128"/>
      <c r="I32" s="128"/>
      <c r="J32" s="128"/>
      <c r="K32" s="128"/>
      <c r="L32" s="128"/>
      <c r="M32" s="128"/>
      <c r="N32" s="128"/>
      <c r="O32" s="128"/>
      <c r="P32" s="128"/>
      <c r="Q32" s="128"/>
      <c r="R32" s="128"/>
      <c r="S32" s="128"/>
      <c r="T32" s="128"/>
      <c r="U32" s="128"/>
      <c r="V32" s="128"/>
      <c r="W32" s="128"/>
    </row>
    <row r="33" spans="7:24" ht="15" x14ac:dyDescent="0.25">
      <c r="G33" s="128"/>
      <c r="H33" s="128"/>
      <c r="I33" s="128"/>
      <c r="J33" s="128"/>
      <c r="K33" s="128"/>
      <c r="L33" s="128"/>
      <c r="M33" s="128"/>
      <c r="N33" s="128"/>
      <c r="O33" s="128"/>
      <c r="P33" s="128"/>
      <c r="Q33" s="128"/>
      <c r="R33" s="128"/>
      <c r="S33" s="128"/>
      <c r="T33" s="128"/>
      <c r="U33" s="128"/>
      <c r="V33" s="128"/>
      <c r="W33" s="128"/>
    </row>
    <row r="34" spans="7:24" x14ac:dyDescent="0.25">
      <c r="G34" s="128"/>
      <c r="X34" s="336"/>
    </row>
    <row r="35" spans="7:24" x14ac:dyDescent="0.25">
      <c r="G35" s="128"/>
      <c r="X35" s="336"/>
    </row>
  </sheetData>
  <phoneticPr fontId="26" type="noConversion"/>
  <pageMargins left="0.7" right="0.7" top="0.75" bottom="0.75" header="0.3" footer="0.3"/>
  <pageSetup paperSize="9" orientation="portrait" r:id="rId1"/>
  <customProperties>
    <customPr name="_pios_id" r:id="rId2"/>
  </customProperties>
  <ignoredErrors>
    <ignoredError sqref="H27:H31" unlockedFormula="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6269-38FF-4F8F-A169-21AEDD1F41C2}">
  <sheetPr>
    <tabColor rgb="FF289696"/>
  </sheetPr>
  <dimension ref="A1:T66"/>
  <sheetViews>
    <sheetView showGridLines="0" topLeftCell="A4" zoomScale="90" zoomScaleNormal="90" workbookViewId="0">
      <selection activeCell="J31" sqref="J31"/>
    </sheetView>
  </sheetViews>
  <sheetFormatPr defaultRowHeight="15" x14ac:dyDescent="0.25"/>
  <cols>
    <col min="1" max="1" width="4" style="128" customWidth="1"/>
    <col min="2" max="2" width="48.85546875" style="128" customWidth="1"/>
    <col min="3" max="3" width="34.85546875" style="128" customWidth="1"/>
    <col min="4" max="5" width="4.7109375" style="128" customWidth="1"/>
    <col min="6" max="6" width="65.85546875" style="128" customWidth="1"/>
    <col min="7" max="7" width="10.42578125" style="128" customWidth="1"/>
    <col min="8" max="9" width="12.42578125" style="128" customWidth="1"/>
    <col min="10" max="10" width="13.28515625" style="128" bestFit="1" customWidth="1"/>
    <col min="11" max="12" width="4.7109375" style="128" customWidth="1"/>
    <col min="13" max="13" width="46" style="128" bestFit="1" customWidth="1"/>
    <col min="14" max="17" width="18" style="128" customWidth="1"/>
    <col min="18" max="18" width="18.42578125" style="128" customWidth="1"/>
    <col min="19" max="16384" width="9.140625" style="128"/>
  </cols>
  <sheetData>
    <row r="1" spans="1:20" s="125" customFormat="1" ht="21" x14ac:dyDescent="0.35">
      <c r="A1" s="131" t="s">
        <v>244</v>
      </c>
    </row>
    <row r="2" spans="1:20" x14ac:dyDescent="0.25">
      <c r="F2" s="237"/>
    </row>
    <row r="3" spans="1:20" ht="18.75" x14ac:dyDescent="0.3">
      <c r="B3" s="123" t="s">
        <v>325</v>
      </c>
      <c r="F3" s="237"/>
    </row>
    <row r="5" spans="1:20" x14ac:dyDescent="0.25">
      <c r="B5" s="533" t="s">
        <v>236</v>
      </c>
      <c r="C5" s="534">
        <f>'Model Update'!C12</f>
        <v>2021</v>
      </c>
    </row>
    <row r="6" spans="1:20" ht="15" customHeight="1" x14ac:dyDescent="0.25"/>
    <row r="7" spans="1:20" s="336" customFormat="1" ht="15" customHeight="1" x14ac:dyDescent="0.25">
      <c r="B7" s="535" t="s">
        <v>230</v>
      </c>
      <c r="F7" s="535" t="s">
        <v>245</v>
      </c>
      <c r="M7" s="535" t="s">
        <v>360</v>
      </c>
      <c r="N7" s="128"/>
      <c r="O7" s="128"/>
      <c r="P7" s="128"/>
      <c r="Q7" s="128"/>
      <c r="R7" s="128"/>
      <c r="S7" s="128"/>
      <c r="T7" s="128"/>
    </row>
    <row r="8" spans="1:20" ht="15" customHeight="1" x14ac:dyDescent="0.25">
      <c r="B8" s="238" t="s">
        <v>231</v>
      </c>
      <c r="C8" s="272">
        <f>J12</f>
        <v>808628.86883943959</v>
      </c>
      <c r="F8" s="276"/>
      <c r="G8" s="277"/>
      <c r="H8" s="278" t="str">
        <f>'Model Update'!B14</f>
        <v>t-2</v>
      </c>
      <c r="I8" s="279" t="str">
        <f>'Model Update'!B13</f>
        <v>t-1</v>
      </c>
      <c r="J8" s="344" t="str">
        <f>'Model Update'!B12</f>
        <v>t</v>
      </c>
      <c r="K8" s="239"/>
      <c r="M8" s="447" t="s">
        <v>362</v>
      </c>
      <c r="N8" s="456" t="s">
        <v>363</v>
      </c>
      <c r="O8" s="457" t="s">
        <v>364</v>
      </c>
      <c r="P8" s="457" t="s">
        <v>365</v>
      </c>
      <c r="Q8" s="597" t="s">
        <v>366</v>
      </c>
    </row>
    <row r="9" spans="1:20" ht="15" customHeight="1" x14ac:dyDescent="0.25">
      <c r="B9" s="238" t="s">
        <v>232</v>
      </c>
      <c r="C9" s="272">
        <f>C20</f>
        <v>808628.86883943959</v>
      </c>
      <c r="F9" s="280"/>
      <c r="G9" s="281"/>
      <c r="H9" s="282" t="s">
        <v>183</v>
      </c>
      <c r="I9" s="283" t="s">
        <v>184</v>
      </c>
      <c r="J9" s="345" t="s">
        <v>185</v>
      </c>
      <c r="K9" s="239"/>
      <c r="M9" s="459" t="s">
        <v>367</v>
      </c>
      <c r="N9" s="460">
        <v>244000</v>
      </c>
      <c r="O9" s="460">
        <v>652000</v>
      </c>
      <c r="P9" s="461">
        <f>'DUoS (t)'!BM128</f>
        <v>437649.48178600002</v>
      </c>
      <c r="Q9" s="458" t="str">
        <f>IF(AND(P9&gt;=N9,P9&lt;=O9)=TRUE,"YES","NO")</f>
        <v>YES</v>
      </c>
    </row>
    <row r="10" spans="1:20" ht="15" customHeight="1" x14ac:dyDescent="0.25">
      <c r="B10" s="238"/>
      <c r="C10" s="273" t="str">
        <f>IF(C8="","",IF(C9&gt;=C8,"DUoS REVENUE CAP FORMULA COMPLIANT","DUoS REVENUE CAP FORMULA BREACHED"))</f>
        <v>DUoS REVENUE CAP FORMULA COMPLIANT</v>
      </c>
      <c r="F10" s="284" t="s">
        <v>186</v>
      </c>
      <c r="G10" s="285"/>
      <c r="H10" s="282">
        <f>'Model Update'!C14</f>
        <v>2019</v>
      </c>
      <c r="I10" s="283">
        <f>'Model Update'!C13</f>
        <v>2020</v>
      </c>
      <c r="J10" s="345">
        <f>'Model Update'!C12</f>
        <v>2021</v>
      </c>
      <c r="K10" s="239"/>
      <c r="M10" s="459" t="s">
        <v>368</v>
      </c>
      <c r="N10" s="460">
        <v>61000</v>
      </c>
      <c r="O10" s="460">
        <v>301000</v>
      </c>
      <c r="P10" s="461">
        <f>'DUoS (t)'!BM129</f>
        <v>141489.47543530003</v>
      </c>
      <c r="Q10" s="458" t="str">
        <f>IF(AND(P10&gt;=N10,P10&lt;=O10)=TRUE,"YES","NO")</f>
        <v>YES</v>
      </c>
    </row>
    <row r="11" spans="1:20" ht="15" customHeight="1" x14ac:dyDescent="0.25">
      <c r="F11" s="286"/>
      <c r="G11" s="287"/>
      <c r="H11" s="288"/>
      <c r="I11" s="286"/>
      <c r="J11" s="286"/>
      <c r="K11" s="239"/>
      <c r="M11" s="459" t="s">
        <v>369</v>
      </c>
      <c r="N11" s="460">
        <v>44000</v>
      </c>
      <c r="O11" s="460">
        <v>254000</v>
      </c>
      <c r="P11" s="461">
        <f>'DUoS (t)'!BM130</f>
        <v>183563.8807754</v>
      </c>
      <c r="Q11" s="458" t="str">
        <f>IF(AND(P11&gt;=N11,P11&lt;=O11)=TRUE,"YES","NO")</f>
        <v>YES</v>
      </c>
    </row>
    <row r="12" spans="1:20" ht="15" customHeight="1" x14ac:dyDescent="0.25">
      <c r="F12" s="289" t="s">
        <v>246</v>
      </c>
      <c r="G12" s="290" t="s">
        <v>187</v>
      </c>
      <c r="H12" s="453">
        <f>'[10]1-Dist O&amp;U'!$E$9</f>
        <v>793313.44528001361</v>
      </c>
      <c r="I12" s="453">
        <v>862703.75346765388</v>
      </c>
      <c r="J12" s="346">
        <f>'DUoS (t)'!I160</f>
        <v>808628.86883943959</v>
      </c>
      <c r="K12" s="239"/>
      <c r="M12" s="459" t="s">
        <v>370</v>
      </c>
      <c r="N12" s="460">
        <v>5000</v>
      </c>
      <c r="O12" s="460">
        <v>89000</v>
      </c>
      <c r="P12" s="461">
        <f>'DUoS (t)'!BM131</f>
        <v>33510.73934059999</v>
      </c>
      <c r="Q12" s="458" t="str">
        <f>IF(AND(P12&gt;=N12,P12&lt;=O12)=TRUE,"YES","NO")</f>
        <v>YES</v>
      </c>
    </row>
    <row r="13" spans="1:20" ht="15" customHeight="1" x14ac:dyDescent="0.35">
      <c r="B13" s="535" t="s">
        <v>377</v>
      </c>
      <c r="F13" s="292"/>
      <c r="G13" s="290"/>
      <c r="H13" s="293"/>
      <c r="I13" s="294"/>
      <c r="J13" s="347"/>
      <c r="K13" s="239"/>
      <c r="M13" s="459" t="s">
        <v>113</v>
      </c>
      <c r="N13" s="460">
        <v>5000</v>
      </c>
      <c r="O13" s="460">
        <v>75000</v>
      </c>
      <c r="P13" s="461">
        <f>'DUoS (t)'!BM132</f>
        <v>12415.2915021396</v>
      </c>
      <c r="Q13" s="458" t="str">
        <f>IF(AND(P13&gt;=N13,P13&lt;=O13)=TRUE,"YES","NO")</f>
        <v>YES</v>
      </c>
    </row>
    <row r="14" spans="1:20" ht="15" customHeight="1" x14ac:dyDescent="0.25">
      <c r="B14" s="238" t="s">
        <v>233</v>
      </c>
      <c r="C14" s="272">
        <f>C28</f>
        <v>775909.54497412313</v>
      </c>
      <c r="F14" s="289" t="s">
        <v>432</v>
      </c>
      <c r="G14" s="290"/>
      <c r="H14" s="297">
        <f>SUM(H15:H18)</f>
        <v>804157.86699999997</v>
      </c>
      <c r="I14" s="297">
        <f>SUM(I15:I18)</f>
        <v>837347.53899999999</v>
      </c>
      <c r="J14" s="297">
        <f>SUM(J15:J18)</f>
        <v>808657.98475497379</v>
      </c>
      <c r="K14" s="239"/>
      <c r="M14" s="598" t="s">
        <v>413</v>
      </c>
      <c r="N14" s="599">
        <f>SUM(N9:N13)</f>
        <v>359000</v>
      </c>
      <c r="O14" s="599">
        <f t="shared" ref="O14:P14" si="0">SUM(O9:O13)</f>
        <v>1371000</v>
      </c>
      <c r="P14" s="599">
        <f t="shared" si="0"/>
        <v>808628.8688394397</v>
      </c>
      <c r="Q14" s="458"/>
    </row>
    <row r="15" spans="1:20" ht="15" customHeight="1" x14ac:dyDescent="0.25">
      <c r="B15" s="238" t="s">
        <v>356</v>
      </c>
      <c r="C15" s="272">
        <f>C37</f>
        <v>32748.439780850702</v>
      </c>
      <c r="F15" s="307" t="s">
        <v>373</v>
      </c>
      <c r="G15" s="290" t="s">
        <v>187</v>
      </c>
      <c r="H15" s="453">
        <f>'[10]1-Dist O&amp;U'!$E$11</f>
        <v>804157.86699999997</v>
      </c>
      <c r="I15" s="454">
        <f>'[11]Std Control'!$F$14</f>
        <v>837347.53899999999</v>
      </c>
      <c r="J15" s="295">
        <f>C28</f>
        <v>775909.54497412313</v>
      </c>
      <c r="K15" s="239"/>
    </row>
    <row r="16" spans="1:20" ht="15" customHeight="1" x14ac:dyDescent="0.25">
      <c r="B16" s="238" t="s">
        <v>357</v>
      </c>
      <c r="C16" s="272">
        <f>C43</f>
        <v>0</v>
      </c>
      <c r="F16" s="307" t="s">
        <v>374</v>
      </c>
      <c r="G16" s="290" t="s">
        <v>187</v>
      </c>
      <c r="H16" s="453">
        <f>'[12]Std Control'!I15</f>
        <v>0</v>
      </c>
      <c r="I16" s="454">
        <v>0</v>
      </c>
      <c r="J16" s="295">
        <f>C37</f>
        <v>32748.439780850702</v>
      </c>
      <c r="K16" s="239"/>
    </row>
    <row r="17" spans="2:17" ht="15" customHeight="1" x14ac:dyDescent="0.25">
      <c r="B17" s="238" t="s">
        <v>358</v>
      </c>
      <c r="C17" s="272">
        <f>C49</f>
        <v>0</v>
      </c>
      <c r="F17" s="307" t="s">
        <v>375</v>
      </c>
      <c r="G17" s="290" t="s">
        <v>187</v>
      </c>
      <c r="H17" s="453">
        <v>0</v>
      </c>
      <c r="I17" s="454">
        <v>0</v>
      </c>
      <c r="J17" s="295">
        <f>C43</f>
        <v>0</v>
      </c>
      <c r="K17" s="239"/>
      <c r="M17" s="535" t="s">
        <v>394</v>
      </c>
    </row>
    <row r="18" spans="2:17" ht="15" customHeight="1" x14ac:dyDescent="0.25">
      <c r="B18" s="274" t="s">
        <v>354</v>
      </c>
      <c r="C18" s="275">
        <f>SUM(C14:C17)</f>
        <v>808657.98475497379</v>
      </c>
      <c r="F18" s="307" t="s">
        <v>376</v>
      </c>
      <c r="G18" s="290" t="s">
        <v>187</v>
      </c>
      <c r="H18" s="453">
        <f>'[12]Std Control'!I16</f>
        <v>0</v>
      </c>
      <c r="I18" s="454">
        <v>0</v>
      </c>
      <c r="J18" s="295">
        <f>C49</f>
        <v>0</v>
      </c>
      <c r="K18" s="239"/>
      <c r="M18" s="274" t="s">
        <v>395</v>
      </c>
      <c r="N18" s="594">
        <v>0.02</v>
      </c>
    </row>
    <row r="19" spans="2:17" ht="15" customHeight="1" x14ac:dyDescent="0.25">
      <c r="B19" s="238" t="s">
        <v>359</v>
      </c>
      <c r="C19" s="450">
        <f>J21</f>
        <v>-29.115915534202941</v>
      </c>
      <c r="F19" s="296"/>
      <c r="G19" s="290"/>
      <c r="H19" s="297"/>
      <c r="I19" s="297"/>
      <c r="J19" s="297"/>
      <c r="K19" s="239"/>
      <c r="M19" s="238" t="s">
        <v>229</v>
      </c>
      <c r="N19" s="595">
        <f>'Model Update'!D12</f>
        <v>1.8404907975460238E-2</v>
      </c>
    </row>
    <row r="20" spans="2:17" ht="15" customHeight="1" x14ac:dyDescent="0.25">
      <c r="B20" s="274" t="s">
        <v>232</v>
      </c>
      <c r="C20" s="275">
        <f>SUM(C18:C19)</f>
        <v>808628.86883943959</v>
      </c>
      <c r="F20" s="296" t="s">
        <v>247</v>
      </c>
      <c r="G20" s="290" t="s">
        <v>187</v>
      </c>
      <c r="H20" s="343">
        <v>0</v>
      </c>
      <c r="I20" s="343">
        <v>0</v>
      </c>
      <c r="J20" s="343">
        <v>0</v>
      </c>
      <c r="K20" s="239"/>
      <c r="M20" s="238" t="s">
        <v>234</v>
      </c>
      <c r="N20" s="595">
        <f>'Model Update'!G19</f>
        <v>0</v>
      </c>
    </row>
    <row r="21" spans="2:17" ht="15" customHeight="1" x14ac:dyDescent="0.25">
      <c r="F21" s="296" t="s">
        <v>431</v>
      </c>
      <c r="G21" s="290" t="s">
        <v>187</v>
      </c>
      <c r="H21" s="297">
        <f>H12-H14+H20</f>
        <v>-10844.421719986363</v>
      </c>
      <c r="I21" s="297">
        <f>I12-I14+I20</f>
        <v>25356.214467653888</v>
      </c>
      <c r="J21" s="297">
        <f>J12-J14+J20</f>
        <v>-29.115915534202941</v>
      </c>
      <c r="K21" s="239"/>
      <c r="M21" s="238" t="s">
        <v>410</v>
      </c>
      <c r="N21" s="595">
        <f>'Model Update'!G12</f>
        <v>4.2206517490312449E-2</v>
      </c>
    </row>
    <row r="22" spans="2:17" ht="15" customHeight="1" x14ac:dyDescent="0.25">
      <c r="F22" s="280"/>
      <c r="G22" s="290"/>
      <c r="H22" s="293"/>
      <c r="I22" s="316"/>
      <c r="J22" s="316"/>
      <c r="K22" s="239"/>
      <c r="M22" s="238" t="s">
        <v>411</v>
      </c>
      <c r="N22" s="595">
        <f>(J21-I21)/J12</f>
        <v>-3.1393054788683997E-2</v>
      </c>
    </row>
    <row r="23" spans="2:17" ht="15" customHeight="1" x14ac:dyDescent="0.35">
      <c r="B23" s="535" t="s">
        <v>378</v>
      </c>
      <c r="F23" s="280"/>
      <c r="G23" s="290"/>
      <c r="H23" s="293"/>
      <c r="I23" s="316"/>
      <c r="J23" s="316"/>
      <c r="K23" s="239"/>
      <c r="M23" s="238" t="s">
        <v>412</v>
      </c>
      <c r="N23" s="595"/>
    </row>
    <row r="24" spans="2:17" ht="15" customHeight="1" x14ac:dyDescent="0.25">
      <c r="B24" s="238" t="s">
        <v>481</v>
      </c>
      <c r="C24" s="607">
        <f>'Model Update'!J19*1000</f>
        <v>775909.54497412313</v>
      </c>
      <c r="F24" s="317" t="s">
        <v>248</v>
      </c>
      <c r="G24" s="281"/>
      <c r="H24" s="318"/>
      <c r="I24" s="318"/>
      <c r="J24" s="348"/>
      <c r="K24" s="239"/>
      <c r="M24" s="596" t="s">
        <v>396</v>
      </c>
      <c r="N24" s="596"/>
    </row>
    <row r="25" spans="2:17" ht="15" customHeight="1" x14ac:dyDescent="0.25">
      <c r="B25" s="238" t="s">
        <v>235</v>
      </c>
      <c r="C25" s="272">
        <f>IF(C24&gt;0,0,I14)</f>
        <v>0</v>
      </c>
      <c r="F25" s="280" t="s">
        <v>249</v>
      </c>
      <c r="G25" s="298" t="s">
        <v>192</v>
      </c>
      <c r="H25" s="319">
        <f>'Model Update'!F14</f>
        <v>6.1290228084052739E-2</v>
      </c>
      <c r="I25" s="319">
        <f>'Model Update'!F13</f>
        <v>6.0856782764485799E-2</v>
      </c>
      <c r="J25" s="349">
        <f>'Model Update'!L19</f>
        <v>4.3015806950562618E-2</v>
      </c>
      <c r="K25" s="239"/>
    </row>
    <row r="26" spans="2:17" ht="15" customHeight="1" x14ac:dyDescent="0.25">
      <c r="B26" s="238" t="s">
        <v>229</v>
      </c>
      <c r="C26" s="272">
        <f>C25*'Model Update'!D12</f>
        <v>0</v>
      </c>
      <c r="F26" s="280" t="s">
        <v>193</v>
      </c>
      <c r="G26" s="298" t="s">
        <v>187</v>
      </c>
      <c r="H26" s="452">
        <f>'[11]Std Control'!$D$34</f>
        <v>-12669.747904945103</v>
      </c>
      <c r="I26" s="299">
        <f>H31</f>
        <v>-24618.088097353368</v>
      </c>
      <c r="J26" s="350">
        <f>I31</f>
        <v>0.10320537242296268</v>
      </c>
      <c r="K26" s="239"/>
      <c r="M26" s="592" t="s">
        <v>405</v>
      </c>
    </row>
    <row r="27" spans="2:17" ht="15" customHeight="1" x14ac:dyDescent="0.25">
      <c r="B27" s="238" t="s">
        <v>234</v>
      </c>
      <c r="C27" s="272">
        <f>-C25*'Model Update'!G19</f>
        <v>0</v>
      </c>
      <c r="F27" s="280" t="s">
        <v>250</v>
      </c>
      <c r="G27" s="298" t="s">
        <v>187</v>
      </c>
      <c r="H27" s="300">
        <f>H26*H25</f>
        <v>-776.53173886153468</v>
      </c>
      <c r="I27" s="300">
        <f>I26*I25</f>
        <v>-1498.1776394176075</v>
      </c>
      <c r="J27" s="301">
        <f>J26*J25</f>
        <v>4.4394623764070816E-3</v>
      </c>
      <c r="K27" s="239"/>
      <c r="L27" s="240"/>
    </row>
    <row r="28" spans="2:17" ht="15" customHeight="1" x14ac:dyDescent="0.25">
      <c r="B28" s="274" t="s">
        <v>371</v>
      </c>
      <c r="C28" s="275">
        <f>SUM(C24:C27)</f>
        <v>775909.54497412313</v>
      </c>
      <c r="F28" s="280" t="s">
        <v>194</v>
      </c>
      <c r="G28" s="298" t="s">
        <v>187</v>
      </c>
      <c r="H28" s="300">
        <f>H12-H14</f>
        <v>-10844.421719986363</v>
      </c>
      <c r="I28" s="300">
        <f>I12-I14</f>
        <v>25356.214467653888</v>
      </c>
      <c r="J28" s="301">
        <f>J12-J14</f>
        <v>-29.115915534202941</v>
      </c>
      <c r="K28" s="239"/>
      <c r="M28" s="535" t="s">
        <v>397</v>
      </c>
    </row>
    <row r="29" spans="2:17" ht="15" customHeight="1" x14ac:dyDescent="0.25">
      <c r="F29" s="280" t="s">
        <v>251</v>
      </c>
      <c r="G29" s="298" t="s">
        <v>187</v>
      </c>
      <c r="H29" s="300">
        <f>H28*(((1+H25)^0.5)-1)</f>
        <v>-327.38673356036776</v>
      </c>
      <c r="I29" s="300">
        <f>I28*(((1+I25)^0.5)-1)</f>
        <v>760.1544744895109</v>
      </c>
      <c r="J29" s="301">
        <f>J28*(((1+J25)^0.5)-1)</f>
        <v>-0.61962899809635963</v>
      </c>
      <c r="K29" s="239"/>
      <c r="M29" s="447" t="s">
        <v>362</v>
      </c>
      <c r="N29" s="456" t="s">
        <v>401</v>
      </c>
      <c r="O29" s="457" t="s">
        <v>393</v>
      </c>
      <c r="P29" s="457" t="s">
        <v>398</v>
      </c>
      <c r="Q29" s="597" t="s">
        <v>366</v>
      </c>
    </row>
    <row r="30" spans="2:17" ht="15" customHeight="1" x14ac:dyDescent="0.25">
      <c r="F30" s="280"/>
      <c r="G30" s="298"/>
      <c r="H30" s="301"/>
      <c r="I30" s="301"/>
      <c r="J30" s="301"/>
      <c r="K30" s="239"/>
      <c r="M30" s="459" t="s">
        <v>367</v>
      </c>
      <c r="N30" s="460">
        <f>'TSS REC'!D7</f>
        <v>450196.28412648686</v>
      </c>
      <c r="O30" s="591">
        <f>'DUoS (t)'!$BM$128</f>
        <v>437649.48178600002</v>
      </c>
      <c r="P30" s="769">
        <f>O30/N30-1</f>
        <v>-2.7869626611493059E-2</v>
      </c>
      <c r="Q30" s="458" t="str">
        <f>IF(N24&gt;P30,"YES","NO")</f>
        <v>YES</v>
      </c>
    </row>
    <row r="31" spans="2:17" ht="15" customHeight="1" x14ac:dyDescent="0.35">
      <c r="B31" s="535" t="s">
        <v>379</v>
      </c>
      <c r="F31" s="302" t="s">
        <v>195</v>
      </c>
      <c r="G31" s="303" t="str">
        <f>G29</f>
        <v>$'000</v>
      </c>
      <c r="H31" s="304">
        <f>SUM(H26:H29)</f>
        <v>-24618.088097353368</v>
      </c>
      <c r="I31" s="305">
        <f>SUM(I26:I29)</f>
        <v>0.10320537242296268</v>
      </c>
      <c r="J31" s="305">
        <f>SUM(J26:J29)</f>
        <v>-29.627899697499931</v>
      </c>
      <c r="K31" s="239"/>
      <c r="M31" s="459" t="s">
        <v>368</v>
      </c>
      <c r="N31" s="460">
        <f>'TSS REC'!D8</f>
        <v>152033.46877284691</v>
      </c>
      <c r="O31" s="591">
        <f>'DUoS (t)'!$BM$129</f>
        <v>141489.47543530003</v>
      </c>
      <c r="P31" s="769">
        <f t="shared" ref="P31:P35" si="1">O31/N31-1</f>
        <v>-6.9353106409093757E-2</v>
      </c>
      <c r="Q31" s="458" t="str">
        <f>IF(N25&gt;P31,"YES","NO")</f>
        <v>YES</v>
      </c>
    </row>
    <row r="32" spans="2:17" ht="15" customHeight="1" x14ac:dyDescent="0.25">
      <c r="B32" s="238" t="s">
        <v>238</v>
      </c>
      <c r="C32" s="608">
        <f>C28*'Model Update'!I19</f>
        <v>32748.439780850702</v>
      </c>
      <c r="M32" s="459" t="s">
        <v>369</v>
      </c>
      <c r="N32" s="460">
        <f>'TSS REC'!D9</f>
        <v>207351.75475107081</v>
      </c>
      <c r="O32" s="591">
        <f>'DUoS (t)'!$BM$130</f>
        <v>183563.8807754</v>
      </c>
      <c r="P32" s="769">
        <f t="shared" si="1"/>
        <v>-0.114722318141115</v>
      </c>
      <c r="Q32" s="458" t="str">
        <f t="shared" ref="Q32:Q34" si="2">IF(N27&gt;P32,"YES","NO")</f>
        <v>YES</v>
      </c>
    </row>
    <row r="33" spans="2:17" ht="15" customHeight="1" x14ac:dyDescent="0.25">
      <c r="B33" s="238" t="s">
        <v>239</v>
      </c>
      <c r="C33" s="419"/>
      <c r="M33" s="459" t="s">
        <v>370</v>
      </c>
      <c r="N33" s="460">
        <f>'TSS REC'!D10</f>
        <v>36432.141155650665</v>
      </c>
      <c r="O33" s="591">
        <f>'DUoS (t)'!$BM$131</f>
        <v>33510.73934059999</v>
      </c>
      <c r="P33" s="769">
        <f t="shared" si="1"/>
        <v>-8.0187486169682964E-2</v>
      </c>
      <c r="Q33" s="458" t="str">
        <f t="shared" si="2"/>
        <v>YES</v>
      </c>
    </row>
    <row r="34" spans="2:17" ht="15" customHeight="1" x14ac:dyDescent="0.25">
      <c r="B34" s="238" t="s">
        <v>240</v>
      </c>
      <c r="C34" s="419"/>
      <c r="F34" s="320" t="s">
        <v>217</v>
      </c>
      <c r="G34" s="321"/>
      <c r="H34" s="321"/>
      <c r="I34" s="322"/>
      <c r="J34" s="287"/>
      <c r="M34" s="459" t="s">
        <v>113</v>
      </c>
      <c r="N34" s="460">
        <f>'TSS REC'!D11</f>
        <v>12237.634758764776</v>
      </c>
      <c r="O34" s="591">
        <f>'DUoS (t)'!$BM$132</f>
        <v>12415.2915021396</v>
      </c>
      <c r="P34" s="769">
        <f t="shared" si="1"/>
        <v>1.4517245111240529E-2</v>
      </c>
      <c r="Q34" s="458" t="str">
        <f t="shared" si="2"/>
        <v>YES</v>
      </c>
    </row>
    <row r="35" spans="2:17" ht="15" customHeight="1" x14ac:dyDescent="0.25">
      <c r="B35" s="238" t="s">
        <v>241</v>
      </c>
      <c r="C35" s="419"/>
      <c r="F35" s="317" t="s">
        <v>218</v>
      </c>
      <c r="G35" s="323"/>
      <c r="H35" s="324">
        <f>H12</f>
        <v>793313.44528001361</v>
      </c>
      <c r="I35" s="324">
        <f>I12</f>
        <v>862703.75346765388</v>
      </c>
      <c r="J35" s="325">
        <f>J12</f>
        <v>808628.86883943959</v>
      </c>
      <c r="M35" s="598" t="s">
        <v>413</v>
      </c>
      <c r="N35" s="599">
        <f>SUM(N30:N34)</f>
        <v>858251.28356482007</v>
      </c>
      <c r="O35" s="599">
        <f>SUM(O30:O34)</f>
        <v>808628.8688394397</v>
      </c>
      <c r="P35" s="769">
        <f t="shared" si="1"/>
        <v>-5.7818048950966205E-2</v>
      </c>
      <c r="Q35" s="458"/>
    </row>
    <row r="36" spans="2:17" ht="15" customHeight="1" x14ac:dyDescent="0.25">
      <c r="B36" s="238" t="s">
        <v>242</v>
      </c>
      <c r="C36" s="419"/>
      <c r="F36" s="326"/>
      <c r="G36" s="141"/>
      <c r="H36" s="141"/>
      <c r="I36" s="141"/>
      <c r="J36" s="327"/>
    </row>
    <row r="37" spans="2:17" ht="15" customHeight="1" x14ac:dyDescent="0.25">
      <c r="B37" s="274" t="s">
        <v>237</v>
      </c>
      <c r="C37" s="275">
        <f>SUM(C32:C36)</f>
        <v>32748.439780850702</v>
      </c>
      <c r="F37" s="328" t="s">
        <v>219</v>
      </c>
      <c r="G37" s="141"/>
      <c r="H37" s="329">
        <f>H28</f>
        <v>-10844.421719986363</v>
      </c>
      <c r="I37" s="329">
        <f>I28</f>
        <v>25356.214467653888</v>
      </c>
      <c r="J37" s="330">
        <f>J28</f>
        <v>-29.115915534202941</v>
      </c>
      <c r="M37" s="592"/>
    </row>
    <row r="38" spans="2:17" ht="15" customHeight="1" x14ac:dyDescent="0.25">
      <c r="F38" s="328" t="s">
        <v>220</v>
      </c>
      <c r="G38" s="141"/>
      <c r="H38" s="329">
        <f>H27</f>
        <v>-776.53173886153468</v>
      </c>
      <c r="I38" s="329">
        <f>I27</f>
        <v>-1498.1776394176075</v>
      </c>
      <c r="J38" s="330">
        <f>J27</f>
        <v>4.4394623764070816E-3</v>
      </c>
      <c r="M38" s="535" t="s">
        <v>403</v>
      </c>
    </row>
    <row r="39" spans="2:17" ht="15" customHeight="1" x14ac:dyDescent="0.25">
      <c r="F39" s="328" t="s">
        <v>221</v>
      </c>
      <c r="G39" s="141"/>
      <c r="H39" s="331">
        <f>H29</f>
        <v>-327.38673356036776</v>
      </c>
      <c r="I39" s="331">
        <f>I29</f>
        <v>760.1544744895109</v>
      </c>
      <c r="J39" s="332">
        <f>J29</f>
        <v>-0.61962899809635963</v>
      </c>
      <c r="M39" s="447" t="s">
        <v>362</v>
      </c>
      <c r="N39" s="456" t="s">
        <v>406</v>
      </c>
      <c r="O39" s="457" t="s">
        <v>407</v>
      </c>
      <c r="P39" s="457" t="s">
        <v>398</v>
      </c>
    </row>
    <row r="40" spans="2:17" ht="15" customHeight="1" x14ac:dyDescent="0.35">
      <c r="B40" s="535" t="s">
        <v>380</v>
      </c>
      <c r="F40" s="328"/>
      <c r="G40" s="141"/>
      <c r="H40" s="329">
        <f>SUM(H37:H39)</f>
        <v>-11948.340192408266</v>
      </c>
      <c r="I40" s="329">
        <f>SUM(I37:I39)</f>
        <v>24618.191302725791</v>
      </c>
      <c r="J40" s="330">
        <f>SUM(J37:J39)</f>
        <v>-29.731105069922894</v>
      </c>
      <c r="M40" s="459" t="s">
        <v>367</v>
      </c>
      <c r="N40" s="460">
        <f>'TSS REC'!D31</f>
        <v>613010.20491641527</v>
      </c>
      <c r="O40" s="591">
        <f>'NUoS (t)'!$BM128</f>
        <v>604377.11020399991</v>
      </c>
      <c r="P40" s="769">
        <f>O40/N40-1</f>
        <v>-1.4083117447600269E-2</v>
      </c>
    </row>
    <row r="41" spans="2:17" ht="15" customHeight="1" x14ac:dyDescent="0.25">
      <c r="B41" s="238"/>
      <c r="C41" s="419"/>
      <c r="F41" s="328"/>
      <c r="G41" s="141"/>
      <c r="H41" s="141"/>
      <c r="I41" s="141"/>
      <c r="J41" s="327"/>
      <c r="M41" s="459" t="s">
        <v>368</v>
      </c>
      <c r="N41" s="460">
        <f>'TSS REC'!D32</f>
        <v>206874.04530511261</v>
      </c>
      <c r="O41" s="591">
        <f>'NUoS (t)'!$BM129</f>
        <v>196502.02866439999</v>
      </c>
      <c r="P41" s="769">
        <f t="shared" ref="P41:P45" si="3">O41/N41-1</f>
        <v>-5.0136867703317933E-2</v>
      </c>
    </row>
    <row r="42" spans="2:17" ht="15" customHeight="1" x14ac:dyDescent="0.25">
      <c r="B42" s="238"/>
      <c r="C42" s="419"/>
      <c r="F42" s="317" t="s">
        <v>222</v>
      </c>
      <c r="G42" s="323"/>
      <c r="H42" s="324">
        <f>H35-H40</f>
        <v>805261.78547242191</v>
      </c>
      <c r="I42" s="324">
        <f>I35-I40</f>
        <v>838085.56216492807</v>
      </c>
      <c r="J42" s="325">
        <f>J35-J40</f>
        <v>808658.59994450957</v>
      </c>
      <c r="M42" s="459" t="s">
        <v>369</v>
      </c>
      <c r="N42" s="460">
        <f>'TSS REC'!D33</f>
        <v>286682.78392346122</v>
      </c>
      <c r="O42" s="591">
        <f>'NUoS (t)'!$BM130</f>
        <v>266535.83535539999</v>
      </c>
      <c r="P42" s="769">
        <f t="shared" si="3"/>
        <v>-7.0276102011902042E-2</v>
      </c>
    </row>
    <row r="43" spans="2:17" ht="15" customHeight="1" x14ac:dyDescent="0.25">
      <c r="B43" s="274" t="s">
        <v>243</v>
      </c>
      <c r="C43" s="275"/>
      <c r="F43" s="328"/>
      <c r="G43" s="141"/>
      <c r="H43" s="141"/>
      <c r="I43" s="141"/>
      <c r="J43" s="327"/>
      <c r="M43" s="459" t="s">
        <v>370</v>
      </c>
      <c r="N43" s="460">
        <f>'TSS REC'!D34</f>
        <v>54784.844200602551</v>
      </c>
      <c r="O43" s="591">
        <f>'NUoS (t)'!$BM131</f>
        <v>51384.979133700006</v>
      </c>
      <c r="P43" s="769">
        <f t="shared" si="3"/>
        <v>-6.2058496588097478E-2</v>
      </c>
    </row>
    <row r="44" spans="2:17" ht="15" customHeight="1" x14ac:dyDescent="0.25">
      <c r="F44" s="328" t="s">
        <v>223</v>
      </c>
      <c r="G44" s="141"/>
      <c r="H44" s="329">
        <f>H27</f>
        <v>-776.53173886153468</v>
      </c>
      <c r="I44" s="329">
        <f>I27</f>
        <v>-1498.1776394176075</v>
      </c>
      <c r="J44" s="330">
        <f>J27</f>
        <v>4.4394623764070816E-3</v>
      </c>
      <c r="M44" s="459" t="s">
        <v>113</v>
      </c>
      <c r="N44" s="460">
        <f>'TSS REC'!D35</f>
        <v>30955.076418318451</v>
      </c>
      <c r="O44" s="591">
        <f>'NUoS (t)'!$BM132</f>
        <v>34053.297510391494</v>
      </c>
      <c r="P44" s="769">
        <f t="shared" si="3"/>
        <v>0.10008765768187833</v>
      </c>
    </row>
    <row r="45" spans="2:17" ht="15" customHeight="1" x14ac:dyDescent="0.25">
      <c r="F45" s="328" t="s">
        <v>224</v>
      </c>
      <c r="G45" s="141"/>
      <c r="H45" s="331">
        <f>H29</f>
        <v>-327.38673356036776</v>
      </c>
      <c r="I45" s="331">
        <f>I29</f>
        <v>760.1544744895109</v>
      </c>
      <c r="J45" s="332">
        <f>J29</f>
        <v>-0.61962899809635963</v>
      </c>
      <c r="M45" s="598" t="s">
        <v>413</v>
      </c>
      <c r="N45" s="599">
        <f>SUM(N40:N44)</f>
        <v>1192306.9547639103</v>
      </c>
      <c r="O45" s="599">
        <f>SUM(O40:O44)</f>
        <v>1152853.2508678916</v>
      </c>
      <c r="P45" s="769">
        <f t="shared" si="3"/>
        <v>-3.3090223736748192E-2</v>
      </c>
    </row>
    <row r="46" spans="2:17" ht="15" customHeight="1" x14ac:dyDescent="0.35">
      <c r="B46" s="535" t="s">
        <v>381</v>
      </c>
      <c r="F46" s="328" t="s">
        <v>225</v>
      </c>
      <c r="G46" s="141"/>
      <c r="H46" s="329">
        <f>SUM(H44:H45)</f>
        <v>-1103.9184724219024</v>
      </c>
      <c r="I46" s="329">
        <f>SUM(I44:I45)</f>
        <v>-738.02316492809655</v>
      </c>
      <c r="J46" s="330">
        <f>SUM(J44:J45)</f>
        <v>-0.6151895357199525</v>
      </c>
    </row>
    <row r="47" spans="2:17" ht="15" customHeight="1" x14ac:dyDescent="0.25">
      <c r="B47" s="238"/>
      <c r="C47" s="419"/>
      <c r="F47" s="328"/>
      <c r="G47" s="141"/>
      <c r="H47" s="141"/>
      <c r="I47" s="141"/>
      <c r="J47" s="327"/>
      <c r="M47" s="592"/>
    </row>
    <row r="48" spans="2:17" ht="15" customHeight="1" x14ac:dyDescent="0.25">
      <c r="B48" s="238"/>
      <c r="C48" s="419"/>
      <c r="F48" s="317" t="s">
        <v>226</v>
      </c>
      <c r="G48" s="323"/>
      <c r="H48" s="324">
        <f>H42+H46</f>
        <v>804157.86699999997</v>
      </c>
      <c r="I48" s="324">
        <f>I42+I46</f>
        <v>837347.53899999999</v>
      </c>
      <c r="J48" s="325">
        <f>J42+J46</f>
        <v>808657.98475497379</v>
      </c>
    </row>
    <row r="49" spans="2:10" ht="15" customHeight="1" x14ac:dyDescent="0.25">
      <c r="B49" s="274" t="s">
        <v>361</v>
      </c>
      <c r="C49" s="275"/>
      <c r="F49" s="328"/>
      <c r="G49" s="141"/>
      <c r="H49" s="141"/>
      <c r="I49" s="141"/>
      <c r="J49" s="327"/>
    </row>
    <row r="50" spans="2:10" ht="15" customHeight="1" x14ac:dyDescent="0.25">
      <c r="F50" s="333" t="s">
        <v>227</v>
      </c>
      <c r="G50" s="334"/>
      <c r="H50" s="331">
        <f>H14-H48</f>
        <v>0</v>
      </c>
      <c r="I50" s="331">
        <f>I14-I48</f>
        <v>0</v>
      </c>
      <c r="J50" s="332">
        <f>J14-J48</f>
        <v>0</v>
      </c>
    </row>
    <row r="51" spans="2:10" ht="15" customHeight="1" x14ac:dyDescent="0.25">
      <c r="F51" s="141"/>
      <c r="G51" s="141"/>
      <c r="H51" s="141"/>
      <c r="I51" s="141"/>
      <c r="J51" s="141"/>
    </row>
    <row r="52" spans="2:10" ht="15" customHeight="1" x14ac:dyDescent="0.25">
      <c r="F52" s="141"/>
      <c r="G52" s="141"/>
      <c r="H52" s="141"/>
      <c r="I52" s="141"/>
      <c r="J52" s="141"/>
    </row>
    <row r="53" spans="2:10" ht="15" customHeight="1" x14ac:dyDescent="0.25">
      <c r="F53" s="141"/>
      <c r="G53" s="141"/>
      <c r="H53" s="141"/>
      <c r="I53" s="141"/>
      <c r="J53" s="141"/>
    </row>
    <row r="54" spans="2:10" ht="15" customHeight="1" x14ac:dyDescent="0.25">
      <c r="F54" s="141"/>
      <c r="G54" s="141"/>
      <c r="H54" s="141"/>
      <c r="I54" s="141"/>
      <c r="J54" s="141"/>
    </row>
    <row r="55" spans="2:10" x14ac:dyDescent="0.25">
      <c r="F55" s="141"/>
      <c r="G55" s="141"/>
      <c r="H55" s="141"/>
      <c r="I55" s="141"/>
      <c r="J55" s="141"/>
    </row>
    <row r="56" spans="2:10" x14ac:dyDescent="0.25">
      <c r="F56" s="306"/>
      <c r="G56" s="306"/>
      <c r="H56" s="306"/>
      <c r="I56" s="306"/>
      <c r="J56" s="306"/>
    </row>
    <row r="57" spans="2:10" x14ac:dyDescent="0.25">
      <c r="F57" s="306"/>
      <c r="G57" s="306"/>
      <c r="H57" s="306"/>
      <c r="I57" s="306"/>
      <c r="J57" s="306"/>
    </row>
    <row r="58" spans="2:10" x14ac:dyDescent="0.25">
      <c r="F58" s="306"/>
      <c r="G58" s="306"/>
      <c r="H58" s="306"/>
      <c r="I58" s="306"/>
      <c r="J58" s="306"/>
    </row>
    <row r="59" spans="2:10" x14ac:dyDescent="0.25">
      <c r="F59" s="306"/>
      <c r="G59" s="306"/>
      <c r="H59" s="306"/>
      <c r="I59" s="306"/>
      <c r="J59" s="306"/>
    </row>
    <row r="60" spans="2:10" x14ac:dyDescent="0.25">
      <c r="F60" s="306"/>
      <c r="G60" s="306"/>
      <c r="H60" s="306"/>
      <c r="I60" s="306"/>
      <c r="J60" s="306"/>
    </row>
    <row r="61" spans="2:10" x14ac:dyDescent="0.25">
      <c r="F61" s="306"/>
      <c r="G61" s="306"/>
      <c r="H61" s="306"/>
      <c r="I61" s="306"/>
      <c r="J61" s="306"/>
    </row>
    <row r="62" spans="2:10" x14ac:dyDescent="0.25">
      <c r="F62" s="306"/>
      <c r="G62" s="306"/>
      <c r="H62" s="306"/>
      <c r="I62" s="306"/>
      <c r="J62" s="306"/>
    </row>
    <row r="63" spans="2:10" x14ac:dyDescent="0.25">
      <c r="F63" s="306"/>
      <c r="G63" s="306"/>
      <c r="H63" s="306"/>
      <c r="I63" s="306"/>
      <c r="J63" s="306"/>
    </row>
    <row r="64" spans="2:10" x14ac:dyDescent="0.25">
      <c r="F64" s="306"/>
      <c r="G64" s="306"/>
      <c r="H64" s="306"/>
      <c r="I64" s="306"/>
      <c r="J64" s="306"/>
    </row>
    <row r="65" spans="6:10" x14ac:dyDescent="0.25">
      <c r="F65" s="306"/>
      <c r="G65" s="306"/>
      <c r="H65" s="306"/>
      <c r="I65" s="306"/>
      <c r="J65" s="306"/>
    </row>
    <row r="66" spans="6:10" x14ac:dyDescent="0.25">
      <c r="I66" s="306"/>
      <c r="J66" s="306"/>
    </row>
  </sheetData>
  <phoneticPr fontId="26" type="noConversion"/>
  <conditionalFormatting sqref="Q9:Q13">
    <cfRule type="cellIs" dxfId="51" priority="21" stopIfTrue="1" operator="equal">
      <formula>"YES"</formula>
    </cfRule>
    <cfRule type="cellIs" dxfId="50" priority="22" stopIfTrue="1" operator="equal">
      <formula>"NO"</formula>
    </cfRule>
  </conditionalFormatting>
  <conditionalFormatting sqref="Q35">
    <cfRule type="cellIs" dxfId="49" priority="11" stopIfTrue="1" operator="equal">
      <formula>"YES"</formula>
    </cfRule>
    <cfRule type="cellIs" dxfId="48" priority="12" stopIfTrue="1" operator="equal">
      <formula>"NO"</formula>
    </cfRule>
  </conditionalFormatting>
  <conditionalFormatting sqref="Q14">
    <cfRule type="cellIs" dxfId="47" priority="7" stopIfTrue="1" operator="equal">
      <formula>"YES"</formula>
    </cfRule>
    <cfRule type="cellIs" dxfId="46" priority="8" stopIfTrue="1" operator="equal">
      <formula>"NO"</formula>
    </cfRule>
  </conditionalFormatting>
  <conditionalFormatting sqref="Q30:Q34">
    <cfRule type="cellIs" dxfId="45" priority="1" stopIfTrue="1" operator="equal">
      <formula>"YES"</formula>
    </cfRule>
    <cfRule type="cellIs" dxfId="44" priority="2" stopIfTrue="1" operator="equal">
      <formula>"NO"</formula>
    </cfRule>
  </conditionalFormatting>
  <pageMargins left="0.7" right="0.7" top="0.75" bottom="0.75" header="0.3" footer="0.3"/>
  <pageSetup paperSize="9" orientation="portrait" r:id="rId1"/>
  <customProperties>
    <customPr name="_pios_id" r:id="rId2"/>
  </customProperties>
  <ignoredErrors>
    <ignoredError sqref="H13:J13 H16:I16 H18:I18 H27:J50 J17 J18 H22:J22 I15 P10:Q13 Q31:Q34 P9 I26:J26"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B436-EEC1-496E-8749-205C10080B1F}">
  <sheetPr>
    <tabColor rgb="FF289696"/>
  </sheetPr>
  <dimension ref="A1:M48"/>
  <sheetViews>
    <sheetView showGridLines="0" zoomScale="90" zoomScaleNormal="90" workbookViewId="0">
      <selection activeCell="F28" sqref="F28"/>
    </sheetView>
  </sheetViews>
  <sheetFormatPr defaultRowHeight="15" x14ac:dyDescent="0.25"/>
  <cols>
    <col min="1" max="1" width="2.28515625" style="128" customWidth="1"/>
    <col min="2" max="2" width="66.140625" style="128" bestFit="1" customWidth="1"/>
    <col min="3" max="3" width="9.140625" style="128"/>
    <col min="4" max="6" width="12.28515625" style="128" customWidth="1"/>
    <col min="7" max="7" width="9.140625" style="128"/>
    <col min="8" max="8" width="12.140625" style="128" bestFit="1" customWidth="1"/>
    <col min="9" max="13" width="24.28515625" style="128" customWidth="1"/>
    <col min="14" max="16384" width="9.140625" style="128"/>
  </cols>
  <sheetData>
    <row r="1" spans="1:13" s="125" customFormat="1" ht="21" x14ac:dyDescent="0.35">
      <c r="A1" s="131" t="s">
        <v>433</v>
      </c>
    </row>
    <row r="2" spans="1:13" x14ac:dyDescent="0.25">
      <c r="F2" s="237"/>
      <c r="I2" s="237"/>
    </row>
    <row r="3" spans="1:13" ht="18.75" x14ac:dyDescent="0.3">
      <c r="B3" s="123" t="s">
        <v>327</v>
      </c>
      <c r="F3" s="237"/>
      <c r="I3" s="237"/>
    </row>
    <row r="5" spans="1:13" x14ac:dyDescent="0.25">
      <c r="B5" s="533" t="s">
        <v>236</v>
      </c>
      <c r="C5" s="534">
        <f>'Model Update'!C12</f>
        <v>2021</v>
      </c>
    </row>
    <row r="7" spans="1:13" x14ac:dyDescent="0.25">
      <c r="B7" s="126" t="s">
        <v>342</v>
      </c>
      <c r="I7" s="535" t="s">
        <v>404</v>
      </c>
    </row>
    <row r="8" spans="1:13" x14ac:dyDescent="0.25">
      <c r="B8" s="276"/>
      <c r="C8" s="277"/>
      <c r="D8" s="278">
        <f>'Model Update'!C14</f>
        <v>2019</v>
      </c>
      <c r="E8" s="279">
        <f>'Model Update'!C13</f>
        <v>2020</v>
      </c>
      <c r="F8" s="344">
        <f>'Model Update'!C12</f>
        <v>2021</v>
      </c>
      <c r="G8" s="239"/>
      <c r="I8" s="447" t="s">
        <v>362</v>
      </c>
      <c r="J8" s="456" t="s">
        <v>399</v>
      </c>
      <c r="K8" s="457" t="s">
        <v>400</v>
      </c>
      <c r="L8" s="457" t="s">
        <v>398</v>
      </c>
      <c r="M8" s="457" t="s">
        <v>402</v>
      </c>
    </row>
    <row r="9" spans="1:13" x14ac:dyDescent="0.25">
      <c r="B9" s="280"/>
      <c r="C9" s="281"/>
      <c r="D9" s="282" t="s">
        <v>183</v>
      </c>
      <c r="E9" s="283" t="s">
        <v>184</v>
      </c>
      <c r="F9" s="345" t="s">
        <v>185</v>
      </c>
      <c r="G9" s="239"/>
      <c r="I9" s="459" t="s">
        <v>367</v>
      </c>
      <c r="J9" s="460"/>
      <c r="K9" s="591">
        <f>'TUoS (t)'!$BM128</f>
        <v>115307.5724</v>
      </c>
      <c r="L9" s="461" t="e">
        <f>K9/J9-1</f>
        <v>#DIV/0!</v>
      </c>
      <c r="M9" s="457" t="e">
        <f>(1+L9)/(1+$L$14)-1</f>
        <v>#DIV/0!</v>
      </c>
    </row>
    <row r="10" spans="1:13" x14ac:dyDescent="0.25">
      <c r="B10" s="284" t="s">
        <v>186</v>
      </c>
      <c r="C10" s="285"/>
      <c r="D10" s="282" t="str">
        <f>'Model Update'!B14</f>
        <v>t-2</v>
      </c>
      <c r="E10" s="282" t="str">
        <f>'Model Update'!B13</f>
        <v>t-1</v>
      </c>
      <c r="F10" s="429" t="str">
        <f>'Model Update'!B12</f>
        <v>t</v>
      </c>
      <c r="G10" s="239"/>
      <c r="I10" s="459" t="s">
        <v>368</v>
      </c>
      <c r="J10" s="460"/>
      <c r="K10" s="591">
        <f>'TUoS (t)'!$BM129</f>
        <v>43778.223915100003</v>
      </c>
      <c r="L10" s="461" t="e">
        <f t="shared" ref="L10:L14" si="0">K10/J10-1</f>
        <v>#DIV/0!</v>
      </c>
      <c r="M10" s="457" t="e">
        <f t="shared" ref="M10:M13" si="1">(1+L10)/(1+$L$14)-1</f>
        <v>#DIV/0!</v>
      </c>
    </row>
    <row r="11" spans="1:13" x14ac:dyDescent="0.25">
      <c r="B11" s="286"/>
      <c r="C11" s="287"/>
      <c r="D11" s="288"/>
      <c r="E11" s="286"/>
      <c r="F11" s="286"/>
      <c r="G11" s="239"/>
      <c r="I11" s="459" t="s">
        <v>369</v>
      </c>
      <c r="J11" s="460"/>
      <c r="K11" s="591">
        <f>'TUoS (t)'!$BM130</f>
        <v>68310.769919999992</v>
      </c>
      <c r="L11" s="461" t="e">
        <f t="shared" si="0"/>
        <v>#DIV/0!</v>
      </c>
      <c r="M11" s="457" t="e">
        <f t="shared" si="1"/>
        <v>#DIV/0!</v>
      </c>
    </row>
    <row r="12" spans="1:13" x14ac:dyDescent="0.25">
      <c r="B12" s="289" t="s">
        <v>434</v>
      </c>
      <c r="C12" s="290" t="s">
        <v>187</v>
      </c>
      <c r="D12" s="291">
        <f>'[10]4-Tx O&amp;U'!$E$9</f>
        <v>236557.65442391532</v>
      </c>
      <c r="E12" s="291">
        <v>251675.617584388</v>
      </c>
      <c r="F12" s="346">
        <f>'TUoS (t)'!I161</f>
        <v>263175.94128157123</v>
      </c>
      <c r="G12" s="239"/>
      <c r="I12" s="459" t="s">
        <v>370</v>
      </c>
      <c r="J12" s="460"/>
      <c r="K12" s="591">
        <f>'TUoS (t)'!$BM131</f>
        <v>15216.119793099999</v>
      </c>
      <c r="L12" s="461" t="e">
        <f t="shared" si="0"/>
        <v>#DIV/0!</v>
      </c>
      <c r="M12" s="457" t="e">
        <f t="shared" si="1"/>
        <v>#DIV/0!</v>
      </c>
    </row>
    <row r="13" spans="1:13" x14ac:dyDescent="0.25">
      <c r="B13" s="296" t="s">
        <v>435</v>
      </c>
      <c r="C13" s="290" t="s">
        <v>187</v>
      </c>
      <c r="D13" s="297">
        <f>SUM(D14:D16)</f>
        <v>239994.50161000001</v>
      </c>
      <c r="E13" s="297">
        <f t="shared" ref="E13:F13" si="2">SUM(E14:E16)</f>
        <v>244016.11350520965</v>
      </c>
      <c r="F13" s="297">
        <f t="shared" si="2"/>
        <v>263186.61064000003</v>
      </c>
      <c r="G13" s="776"/>
      <c r="I13" s="459" t="s">
        <v>113</v>
      </c>
      <c r="J13" s="460"/>
      <c r="K13" s="591">
        <f>'TUoS (t)'!$BM132</f>
        <v>20563.255253371201</v>
      </c>
      <c r="L13" s="461" t="e">
        <f t="shared" si="0"/>
        <v>#DIV/0!</v>
      </c>
      <c r="M13" s="457" t="e">
        <f t="shared" si="1"/>
        <v>#DIV/0!</v>
      </c>
    </row>
    <row r="14" spans="1:13" x14ac:dyDescent="0.25">
      <c r="B14" s="307" t="s">
        <v>436</v>
      </c>
      <c r="C14" s="290" t="s">
        <v>187</v>
      </c>
      <c r="D14" s="291">
        <f>D45</f>
        <v>239994.50161000001</v>
      </c>
      <c r="E14" s="291">
        <f t="shared" ref="E14:F14" si="3">E45</f>
        <v>244016.11350520965</v>
      </c>
      <c r="F14" s="291">
        <f t="shared" si="3"/>
        <v>263186.61064000003</v>
      </c>
      <c r="G14" s="775"/>
      <c r="I14" s="598" t="s">
        <v>413</v>
      </c>
      <c r="J14" s="599">
        <f>SUM(J9:J13)</f>
        <v>0</v>
      </c>
      <c r="K14" s="599">
        <f>SUM(K9:K13)</f>
        <v>263175.94128157117</v>
      </c>
      <c r="L14" s="461" t="e">
        <f t="shared" si="0"/>
        <v>#DIV/0!</v>
      </c>
      <c r="M14" s="458"/>
    </row>
    <row r="15" spans="1:13" x14ac:dyDescent="0.25">
      <c r="B15" s="307" t="s">
        <v>437</v>
      </c>
      <c r="C15" s="290" t="s">
        <v>187</v>
      </c>
      <c r="D15" s="427"/>
      <c r="E15" s="428"/>
      <c r="F15" s="428"/>
      <c r="G15" s="239"/>
    </row>
    <row r="16" spans="1:13" x14ac:dyDescent="0.25">
      <c r="B16" s="307" t="s">
        <v>438</v>
      </c>
      <c r="C16" s="290" t="s">
        <v>187</v>
      </c>
      <c r="D16" s="427"/>
      <c r="E16" s="428"/>
      <c r="F16" s="428"/>
      <c r="G16" s="239"/>
      <c r="I16" s="592" t="s">
        <v>405</v>
      </c>
    </row>
    <row r="17" spans="2:11" x14ac:dyDescent="0.25">
      <c r="B17" s="296"/>
      <c r="C17" s="290"/>
      <c r="D17" s="297"/>
      <c r="E17" s="297"/>
      <c r="F17" s="297"/>
      <c r="G17" s="239"/>
    </row>
    <row r="18" spans="2:11" x14ac:dyDescent="0.25">
      <c r="B18" s="296" t="s">
        <v>439</v>
      </c>
      <c r="C18" s="290" t="s">
        <v>187</v>
      </c>
      <c r="D18" s="297">
        <f>D12-D13</f>
        <v>-3436.8471860846912</v>
      </c>
      <c r="E18" s="297">
        <f>E12-E13</f>
        <v>7659.504079178354</v>
      </c>
      <c r="F18" s="297">
        <f>F12-F13</f>
        <v>-10.669358428800479</v>
      </c>
      <c r="G18" s="239"/>
    </row>
    <row r="19" spans="2:11" x14ac:dyDescent="0.25">
      <c r="B19" s="280"/>
      <c r="C19" s="290"/>
      <c r="D19" s="293"/>
      <c r="E19" s="316"/>
      <c r="F19" s="316"/>
      <c r="G19" s="239"/>
    </row>
    <row r="20" spans="2:11" x14ac:dyDescent="0.25">
      <c r="B20" s="280"/>
      <c r="C20" s="290"/>
      <c r="D20" s="293"/>
      <c r="E20" s="316"/>
      <c r="F20" s="316"/>
      <c r="G20" s="239"/>
    </row>
    <row r="21" spans="2:11" x14ac:dyDescent="0.25">
      <c r="B21" s="317" t="s">
        <v>440</v>
      </c>
      <c r="C21" s="281"/>
      <c r="D21" s="318"/>
      <c r="E21" s="318"/>
      <c r="F21" s="348"/>
      <c r="G21" s="239"/>
    </row>
    <row r="22" spans="2:11" x14ac:dyDescent="0.25">
      <c r="B22" s="280" t="s">
        <v>249</v>
      </c>
      <c r="C22" s="298" t="s">
        <v>192</v>
      </c>
      <c r="D22" s="319">
        <f>'Model Update'!F14</f>
        <v>6.1290228084052739E-2</v>
      </c>
      <c r="E22" s="319">
        <f>'Model Update'!F13</f>
        <v>6.0856782764485799E-2</v>
      </c>
      <c r="F22" s="349">
        <f>'Model Update'!L19</f>
        <v>4.3015806950562618E-2</v>
      </c>
      <c r="G22" s="239"/>
    </row>
    <row r="23" spans="2:11" x14ac:dyDescent="0.25">
      <c r="B23" s="280" t="s">
        <v>193</v>
      </c>
      <c r="C23" s="298" t="s">
        <v>187</v>
      </c>
      <c r="D23" s="452">
        <f>[11]Trans!$D$32</f>
        <v>-3671.0453605029738</v>
      </c>
      <c r="E23" s="299">
        <f>D28</f>
        <v>-7436.648155538338</v>
      </c>
      <c r="F23" s="350">
        <f>E28</f>
        <v>-9.0127497166946569E-2</v>
      </c>
      <c r="G23" s="239"/>
    </row>
    <row r="24" spans="2:11" x14ac:dyDescent="0.25">
      <c r="B24" s="280" t="s">
        <v>250</v>
      </c>
      <c r="C24" s="298" t="s">
        <v>187</v>
      </c>
      <c r="D24" s="300">
        <f>D23*D22</f>
        <v>-224.99920745213089</v>
      </c>
      <c r="E24" s="300">
        <f>E23*E22</f>
        <v>-452.57048129751064</v>
      </c>
      <c r="F24" s="301">
        <f>F23*F22</f>
        <v>-3.876907019070753E-3</v>
      </c>
      <c r="G24" s="239"/>
    </row>
    <row r="25" spans="2:11" x14ac:dyDescent="0.25">
      <c r="B25" s="280" t="s">
        <v>194</v>
      </c>
      <c r="C25" s="298" t="s">
        <v>187</v>
      </c>
      <c r="D25" s="300">
        <f>D12-D13</f>
        <v>-3436.8471860846912</v>
      </c>
      <c r="E25" s="300">
        <f>E12-E13</f>
        <v>7659.504079178354</v>
      </c>
      <c r="F25" s="301">
        <f>F12-F13</f>
        <v>-10.669358428800479</v>
      </c>
      <c r="G25" s="239"/>
    </row>
    <row r="26" spans="2:11" x14ac:dyDescent="0.25">
      <c r="B26" s="280" t="s">
        <v>251</v>
      </c>
      <c r="C26" s="298" t="s">
        <v>187</v>
      </c>
      <c r="D26" s="300">
        <f>D25*(((1+D22)^0.5)-1)</f>
        <v>-103.75640149854144</v>
      </c>
      <c r="E26" s="300">
        <f>E25*(((1+E22)^0.5)-1)</f>
        <v>229.62443016032793</v>
      </c>
      <c r="F26" s="301">
        <f>F25*(((1+F22)^0.5)-1)</f>
        <v>-0.22705945364494856</v>
      </c>
      <c r="G26" s="239"/>
    </row>
    <row r="27" spans="2:11" x14ac:dyDescent="0.25">
      <c r="B27" s="280"/>
      <c r="C27" s="298"/>
      <c r="D27" s="301"/>
      <c r="E27" s="301"/>
      <c r="F27" s="301"/>
      <c r="G27" s="239"/>
    </row>
    <row r="28" spans="2:11" x14ac:dyDescent="0.25">
      <c r="B28" s="302" t="s">
        <v>195</v>
      </c>
      <c r="C28" s="303" t="str">
        <f>C26</f>
        <v>$'000</v>
      </c>
      <c r="D28" s="304">
        <f>SUM(D23:D26)</f>
        <v>-7436.648155538338</v>
      </c>
      <c r="E28" s="305">
        <f>SUM(E23:E26)</f>
        <v>-9.0127497166946569E-2</v>
      </c>
      <c r="F28" s="305">
        <f>SUM(F23:F26)</f>
        <v>-10.990422286631444</v>
      </c>
      <c r="G28" s="239"/>
    </row>
    <row r="29" spans="2:11" x14ac:dyDescent="0.25">
      <c r="H29"/>
      <c r="I29"/>
      <c r="J29"/>
      <c r="K29"/>
    </row>
    <row r="30" spans="2:11" x14ac:dyDescent="0.25">
      <c r="H30"/>
      <c r="I30"/>
      <c r="J30"/>
      <c r="K30"/>
    </row>
    <row r="31" spans="2:11" x14ac:dyDescent="0.25">
      <c r="B31" s="126" t="s">
        <v>328</v>
      </c>
      <c r="H31"/>
      <c r="I31"/>
      <c r="J31"/>
      <c r="K31"/>
    </row>
    <row r="32" spans="2:11" x14ac:dyDescent="0.25">
      <c r="B32" s="430" t="s">
        <v>329</v>
      </c>
      <c r="C32" s="431"/>
      <c r="D32" s="420">
        <f>D8</f>
        <v>2019</v>
      </c>
      <c r="E32" s="420">
        <f t="shared" ref="E32:F32" si="4">E8</f>
        <v>2020</v>
      </c>
      <c r="F32" s="421">
        <f t="shared" si="4"/>
        <v>2021</v>
      </c>
      <c r="H32"/>
      <c r="I32"/>
      <c r="J32"/>
      <c r="K32"/>
    </row>
    <row r="33" spans="2:13" x14ac:dyDescent="0.25">
      <c r="B33" s="239" t="s">
        <v>330</v>
      </c>
      <c r="C33" s="240"/>
      <c r="D33" s="546">
        <f>'[10]4-Tx O&amp;U'!V34</f>
        <v>21319.742040000001</v>
      </c>
      <c r="E33" s="240"/>
      <c r="F33" s="145"/>
      <c r="H33"/>
      <c r="I33"/>
      <c r="J33"/>
      <c r="K33"/>
      <c r="L33" s="306"/>
      <c r="M33" s="306"/>
    </row>
    <row r="34" spans="2:13" x14ac:dyDescent="0.25">
      <c r="B34" s="239" t="s">
        <v>331</v>
      </c>
      <c r="C34" s="240"/>
      <c r="D34" s="546">
        <f>'[10]4-Tx O&amp;U'!V35</f>
        <v>21179.137190000001</v>
      </c>
      <c r="E34" s="240"/>
      <c r="F34" s="145"/>
      <c r="H34"/>
      <c r="I34"/>
      <c r="J34"/>
      <c r="K34"/>
      <c r="L34" s="306"/>
      <c r="M34" s="306"/>
    </row>
    <row r="35" spans="2:13" x14ac:dyDescent="0.25">
      <c r="B35" s="239" t="s">
        <v>332</v>
      </c>
      <c r="C35" s="240"/>
      <c r="D35" s="546">
        <f>'[10]4-Tx O&amp;U'!V36</f>
        <v>21090.31639</v>
      </c>
      <c r="E35" s="240"/>
      <c r="F35" s="145"/>
      <c r="H35"/>
      <c r="I35"/>
      <c r="J35"/>
      <c r="K35"/>
      <c r="L35" s="306"/>
      <c r="M35" s="306"/>
    </row>
    <row r="36" spans="2:13" x14ac:dyDescent="0.25">
      <c r="B36" s="239" t="s">
        <v>333</v>
      </c>
      <c r="C36" s="240"/>
      <c r="D36" s="546">
        <f>'[10]4-Tx O&amp;U'!V37</f>
        <v>20725.9022</v>
      </c>
      <c r="E36" s="240"/>
      <c r="F36" s="145"/>
      <c r="H36"/>
      <c r="I36"/>
      <c r="J36"/>
      <c r="K36"/>
      <c r="L36" s="306"/>
      <c r="M36" s="306"/>
    </row>
    <row r="37" spans="2:13" x14ac:dyDescent="0.25">
      <c r="B37" s="239" t="s">
        <v>334</v>
      </c>
      <c r="C37" s="240"/>
      <c r="D37" s="546">
        <f>'[10]4-Tx O&amp;U'!V38</f>
        <v>18949.167420000002</v>
      </c>
      <c r="E37" s="240"/>
      <c r="F37" s="145"/>
      <c r="H37"/>
      <c r="I37"/>
      <c r="J37"/>
      <c r="K37"/>
      <c r="L37" s="306"/>
      <c r="M37" s="306"/>
    </row>
    <row r="38" spans="2:13" x14ac:dyDescent="0.25">
      <c r="B38" s="239" t="s">
        <v>335</v>
      </c>
      <c r="C38" s="240"/>
      <c r="D38" s="546">
        <f>'[10]4-Tx O&amp;U'!V39</f>
        <v>19568.516919999998</v>
      </c>
      <c r="E38" s="240"/>
      <c r="F38" s="145"/>
      <c r="H38"/>
      <c r="I38"/>
      <c r="J38"/>
      <c r="K38"/>
      <c r="L38" s="306"/>
      <c r="M38" s="306"/>
    </row>
    <row r="39" spans="2:13" x14ac:dyDescent="0.25">
      <c r="B39" s="239" t="s">
        <v>336</v>
      </c>
      <c r="C39" s="240"/>
      <c r="D39" s="546">
        <f>'[10]4-Tx O&amp;U'!V40</f>
        <v>20195.594239999999</v>
      </c>
      <c r="E39" s="240"/>
      <c r="F39" s="145"/>
      <c r="H39"/>
      <c r="I39"/>
      <c r="J39"/>
      <c r="K39"/>
      <c r="L39" s="306"/>
      <c r="M39" s="306"/>
    </row>
    <row r="40" spans="2:13" x14ac:dyDescent="0.25">
      <c r="B40" s="239" t="s">
        <v>337</v>
      </c>
      <c r="C40" s="240"/>
      <c r="D40" s="546">
        <f>'[10]4-Tx O&amp;U'!V41</f>
        <v>18120.734260000001</v>
      </c>
      <c r="E40" s="240"/>
      <c r="F40" s="145"/>
      <c r="H40"/>
      <c r="I40"/>
      <c r="J40"/>
      <c r="K40"/>
      <c r="L40" s="306"/>
      <c r="M40" s="306"/>
    </row>
    <row r="41" spans="2:13" x14ac:dyDescent="0.25">
      <c r="B41" s="239" t="s">
        <v>338</v>
      </c>
      <c r="C41" s="240"/>
      <c r="D41" s="546">
        <f>'[10]4-Tx O&amp;U'!V42</f>
        <v>20158.181479999999</v>
      </c>
      <c r="E41" s="240"/>
      <c r="F41" s="145"/>
      <c r="H41"/>
      <c r="I41"/>
      <c r="J41"/>
      <c r="K41"/>
      <c r="L41" s="306"/>
      <c r="M41" s="306"/>
    </row>
    <row r="42" spans="2:13" x14ac:dyDescent="0.25">
      <c r="B42" s="239" t="s">
        <v>339</v>
      </c>
      <c r="C42" s="240"/>
      <c r="D42" s="546">
        <f>'[10]4-Tx O&amp;U'!V43</f>
        <v>18673.191009999999</v>
      </c>
      <c r="E42" s="240"/>
      <c r="F42" s="145"/>
      <c r="H42"/>
      <c r="I42"/>
      <c r="J42"/>
      <c r="K42"/>
      <c r="L42" s="306"/>
      <c r="M42" s="306"/>
    </row>
    <row r="43" spans="2:13" x14ac:dyDescent="0.25">
      <c r="B43" s="239" t="s">
        <v>340</v>
      </c>
      <c r="C43" s="240"/>
      <c r="D43" s="546">
        <f>'[10]4-Tx O&amp;U'!V44</f>
        <v>19948.14169</v>
      </c>
      <c r="E43" s="240"/>
      <c r="F43" s="145"/>
      <c r="H43"/>
      <c r="I43"/>
      <c r="J43"/>
      <c r="K43"/>
    </row>
    <row r="44" spans="2:13" x14ac:dyDescent="0.25">
      <c r="B44" s="239" t="s">
        <v>341</v>
      </c>
      <c r="C44" s="240"/>
      <c r="D44" s="546">
        <f>'[10]4-Tx O&amp;U'!V45</f>
        <v>20065.876769999999</v>
      </c>
      <c r="E44" s="240"/>
      <c r="F44" s="145"/>
      <c r="H44"/>
      <c r="I44"/>
      <c r="J44"/>
      <c r="K44"/>
    </row>
    <row r="45" spans="2:13" x14ac:dyDescent="0.25">
      <c r="B45" s="430" t="s">
        <v>155</v>
      </c>
      <c r="C45" s="431"/>
      <c r="D45" s="432">
        <f>SUM(D33:D44)</f>
        <v>239994.50161000001</v>
      </c>
      <c r="E45" s="551">
        <f>'[13]Under-Overs'!$N$49</f>
        <v>244016.11350520965</v>
      </c>
      <c r="F45" s="552">
        <f>'[13]Under-Overs'!$O$49</f>
        <v>263186.61064000003</v>
      </c>
      <c r="H45"/>
      <c r="I45"/>
      <c r="J45"/>
      <c r="K45"/>
    </row>
    <row r="46" spans="2:13" x14ac:dyDescent="0.25">
      <c r="H46"/>
      <c r="I46"/>
      <c r="J46"/>
      <c r="K46"/>
    </row>
    <row r="47" spans="2:13" x14ac:dyDescent="0.25">
      <c r="H47"/>
      <c r="I47"/>
      <c r="J47"/>
      <c r="K47"/>
    </row>
    <row r="48" spans="2:13" x14ac:dyDescent="0.25">
      <c r="H48"/>
      <c r="I48"/>
      <c r="J48"/>
      <c r="K48"/>
    </row>
  </sheetData>
  <phoneticPr fontId="26" type="noConversion"/>
  <conditionalFormatting sqref="M14">
    <cfRule type="cellIs" dxfId="43" priority="3" stopIfTrue="1" operator="equal">
      <formula>"YES"</formula>
    </cfRule>
    <cfRule type="cellIs" dxfId="42" priority="4" stopIfTrue="1" operator="equal">
      <formula>"NO"</formula>
    </cfRule>
  </conditionalFormatting>
  <conditionalFormatting sqref="M9:M13">
    <cfRule type="cellIs" dxfId="41" priority="1" stopIfTrue="1" operator="equal">
      <formula>"YES"</formula>
    </cfRule>
    <cfRule type="cellIs" dxfId="40" priority="2" stopIfTrue="1" operator="equal">
      <formula>"NO"</formula>
    </cfRule>
  </conditionalFormatting>
  <pageMargins left="0.7" right="0.7" top="0.75" bottom="0.75" header="0.3" footer="0.3"/>
  <customProperties>
    <customPr name="_pios_id" r:id="rId1"/>
  </customProperties>
  <ignoredErrors>
    <ignoredError sqref="D14:F14 D33:D4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2262-8D2A-4895-ABD0-26EF39939687}">
  <sheetPr>
    <tabColor rgb="FF289696"/>
  </sheetPr>
  <dimension ref="A1:M40"/>
  <sheetViews>
    <sheetView showGridLines="0" topLeftCell="A4" zoomScale="90" zoomScaleNormal="90" workbookViewId="0">
      <selection activeCell="F28" sqref="F28"/>
    </sheetView>
  </sheetViews>
  <sheetFormatPr defaultRowHeight="15" x14ac:dyDescent="0.25"/>
  <cols>
    <col min="1" max="1" width="1.85546875" style="128" customWidth="1"/>
    <col min="2" max="2" width="60.7109375" style="128" customWidth="1"/>
    <col min="3" max="6" width="12.5703125" style="128" customWidth="1"/>
    <col min="7" max="8" width="9.140625" style="128"/>
    <col min="9" max="13" width="25.5703125" style="128" customWidth="1"/>
    <col min="14" max="16384" width="9.140625" style="128"/>
  </cols>
  <sheetData>
    <row r="1" spans="1:13" s="125" customFormat="1" ht="21" x14ac:dyDescent="0.35">
      <c r="A1" s="131" t="s">
        <v>326</v>
      </c>
    </row>
    <row r="2" spans="1:13" x14ac:dyDescent="0.25">
      <c r="F2" s="237"/>
    </row>
    <row r="3" spans="1:13" ht="18.75" x14ac:dyDescent="0.3">
      <c r="B3" s="123" t="s">
        <v>325</v>
      </c>
      <c r="F3" s="237"/>
    </row>
    <row r="5" spans="1:13" x14ac:dyDescent="0.25">
      <c r="B5" s="533" t="s">
        <v>236</v>
      </c>
      <c r="C5" s="534">
        <f>'Model Update'!C12</f>
        <v>2021</v>
      </c>
    </row>
    <row r="7" spans="1:13" x14ac:dyDescent="0.25">
      <c r="B7" s="126" t="s">
        <v>343</v>
      </c>
      <c r="I7" s="535" t="s">
        <v>414</v>
      </c>
    </row>
    <row r="8" spans="1:13" x14ac:dyDescent="0.25">
      <c r="B8" s="276"/>
      <c r="C8" s="277"/>
      <c r="D8" s="278">
        <f>'Model Update'!C14</f>
        <v>2019</v>
      </c>
      <c r="E8" s="279">
        <f>'Model Update'!C13</f>
        <v>2020</v>
      </c>
      <c r="F8" s="344">
        <f>'Model Update'!C12</f>
        <v>2021</v>
      </c>
      <c r="G8" s="239"/>
      <c r="I8" s="447" t="s">
        <v>362</v>
      </c>
      <c r="J8" s="456" t="s">
        <v>408</v>
      </c>
      <c r="K8" s="457" t="s">
        <v>409</v>
      </c>
      <c r="L8" s="457" t="s">
        <v>398</v>
      </c>
      <c r="M8" s="457" t="s">
        <v>402</v>
      </c>
    </row>
    <row r="9" spans="1:13" x14ac:dyDescent="0.25">
      <c r="B9" s="280"/>
      <c r="C9" s="281"/>
      <c r="D9" s="282" t="s">
        <v>183</v>
      </c>
      <c r="E9" s="283" t="s">
        <v>184</v>
      </c>
      <c r="F9" s="345" t="s">
        <v>185</v>
      </c>
      <c r="G9" s="239"/>
      <c r="I9" s="459" t="s">
        <v>367</v>
      </c>
      <c r="J9" s="460"/>
      <c r="K9" s="591">
        <f>'JSO (t)'!$BM128</f>
        <v>51420.056017999996</v>
      </c>
      <c r="L9" s="461" t="e">
        <f>K9/J9-1</f>
        <v>#DIV/0!</v>
      </c>
      <c r="M9" s="457" t="e">
        <f>(1+L9)/(1+$L$14)-1</f>
        <v>#DIV/0!</v>
      </c>
    </row>
    <row r="10" spans="1:13" x14ac:dyDescent="0.25">
      <c r="B10" s="284" t="s">
        <v>186</v>
      </c>
      <c r="C10" s="285"/>
      <c r="D10" s="282" t="str">
        <f>'Model Update'!B14</f>
        <v>t-2</v>
      </c>
      <c r="E10" s="282" t="str">
        <f>'Model Update'!B13</f>
        <v>t-1</v>
      </c>
      <c r="F10" s="429" t="str">
        <f>'Model Update'!B12</f>
        <v>t</v>
      </c>
      <c r="G10" s="239"/>
      <c r="I10" s="459" t="s">
        <v>368</v>
      </c>
      <c r="J10" s="460"/>
      <c r="K10" s="591">
        <f>'JSO (t)'!$BM129</f>
        <v>11234.329313999999</v>
      </c>
      <c r="L10" s="461" t="e">
        <f t="shared" ref="L10:L13" si="0">K10/J10-1</f>
        <v>#DIV/0!</v>
      </c>
      <c r="M10" s="457" t="e">
        <f t="shared" ref="M10:M13" si="1">(1+L10)/(1+$L$14)-1</f>
        <v>#DIV/0!</v>
      </c>
    </row>
    <row r="11" spans="1:13" x14ac:dyDescent="0.25">
      <c r="B11" s="286"/>
      <c r="C11" s="287"/>
      <c r="D11" s="288"/>
      <c r="E11" s="286"/>
      <c r="F11" s="286"/>
      <c r="G11" s="239"/>
      <c r="I11" s="459" t="s">
        <v>369</v>
      </c>
      <c r="J11" s="460"/>
      <c r="K11" s="591">
        <f>'JSO (t)'!$BM130</f>
        <v>14661.184659999997</v>
      </c>
      <c r="L11" s="461" t="e">
        <f t="shared" si="0"/>
        <v>#DIV/0!</v>
      </c>
      <c r="M11" s="457" t="e">
        <f t="shared" si="1"/>
        <v>#DIV/0!</v>
      </c>
    </row>
    <row r="12" spans="1:13" x14ac:dyDescent="0.25">
      <c r="B12" s="289" t="s">
        <v>344</v>
      </c>
      <c r="C12" s="290" t="s">
        <v>187</v>
      </c>
      <c r="D12" s="453">
        <f>'[10]7-JSO O&amp;U'!$E$9</f>
        <v>75971.665933087628</v>
      </c>
      <c r="E12" s="453">
        <v>84485.073104930401</v>
      </c>
      <c r="F12" s="346">
        <f>'JSO (t)'!I161</f>
        <v>81048.440746880675</v>
      </c>
      <c r="G12" s="239"/>
      <c r="I12" s="459" t="s">
        <v>370</v>
      </c>
      <c r="J12" s="460"/>
      <c r="K12" s="591">
        <f>'JSO (t)'!$BM131</f>
        <v>2658.1200000000003</v>
      </c>
      <c r="L12" s="461" t="e">
        <f t="shared" si="0"/>
        <v>#DIV/0!</v>
      </c>
      <c r="M12" s="457" t="e">
        <f t="shared" si="1"/>
        <v>#DIV/0!</v>
      </c>
    </row>
    <row r="13" spans="1:13" x14ac:dyDescent="0.25">
      <c r="B13" s="433" t="s">
        <v>345</v>
      </c>
      <c r="C13" s="290"/>
      <c r="D13" s="434">
        <f>SUM(D14:D15)</f>
        <v>82288.802927292563</v>
      </c>
      <c r="E13" s="434">
        <f t="shared" ref="E13:F13" si="2">SUM(E14:E15)</f>
        <v>81048</v>
      </c>
      <c r="F13" s="434">
        <f t="shared" si="2"/>
        <v>81048</v>
      </c>
      <c r="G13" s="239"/>
      <c r="I13" s="459" t="s">
        <v>113</v>
      </c>
      <c r="J13" s="460"/>
      <c r="K13" s="591">
        <f>'JSO (t)'!$BM132</f>
        <v>1074.7507548807</v>
      </c>
      <c r="L13" s="461" t="e">
        <f t="shared" si="0"/>
        <v>#DIV/0!</v>
      </c>
      <c r="M13" s="457" t="e">
        <f t="shared" si="1"/>
        <v>#DIV/0!</v>
      </c>
    </row>
    <row r="14" spans="1:13" x14ac:dyDescent="0.25">
      <c r="B14" s="307" t="s">
        <v>346</v>
      </c>
      <c r="C14" s="290" t="s">
        <v>187</v>
      </c>
      <c r="D14" s="553">
        <f>-'[10]7-JSO O&amp;U'!$E$30</f>
        <v>14958.821870529169</v>
      </c>
      <c r="E14" s="553">
        <f>E34</f>
        <v>14740</v>
      </c>
      <c r="F14" s="553">
        <f>F34</f>
        <v>14740</v>
      </c>
      <c r="G14" s="239"/>
      <c r="I14" s="598" t="s">
        <v>413</v>
      </c>
      <c r="J14" s="599">
        <f>SUM(J9:J13)</f>
        <v>0</v>
      </c>
      <c r="K14" s="599">
        <f>SUM(K9:K13)</f>
        <v>81048.440746880689</v>
      </c>
      <c r="L14" s="461" t="e">
        <f>K14/J14-1</f>
        <v>#DIV/0!</v>
      </c>
      <c r="M14" s="458"/>
    </row>
    <row r="15" spans="1:13" x14ac:dyDescent="0.25">
      <c r="B15" s="307" t="s">
        <v>347</v>
      </c>
      <c r="C15" s="290" t="s">
        <v>187</v>
      </c>
      <c r="D15" s="553">
        <f>-'[10]7-JSO O&amp;U'!$E$31</f>
        <v>67329.981056763398</v>
      </c>
      <c r="E15" s="553">
        <f>E40</f>
        <v>66308</v>
      </c>
      <c r="F15" s="553">
        <f>F40</f>
        <v>66308</v>
      </c>
      <c r="G15" s="239"/>
    </row>
    <row r="16" spans="1:13" x14ac:dyDescent="0.25">
      <c r="B16" s="307"/>
      <c r="C16" s="290"/>
      <c r="D16" s="346"/>
      <c r="E16" s="346"/>
      <c r="F16" s="346"/>
      <c r="G16" s="239"/>
      <c r="I16" s="592" t="s">
        <v>405</v>
      </c>
    </row>
    <row r="17" spans="2:7" x14ac:dyDescent="0.25">
      <c r="B17" s="296"/>
      <c r="C17" s="290"/>
      <c r="D17" s="297"/>
      <c r="E17" s="297"/>
      <c r="F17" s="297"/>
      <c r="G17" s="239"/>
    </row>
    <row r="18" spans="2:7" x14ac:dyDescent="0.25">
      <c r="B18" s="296" t="s">
        <v>439</v>
      </c>
      <c r="C18" s="290" t="s">
        <v>187</v>
      </c>
      <c r="D18" s="297">
        <f>D12-D13</f>
        <v>-6317.136994204935</v>
      </c>
      <c r="E18" s="297">
        <f>E12-E13</f>
        <v>3437.0731049304013</v>
      </c>
      <c r="F18" s="297">
        <f>F12-F13</f>
        <v>0.44074688067485113</v>
      </c>
      <c r="G18" s="239"/>
    </row>
    <row r="19" spans="2:7" x14ac:dyDescent="0.25">
      <c r="B19" s="280"/>
      <c r="C19" s="290"/>
      <c r="D19" s="293"/>
      <c r="E19" s="316"/>
      <c r="F19" s="316"/>
      <c r="G19" s="239"/>
    </row>
    <row r="20" spans="2:7" x14ac:dyDescent="0.25">
      <c r="B20" s="280"/>
      <c r="C20" s="290"/>
      <c r="D20" s="293"/>
      <c r="E20" s="316"/>
      <c r="F20" s="316"/>
      <c r="G20" s="239"/>
    </row>
    <row r="21" spans="2:7" x14ac:dyDescent="0.25">
      <c r="B21" s="317" t="s">
        <v>441</v>
      </c>
      <c r="C21" s="281"/>
      <c r="D21" s="318"/>
      <c r="E21" s="318"/>
      <c r="F21" s="348"/>
      <c r="G21" s="239"/>
    </row>
    <row r="22" spans="2:7" ht="15.75" customHeight="1" x14ac:dyDescent="0.25">
      <c r="B22" s="280" t="s">
        <v>249</v>
      </c>
      <c r="C22" s="298" t="s">
        <v>192</v>
      </c>
      <c r="D22" s="319">
        <f>'Model Update'!F14</f>
        <v>6.1290228084052739E-2</v>
      </c>
      <c r="E22" s="319">
        <f>'Model Update'!F13</f>
        <v>6.0856782764485799E-2</v>
      </c>
      <c r="F22" s="349">
        <f>'Model Update'!L19</f>
        <v>4.3015806950562618E-2</v>
      </c>
      <c r="G22" s="239"/>
    </row>
    <row r="23" spans="2:7" x14ac:dyDescent="0.25">
      <c r="B23" s="280" t="s">
        <v>193</v>
      </c>
      <c r="C23" s="298" t="s">
        <v>187</v>
      </c>
      <c r="D23" s="452">
        <f>[11]JSO!$D$31</f>
        <v>2986.868814140963</v>
      </c>
      <c r="E23" s="299">
        <f>D28</f>
        <v>-3337.9129712582412</v>
      </c>
      <c r="F23" s="350">
        <f>E28</f>
        <v>-0.93442567633638873</v>
      </c>
      <c r="G23" s="239"/>
    </row>
    <row r="24" spans="2:7" x14ac:dyDescent="0.25">
      <c r="B24" s="280" t="s">
        <v>250</v>
      </c>
      <c r="C24" s="298" t="s">
        <v>187</v>
      </c>
      <c r="D24" s="300">
        <f>D23*D22</f>
        <v>183.06587087584376</v>
      </c>
      <c r="E24" s="300">
        <f>E23*E22</f>
        <v>-203.13464457862213</v>
      </c>
      <c r="F24" s="301">
        <f>F23*F22</f>
        <v>-4.0195074502935003E-2</v>
      </c>
      <c r="G24" s="239"/>
    </row>
    <row r="25" spans="2:7" x14ac:dyDescent="0.25">
      <c r="B25" s="280" t="s">
        <v>194</v>
      </c>
      <c r="C25" s="298" t="s">
        <v>187</v>
      </c>
      <c r="D25" s="300">
        <f>D12-D13</f>
        <v>-6317.136994204935</v>
      </c>
      <c r="E25" s="300">
        <f>E12-E13</f>
        <v>3437.0731049304013</v>
      </c>
      <c r="F25" s="300">
        <f>F12-F13</f>
        <v>0.44074688067485113</v>
      </c>
      <c r="G25" s="239"/>
    </row>
    <row r="26" spans="2:7" x14ac:dyDescent="0.25">
      <c r="B26" s="280" t="s">
        <v>251</v>
      </c>
      <c r="C26" s="298" t="s">
        <v>187</v>
      </c>
      <c r="D26" s="300">
        <f>D25*(((1+D22)^0.5)-1)</f>
        <v>-190.71066207011305</v>
      </c>
      <c r="E26" s="300">
        <f>E25*(((1+E22)^0.5)-1)</f>
        <v>103.04008523012561</v>
      </c>
      <c r="F26" s="301">
        <f>F25*(((1+F22)^0.5)-1)</f>
        <v>9.3797341789180321E-3</v>
      </c>
      <c r="G26" s="239"/>
    </row>
    <row r="27" spans="2:7" x14ac:dyDescent="0.25">
      <c r="B27" s="280"/>
      <c r="C27" s="298"/>
      <c r="D27" s="301"/>
      <c r="E27" s="301"/>
      <c r="F27" s="301"/>
      <c r="G27" s="239"/>
    </row>
    <row r="28" spans="2:7" x14ac:dyDescent="0.25">
      <c r="B28" s="302" t="s">
        <v>195</v>
      </c>
      <c r="C28" s="303" t="str">
        <f>C26</f>
        <v>$'000</v>
      </c>
      <c r="D28" s="304">
        <f>SUM(D23:D26)</f>
        <v>-3337.9129712582412</v>
      </c>
      <c r="E28" s="305">
        <f>SUM(E23:E26)</f>
        <v>-0.93442567633638873</v>
      </c>
      <c r="F28" s="305">
        <f>SUM(F23:F26)</f>
        <v>-0.52449413598555461</v>
      </c>
      <c r="G28" s="239"/>
    </row>
    <row r="30" spans="2:7" ht="15.75" x14ac:dyDescent="0.25">
      <c r="B30" s="447" t="s">
        <v>352</v>
      </c>
      <c r="C30" s="435"/>
      <c r="D30" s="436">
        <f>YEAR-2</f>
        <v>2019</v>
      </c>
      <c r="E30" s="436">
        <f>YEAR-1</f>
        <v>2020</v>
      </c>
      <c r="F30" s="437">
        <f>YEAR</f>
        <v>2021</v>
      </c>
    </row>
    <row r="31" spans="2:7" x14ac:dyDescent="0.25">
      <c r="B31" s="438"/>
      <c r="C31" s="2"/>
      <c r="D31" s="124"/>
      <c r="E31" s="124"/>
      <c r="F31" s="439"/>
    </row>
    <row r="32" spans="2:7" x14ac:dyDescent="0.25">
      <c r="B32" s="438" t="s">
        <v>348</v>
      </c>
      <c r="C32" s="74" t="s">
        <v>23</v>
      </c>
      <c r="D32" s="557">
        <f>'[10]31-Customer nos and Demand PV'!$N$69</f>
        <v>33997.32243302084</v>
      </c>
      <c r="E32" s="557">
        <v>33500</v>
      </c>
      <c r="F32" s="440">
        <f>E32</f>
        <v>33500</v>
      </c>
    </row>
    <row r="33" spans="2:6" x14ac:dyDescent="0.25">
      <c r="B33" s="441" t="s">
        <v>349</v>
      </c>
      <c r="C33" s="74" t="s">
        <v>350</v>
      </c>
      <c r="D33" s="554">
        <v>440</v>
      </c>
      <c r="E33" s="554">
        <v>440</v>
      </c>
      <c r="F33" s="555">
        <v>440</v>
      </c>
    </row>
    <row r="34" spans="2:6" x14ac:dyDescent="0.25">
      <c r="B34" s="442" t="s">
        <v>351</v>
      </c>
      <c r="C34" s="448" t="s">
        <v>187</v>
      </c>
      <c r="D34" s="444">
        <f>D32*D33/1000</f>
        <v>14958.821870529169</v>
      </c>
      <c r="E34" s="444">
        <f>E32*E33/1000</f>
        <v>14740</v>
      </c>
      <c r="F34" s="445">
        <f>F32*F33/1000</f>
        <v>14740</v>
      </c>
    </row>
    <row r="35" spans="2:6" x14ac:dyDescent="0.25">
      <c r="B35" s="446"/>
      <c r="C35" s="446"/>
      <c r="D35" s="446"/>
      <c r="E35" s="446"/>
      <c r="F35" s="446"/>
    </row>
    <row r="36" spans="2:6" ht="15.75" x14ac:dyDescent="0.25">
      <c r="B36" s="447" t="s">
        <v>353</v>
      </c>
      <c r="C36" s="435"/>
      <c r="D36" s="436">
        <f>YEAR-2</f>
        <v>2019</v>
      </c>
      <c r="E36" s="436">
        <f>YEAR-1</f>
        <v>2020</v>
      </c>
      <c r="F36" s="437">
        <f>YEAR</f>
        <v>2021</v>
      </c>
    </row>
    <row r="37" spans="2:6" x14ac:dyDescent="0.25">
      <c r="B37" s="438"/>
      <c r="C37" s="2"/>
      <c r="D37" s="124"/>
      <c r="E37" s="124"/>
      <c r="F37" s="439"/>
    </row>
    <row r="38" spans="2:6" x14ac:dyDescent="0.25">
      <c r="B38" s="438" t="s">
        <v>348</v>
      </c>
      <c r="C38" s="74" t="s">
        <v>23</v>
      </c>
      <c r="D38" s="557">
        <f>'[10]31-Customer nos and Demand PV'!$N$70</f>
        <v>153022.68421991682</v>
      </c>
      <c r="E38" s="557">
        <v>150700</v>
      </c>
      <c r="F38" s="556">
        <f>E38</f>
        <v>150700</v>
      </c>
    </row>
    <row r="39" spans="2:6" x14ac:dyDescent="0.25">
      <c r="B39" s="441" t="s">
        <v>349</v>
      </c>
      <c r="C39" s="449" t="s">
        <v>350</v>
      </c>
      <c r="D39" s="554">
        <v>440</v>
      </c>
      <c r="E39" s="554">
        <v>440</v>
      </c>
      <c r="F39" s="555">
        <v>440</v>
      </c>
    </row>
    <row r="40" spans="2:6" x14ac:dyDescent="0.25">
      <c r="B40" s="442" t="s">
        <v>351</v>
      </c>
      <c r="C40" s="443" t="s">
        <v>187</v>
      </c>
      <c r="D40" s="444">
        <f>D38*D39/1000</f>
        <v>67329.981056763398</v>
      </c>
      <c r="E40" s="444">
        <f>E38*E39/1000</f>
        <v>66308</v>
      </c>
      <c r="F40" s="445">
        <f>F38*F39/1000</f>
        <v>66308</v>
      </c>
    </row>
  </sheetData>
  <phoneticPr fontId="26" type="noConversion"/>
  <conditionalFormatting sqref="M14">
    <cfRule type="cellIs" dxfId="39" priority="3" stopIfTrue="1" operator="equal">
      <formula>"YES"</formula>
    </cfRule>
    <cfRule type="cellIs" dxfId="38" priority="4" stopIfTrue="1" operator="equal">
      <formula>"NO"</formula>
    </cfRule>
  </conditionalFormatting>
  <conditionalFormatting sqref="M9:M13">
    <cfRule type="cellIs" dxfId="37" priority="1" stopIfTrue="1" operator="equal">
      <formula>"YES"</formula>
    </cfRule>
    <cfRule type="cellIs" dxfId="36" priority="2" stopIfTrue="1" operator="equal">
      <formula>"NO"</formula>
    </cfRule>
  </conditionalFormatting>
  <pageMargins left="0.7" right="0.7" top="0.75" bottom="0.75" header="0.3" footer="0.3"/>
  <pageSetup paperSize="9" orientation="portrait" r:id="rId1"/>
  <customProperties>
    <customPr name="_pios_id" r:id="rId2"/>
  </customProperties>
  <ignoredErrors>
    <ignoredError sqref="D17:F21 E13:F13 E15:F15 E14:F14 D24:F28 E23:F23 D22:E22" unlockedFormula="1"/>
    <ignoredError sqref="L14:M14 L9:L13" evalError="1"/>
    <ignoredError sqref="M9:M13" evalError="1"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368E-96EE-4A42-9146-D704A48B3784}">
  <sheetPr codeName="Sheet3"/>
  <dimension ref="A1:BR449"/>
  <sheetViews>
    <sheetView showGridLines="0" zoomScale="90" zoomScaleNormal="90" workbookViewId="0">
      <pane xSplit="4" ySplit="15" topLeftCell="AY58" activePane="bottomRight" state="frozenSplit"/>
      <selection activeCell="E67" sqref="E67"/>
      <selection pane="topRight" activeCell="E67" sqref="E67"/>
      <selection pane="bottomLeft" activeCell="E67" sqref="E67"/>
      <selection pane="bottomRight" activeCell="C79" sqref="C79"/>
    </sheetView>
  </sheetViews>
  <sheetFormatPr defaultRowHeight="15" x14ac:dyDescent="0.25"/>
  <cols>
    <col min="1" max="1" width="1.5703125" style="128" customWidth="1"/>
    <col min="2" max="2" width="6.85546875" style="128" customWidth="1"/>
    <col min="3" max="4" width="14.28515625" style="128" customWidth="1"/>
    <col min="5" max="5" width="48.42578125" style="128" bestFit="1" customWidth="1"/>
    <col min="6" max="6" width="3.7109375" style="128" customWidth="1"/>
    <col min="7" max="22" width="13.140625" style="128" customWidth="1"/>
    <col min="23" max="23" width="9.140625" style="128"/>
    <col min="24" max="39" width="13.140625" style="128" customWidth="1"/>
    <col min="40" max="40" width="3.85546875" style="128" customWidth="1"/>
    <col min="41" max="56" width="13.140625" style="128" customWidth="1"/>
    <col min="57" max="58" width="13.140625" style="126" customWidth="1"/>
    <col min="59" max="16384" width="9.140625" style="128"/>
  </cols>
  <sheetData>
    <row r="1" spans="2:69" ht="24" customHeight="1" x14ac:dyDescent="0.35">
      <c r="B1" s="1" t="str">
        <f>'Model Update'!D5</f>
        <v>SA Power Networks</v>
      </c>
      <c r="C1" s="141"/>
      <c r="D1" s="141"/>
      <c r="G1" s="1" t="s">
        <v>11</v>
      </c>
      <c r="X1" s="140"/>
      <c r="AO1" s="140"/>
    </row>
    <row r="2" spans="2:69" ht="21.75" customHeight="1" x14ac:dyDescent="0.3">
      <c r="B2" s="123" t="s">
        <v>12</v>
      </c>
      <c r="C2" s="141"/>
      <c r="D2" s="141"/>
      <c r="H2" s="142" t="s">
        <v>13</v>
      </c>
      <c r="I2" s="142"/>
      <c r="J2" s="142"/>
      <c r="K2" s="142"/>
      <c r="Y2" s="142"/>
      <c r="Z2" s="142"/>
      <c r="AA2" s="142"/>
      <c r="AB2" s="142"/>
      <c r="AP2" s="142"/>
      <c r="AQ2" s="142"/>
      <c r="AR2" s="142"/>
      <c r="AS2" s="142"/>
    </row>
    <row r="3" spans="2:69" ht="18" hidden="1" customHeight="1" x14ac:dyDescent="0.25">
      <c r="B3" s="143"/>
      <c r="C3" s="141"/>
      <c r="D3" s="141"/>
      <c r="H3" s="142"/>
      <c r="I3" s="142"/>
      <c r="J3" s="142"/>
      <c r="K3" s="142"/>
      <c r="Y3" s="142"/>
      <c r="Z3" s="142"/>
      <c r="AA3" s="142"/>
      <c r="AB3" s="142"/>
      <c r="AP3" s="142"/>
      <c r="AQ3" s="142"/>
      <c r="AR3" s="142"/>
      <c r="AS3" s="142"/>
    </row>
    <row r="4" spans="2:69" ht="18" hidden="1" customHeight="1" x14ac:dyDescent="0.25">
      <c r="B4" s="143"/>
      <c r="C4" s="141"/>
      <c r="D4" s="141"/>
      <c r="H4" s="142"/>
      <c r="I4" s="142"/>
      <c r="J4" s="142"/>
      <c r="K4" s="142"/>
      <c r="Y4" s="142"/>
      <c r="Z4" s="142"/>
      <c r="AA4" s="142"/>
      <c r="AB4" s="142"/>
      <c r="AP4" s="142"/>
      <c r="AQ4" s="142"/>
      <c r="AR4" s="142"/>
      <c r="AS4" s="142"/>
    </row>
    <row r="5" spans="2:69" ht="12.75" customHeight="1" x14ac:dyDescent="0.25">
      <c r="B5" s="143"/>
      <c r="C5" s="141"/>
      <c r="D5" s="141"/>
      <c r="H5" s="142"/>
      <c r="I5" s="142"/>
      <c r="J5" s="142"/>
      <c r="K5" s="142"/>
      <c r="Y5" s="142"/>
      <c r="Z5" s="142"/>
      <c r="AA5" s="142"/>
      <c r="AB5" s="142"/>
      <c r="AP5" s="142"/>
      <c r="AQ5" s="142"/>
      <c r="AR5" s="142"/>
      <c r="AS5" s="142"/>
      <c r="BE5" s="251">
        <f>X5/$BE$7</f>
        <v>0</v>
      </c>
      <c r="BF5" s="252">
        <f t="shared" ref="BF5" si="0">SUM(AP5:AW5)</f>
        <v>0</v>
      </c>
    </row>
    <row r="6" spans="2:69" ht="12.75" customHeight="1" x14ac:dyDescent="0.25">
      <c r="B6" s="143"/>
      <c r="C6" s="141"/>
      <c r="D6" s="141"/>
      <c r="I6" s="142"/>
      <c r="J6" s="142"/>
      <c r="K6" s="142"/>
      <c r="Z6" s="142"/>
      <c r="AA6" s="142"/>
      <c r="AB6" s="142"/>
      <c r="AQ6" s="142"/>
      <c r="AR6" s="142"/>
      <c r="AS6" s="142"/>
    </row>
    <row r="7" spans="2:69" ht="18.75" x14ac:dyDescent="0.3">
      <c r="B7" s="7" t="str">
        <f>"Information for financial year ending 30 June "&amp;'Model Update'!C12</f>
        <v>Information for financial year ending 30 June 2021</v>
      </c>
      <c r="C7" s="141"/>
      <c r="D7" s="141"/>
      <c r="G7" s="128">
        <v>365</v>
      </c>
      <c r="H7" s="828">
        <f>0.0001/H18</f>
        <v>1.0834236186348864E-3</v>
      </c>
      <c r="I7" s="142"/>
      <c r="J7" s="142"/>
      <c r="K7" s="142"/>
      <c r="Y7" s="142"/>
      <c r="Z7" s="142"/>
      <c r="AA7" s="142"/>
      <c r="AB7" s="142"/>
      <c r="AP7" s="142"/>
      <c r="AQ7" s="142"/>
      <c r="AR7" s="142"/>
      <c r="AS7" s="142"/>
      <c r="BE7" s="258">
        <f>Days_Year</f>
        <v>365</v>
      </c>
    </row>
    <row r="8" spans="2:69" x14ac:dyDescent="0.25">
      <c r="B8" s="143"/>
      <c r="C8" s="141"/>
      <c r="D8" s="141"/>
    </row>
    <row r="9" spans="2:69" x14ac:dyDescent="0.25">
      <c r="B9" s="143"/>
      <c r="C9" s="141"/>
      <c r="D9" s="141"/>
      <c r="G9" s="850" t="s">
        <v>14</v>
      </c>
      <c r="H9" s="850"/>
      <c r="I9" s="850"/>
      <c r="J9" s="850"/>
      <c r="K9" s="850"/>
      <c r="L9" s="850"/>
      <c r="M9" s="850"/>
      <c r="N9" s="850"/>
      <c r="O9" s="850"/>
      <c r="P9" s="850"/>
      <c r="Q9" s="850"/>
      <c r="R9" s="850"/>
      <c r="S9" s="850"/>
      <c r="T9" s="850"/>
      <c r="U9" s="850"/>
      <c r="V9" s="861"/>
      <c r="X9" s="862" t="s">
        <v>15</v>
      </c>
      <c r="Y9" s="862"/>
      <c r="Z9" s="862"/>
      <c r="AA9" s="862"/>
      <c r="AB9" s="862"/>
      <c r="AC9" s="862"/>
      <c r="AD9" s="862"/>
      <c r="AE9" s="862"/>
      <c r="AF9" s="862"/>
      <c r="AG9" s="862"/>
      <c r="AH9" s="862"/>
      <c r="AI9" s="862"/>
      <c r="AJ9" s="862"/>
      <c r="AK9" s="862"/>
      <c r="AL9" s="862"/>
      <c r="AM9" s="863"/>
      <c r="AO9" s="850" t="s">
        <v>619</v>
      </c>
      <c r="AP9" s="850"/>
      <c r="AQ9" s="850"/>
      <c r="AR9" s="850"/>
      <c r="AS9" s="850"/>
      <c r="AT9" s="850"/>
      <c r="AU9" s="850"/>
      <c r="AV9" s="850"/>
      <c r="AW9" s="850"/>
      <c r="AX9" s="850"/>
      <c r="AY9" s="850"/>
      <c r="AZ9" s="850"/>
      <c r="BA9" s="850"/>
      <c r="BB9" s="850"/>
      <c r="BC9" s="850"/>
      <c r="BD9" s="850"/>
      <c r="BE9" s="850"/>
      <c r="BF9" s="850"/>
    </row>
    <row r="10" spans="2:69" x14ac:dyDescent="0.25">
      <c r="E10" s="144"/>
      <c r="V10" s="145"/>
      <c r="AM10" s="145"/>
    </row>
    <row r="11" spans="2:69" ht="15" customHeight="1" x14ac:dyDescent="0.25">
      <c r="B11" s="146" t="s">
        <v>16</v>
      </c>
      <c r="C11" s="147"/>
      <c r="D11" s="147"/>
      <c r="E11" s="148"/>
      <c r="G11" s="149">
        <f>'Model Update'!C12</f>
        <v>2021</v>
      </c>
      <c r="H11" s="150">
        <f>$G$11</f>
        <v>2021</v>
      </c>
      <c r="I11" s="147"/>
      <c r="J11" s="151"/>
      <c r="K11" s="152"/>
      <c r="L11" s="150">
        <f>$G$11</f>
        <v>2021</v>
      </c>
      <c r="M11" s="153"/>
      <c r="N11" s="153"/>
      <c r="O11" s="152"/>
      <c r="P11" s="150">
        <f>$G$11</f>
        <v>2021</v>
      </c>
      <c r="Q11" s="147"/>
      <c r="R11" s="151"/>
      <c r="S11" s="150">
        <f>$G$11</f>
        <v>2021</v>
      </c>
      <c r="T11" s="154"/>
      <c r="U11" s="150">
        <f>$G$11</f>
        <v>2021</v>
      </c>
      <c r="V11" s="148"/>
      <c r="X11" s="150">
        <f>$G$11</f>
        <v>2021</v>
      </c>
      <c r="Y11" s="150">
        <f>$G$11</f>
        <v>2021</v>
      </c>
      <c r="Z11" s="147"/>
      <c r="AA11" s="151"/>
      <c r="AB11" s="152"/>
      <c r="AC11" s="150">
        <f>$G$11</f>
        <v>2021</v>
      </c>
      <c r="AD11" s="153"/>
      <c r="AE11" s="153"/>
      <c r="AF11" s="152"/>
      <c r="AG11" s="150">
        <f>$G$11</f>
        <v>2021</v>
      </c>
      <c r="AH11" s="147"/>
      <c r="AI11" s="151"/>
      <c r="AJ11" s="150">
        <f>$G$11</f>
        <v>2021</v>
      </c>
      <c r="AK11" s="154"/>
      <c r="AL11" s="150">
        <f>$G$11</f>
        <v>2021</v>
      </c>
      <c r="AM11" s="148"/>
      <c r="AO11" s="150">
        <f>$G$11</f>
        <v>2021</v>
      </c>
      <c r="AP11" s="150">
        <f>$G$11</f>
        <v>2021</v>
      </c>
      <c r="AQ11" s="147"/>
      <c r="AR11" s="151"/>
      <c r="AS11" s="152"/>
      <c r="AT11" s="150">
        <f>$G$11</f>
        <v>2021</v>
      </c>
      <c r="AU11" s="153"/>
      <c r="AV11" s="153"/>
      <c r="AW11" s="152"/>
      <c r="AX11" s="150">
        <f>$G$11</f>
        <v>2021</v>
      </c>
      <c r="AY11" s="147"/>
      <c r="AZ11" s="151"/>
      <c r="BA11" s="150">
        <f>$G$11</f>
        <v>2021</v>
      </c>
      <c r="BB11" s="154"/>
      <c r="BC11" s="150">
        <f>$G$11</f>
        <v>2021</v>
      </c>
      <c r="BD11" s="148"/>
      <c r="BE11" s="851" t="s">
        <v>17</v>
      </c>
      <c r="BF11" s="852"/>
      <c r="BH11" s="853" t="s">
        <v>615</v>
      </c>
      <c r="BI11" s="854"/>
      <c r="BJ11" s="854"/>
      <c r="BK11" s="854"/>
      <c r="BL11" s="854"/>
      <c r="BM11" s="855"/>
    </row>
    <row r="12" spans="2:69" ht="15" customHeight="1" x14ac:dyDescent="0.25">
      <c r="B12" s="155"/>
      <c r="E12" s="145"/>
      <c r="G12" s="156" t="s">
        <v>18</v>
      </c>
      <c r="H12" s="157" t="s">
        <v>19</v>
      </c>
      <c r="J12" s="129"/>
      <c r="K12" s="158"/>
      <c r="L12" s="157" t="s">
        <v>20</v>
      </c>
      <c r="M12" s="135"/>
      <c r="N12" s="135"/>
      <c r="O12" s="158"/>
      <c r="P12" s="856" t="s">
        <v>21</v>
      </c>
      <c r="Q12" s="857"/>
      <c r="R12" s="858"/>
      <c r="S12" s="859" t="s">
        <v>662</v>
      </c>
      <c r="T12" s="860"/>
      <c r="U12" s="856" t="s">
        <v>663</v>
      </c>
      <c r="V12" s="858"/>
      <c r="X12" s="156" t="s">
        <v>22</v>
      </c>
      <c r="Y12" s="157" t="s">
        <v>19</v>
      </c>
      <c r="AA12" s="129"/>
      <c r="AB12" s="158"/>
      <c r="AC12" s="157" t="s">
        <v>20</v>
      </c>
      <c r="AD12" s="135"/>
      <c r="AE12" s="135"/>
      <c r="AF12" s="158"/>
      <c r="AG12" s="856" t="s">
        <v>21</v>
      </c>
      <c r="AH12" s="857"/>
      <c r="AI12" s="858"/>
      <c r="AJ12" s="859" t="s">
        <v>662</v>
      </c>
      <c r="AK12" s="860"/>
      <c r="AL12" s="856" t="s">
        <v>663</v>
      </c>
      <c r="AM12" s="858"/>
      <c r="AO12" s="156" t="s">
        <v>22</v>
      </c>
      <c r="AP12" s="157" t="s">
        <v>19</v>
      </c>
      <c r="AR12" s="129"/>
      <c r="AS12" s="158"/>
      <c r="AT12" s="157" t="s">
        <v>20</v>
      </c>
      <c r="AU12" s="135"/>
      <c r="AV12" s="135"/>
      <c r="AW12" s="158"/>
      <c r="AX12" s="856" t="s">
        <v>21</v>
      </c>
      <c r="AY12" s="857"/>
      <c r="AZ12" s="858"/>
      <c r="BA12" s="859" t="s">
        <v>662</v>
      </c>
      <c r="BB12" s="860"/>
      <c r="BC12" s="856" t="s">
        <v>663</v>
      </c>
      <c r="BD12" s="858"/>
      <c r="BE12" s="770" t="s">
        <v>204</v>
      </c>
      <c r="BF12" s="243" t="s">
        <v>23</v>
      </c>
      <c r="BH12" s="239"/>
      <c r="BI12" s="240"/>
      <c r="BJ12" s="240"/>
      <c r="BK12" s="240"/>
      <c r="BL12" s="240"/>
      <c r="BM12" s="145"/>
    </row>
    <row r="13" spans="2:69" ht="15" customHeight="1" x14ac:dyDescent="0.25">
      <c r="B13" s="155"/>
      <c r="E13" s="145"/>
      <c r="G13" s="156"/>
      <c r="H13" s="160" t="s">
        <v>23</v>
      </c>
      <c r="I13" s="129" t="s">
        <v>23</v>
      </c>
      <c r="J13" s="129" t="s">
        <v>23</v>
      </c>
      <c r="K13" s="158" t="s">
        <v>23</v>
      </c>
      <c r="L13" s="160" t="s">
        <v>23</v>
      </c>
      <c r="M13" s="129" t="s">
        <v>23</v>
      </c>
      <c r="N13" s="129" t="s">
        <v>23</v>
      </c>
      <c r="O13" s="158" t="s">
        <v>23</v>
      </c>
      <c r="P13" s="129" t="s">
        <v>24</v>
      </c>
      <c r="Q13" s="128" t="s">
        <v>24</v>
      </c>
      <c r="R13" s="159" t="s">
        <v>24</v>
      </c>
      <c r="S13" s="129" t="s">
        <v>24</v>
      </c>
      <c r="T13" s="159" t="s">
        <v>24</v>
      </c>
      <c r="U13" s="160" t="s">
        <v>25</v>
      </c>
      <c r="V13" s="158" t="s">
        <v>25</v>
      </c>
      <c r="X13" s="156"/>
      <c r="Y13" s="160" t="s">
        <v>23</v>
      </c>
      <c r="Z13" s="129" t="s">
        <v>23</v>
      </c>
      <c r="AA13" s="129" t="s">
        <v>23</v>
      </c>
      <c r="AB13" s="158" t="s">
        <v>23</v>
      </c>
      <c r="AC13" s="160" t="s">
        <v>23</v>
      </c>
      <c r="AD13" s="129" t="s">
        <v>23</v>
      </c>
      <c r="AE13" s="129" t="s">
        <v>23</v>
      </c>
      <c r="AF13" s="158" t="s">
        <v>23</v>
      </c>
      <c r="AG13" s="129" t="s">
        <v>24</v>
      </c>
      <c r="AH13" s="128" t="s">
        <v>24</v>
      </c>
      <c r="AI13" s="159" t="s">
        <v>24</v>
      </c>
      <c r="AJ13" s="129" t="s">
        <v>24</v>
      </c>
      <c r="AK13" s="159" t="s">
        <v>24</v>
      </c>
      <c r="AL13" s="160" t="s">
        <v>25</v>
      </c>
      <c r="AM13" s="158" t="s">
        <v>25</v>
      </c>
      <c r="AO13" s="156"/>
      <c r="AP13" s="160" t="s">
        <v>23</v>
      </c>
      <c r="AQ13" s="129" t="s">
        <v>23</v>
      </c>
      <c r="AR13" s="129" t="s">
        <v>23</v>
      </c>
      <c r="AS13" s="158" t="s">
        <v>23</v>
      </c>
      <c r="AT13" s="160" t="s">
        <v>23</v>
      </c>
      <c r="AU13" s="129" t="s">
        <v>23</v>
      </c>
      <c r="AV13" s="129" t="s">
        <v>23</v>
      </c>
      <c r="AW13" s="158" t="s">
        <v>23</v>
      </c>
      <c r="AX13" s="129" t="s">
        <v>24</v>
      </c>
      <c r="AY13" s="128" t="s">
        <v>24</v>
      </c>
      <c r="AZ13" s="159" t="s">
        <v>24</v>
      </c>
      <c r="BA13" s="129" t="s">
        <v>24</v>
      </c>
      <c r="BB13" s="159" t="s">
        <v>24</v>
      </c>
      <c r="BC13" s="160" t="s">
        <v>25</v>
      </c>
      <c r="BD13" s="158" t="s">
        <v>25</v>
      </c>
      <c r="BE13" s="780"/>
      <c r="BF13" s="243"/>
      <c r="BH13" s="241" t="s">
        <v>206</v>
      </c>
      <c r="BI13" s="242" t="s">
        <v>23</v>
      </c>
      <c r="BJ13" s="242" t="s">
        <v>23</v>
      </c>
      <c r="BK13" s="242" t="s">
        <v>210</v>
      </c>
      <c r="BL13" s="242" t="s">
        <v>211</v>
      </c>
      <c r="BM13" s="243" t="s">
        <v>212</v>
      </c>
      <c r="BO13" s="680" t="s">
        <v>620</v>
      </c>
      <c r="BQ13" s="126" t="s">
        <v>259</v>
      </c>
    </row>
    <row r="14" spans="2:69" s="129" customFormat="1" ht="15" customHeight="1" x14ac:dyDescent="0.25">
      <c r="B14" s="156" t="s">
        <v>26</v>
      </c>
      <c r="C14" s="129" t="s">
        <v>27</v>
      </c>
      <c r="D14" s="129" t="s">
        <v>27</v>
      </c>
      <c r="E14" s="158" t="s">
        <v>28</v>
      </c>
      <c r="F14" s="128"/>
      <c r="G14" s="156" t="s">
        <v>29</v>
      </c>
      <c r="H14" s="160" t="s">
        <v>30</v>
      </c>
      <c r="I14" s="129" t="s">
        <v>31</v>
      </c>
      <c r="J14" s="129" t="s">
        <v>32</v>
      </c>
      <c r="K14" s="158" t="s">
        <v>33</v>
      </c>
      <c r="L14" s="160" t="s">
        <v>30</v>
      </c>
      <c r="M14" s="129" t="s">
        <v>31</v>
      </c>
      <c r="N14" s="129" t="s">
        <v>32</v>
      </c>
      <c r="O14" s="158" t="s">
        <v>33</v>
      </c>
      <c r="P14" s="160"/>
      <c r="S14" s="160"/>
      <c r="T14" s="158"/>
      <c r="U14" s="160" t="s">
        <v>34</v>
      </c>
      <c r="V14" s="158"/>
      <c r="X14" s="156" t="s">
        <v>29</v>
      </c>
      <c r="Y14" s="160" t="s">
        <v>30</v>
      </c>
      <c r="Z14" s="129" t="s">
        <v>31</v>
      </c>
      <c r="AA14" s="129" t="s">
        <v>32</v>
      </c>
      <c r="AB14" s="158" t="s">
        <v>33</v>
      </c>
      <c r="AC14" s="160" t="s">
        <v>30</v>
      </c>
      <c r="AD14" s="129" t="s">
        <v>31</v>
      </c>
      <c r="AE14" s="129" t="s">
        <v>32</v>
      </c>
      <c r="AF14" s="158" t="s">
        <v>33</v>
      </c>
      <c r="AG14" s="160"/>
      <c r="AJ14" s="160"/>
      <c r="AK14" s="158"/>
      <c r="AL14" s="160" t="s">
        <v>34</v>
      </c>
      <c r="AM14" s="158"/>
      <c r="AO14" s="156" t="s">
        <v>29</v>
      </c>
      <c r="AP14" s="160" t="s">
        <v>30</v>
      </c>
      <c r="AQ14" s="129" t="s">
        <v>31</v>
      </c>
      <c r="AR14" s="129" t="s">
        <v>32</v>
      </c>
      <c r="AS14" s="158" t="s">
        <v>33</v>
      </c>
      <c r="AT14" s="160" t="s">
        <v>30</v>
      </c>
      <c r="AU14" s="129" t="s">
        <v>31</v>
      </c>
      <c r="AV14" s="129" t="s">
        <v>32</v>
      </c>
      <c r="AW14" s="158" t="s">
        <v>33</v>
      </c>
      <c r="AX14" s="160"/>
      <c r="BA14" s="160"/>
      <c r="BB14" s="158"/>
      <c r="BC14" s="160" t="s">
        <v>34</v>
      </c>
      <c r="BD14" s="158"/>
      <c r="BE14" s="770" t="s">
        <v>22</v>
      </c>
      <c r="BF14" s="243" t="s">
        <v>35</v>
      </c>
      <c r="BH14" s="241" t="s">
        <v>207</v>
      </c>
      <c r="BI14" s="242" t="s">
        <v>208</v>
      </c>
      <c r="BJ14" s="242" t="s">
        <v>209</v>
      </c>
      <c r="BK14" s="242"/>
      <c r="BL14" s="242"/>
      <c r="BM14" s="243"/>
    </row>
    <row r="15" spans="2:69" s="129" customFormat="1" ht="15" customHeight="1" x14ac:dyDescent="0.25">
      <c r="B15" s="162"/>
      <c r="C15" s="163" t="s">
        <v>36</v>
      </c>
      <c r="D15" s="163" t="s">
        <v>37</v>
      </c>
      <c r="E15" s="164" t="s">
        <v>38</v>
      </c>
      <c r="F15" s="128"/>
      <c r="G15" s="162" t="s">
        <v>29</v>
      </c>
      <c r="H15" s="165" t="s">
        <v>30</v>
      </c>
      <c r="I15" s="163" t="s">
        <v>31</v>
      </c>
      <c r="J15" s="163" t="s">
        <v>39</v>
      </c>
      <c r="K15" s="164" t="s">
        <v>32</v>
      </c>
      <c r="L15" s="165" t="s">
        <v>30</v>
      </c>
      <c r="M15" s="163"/>
      <c r="N15" s="163"/>
      <c r="O15" s="164"/>
      <c r="P15" s="165" t="s">
        <v>40</v>
      </c>
      <c r="Q15" s="163" t="s">
        <v>666</v>
      </c>
      <c r="R15" s="163" t="s">
        <v>667</v>
      </c>
      <c r="S15" s="165" t="s">
        <v>665</v>
      </c>
      <c r="T15" s="164" t="s">
        <v>664</v>
      </c>
      <c r="U15" s="165" t="s">
        <v>34</v>
      </c>
      <c r="V15" s="166" t="s">
        <v>664</v>
      </c>
      <c r="X15" s="162" t="s">
        <v>29</v>
      </c>
      <c r="Y15" s="165" t="s">
        <v>30</v>
      </c>
      <c r="Z15" s="163" t="s">
        <v>31</v>
      </c>
      <c r="AA15" s="163" t="s">
        <v>39</v>
      </c>
      <c r="AB15" s="164" t="s">
        <v>32</v>
      </c>
      <c r="AC15" s="165" t="s">
        <v>30</v>
      </c>
      <c r="AD15" s="163"/>
      <c r="AE15" s="163"/>
      <c r="AF15" s="164"/>
      <c r="AG15" s="165" t="s">
        <v>40</v>
      </c>
      <c r="AH15" s="163" t="s">
        <v>666</v>
      </c>
      <c r="AI15" s="163" t="s">
        <v>667</v>
      </c>
      <c r="AJ15" s="165" t="s">
        <v>665</v>
      </c>
      <c r="AK15" s="164" t="s">
        <v>664</v>
      </c>
      <c r="AL15" s="165" t="s">
        <v>34</v>
      </c>
      <c r="AM15" s="166" t="s">
        <v>664</v>
      </c>
      <c r="AO15" s="162" t="s">
        <v>29</v>
      </c>
      <c r="AP15" s="165" t="s">
        <v>30</v>
      </c>
      <c r="AQ15" s="163" t="s">
        <v>31</v>
      </c>
      <c r="AR15" s="163" t="s">
        <v>39</v>
      </c>
      <c r="AS15" s="164" t="s">
        <v>32</v>
      </c>
      <c r="AT15" s="165" t="s">
        <v>30</v>
      </c>
      <c r="AU15" s="163"/>
      <c r="AV15" s="163"/>
      <c r="AW15" s="164"/>
      <c r="AX15" s="165" t="s">
        <v>40</v>
      </c>
      <c r="AY15" s="163" t="s">
        <v>666</v>
      </c>
      <c r="AZ15" s="163" t="s">
        <v>667</v>
      </c>
      <c r="BA15" s="165" t="s">
        <v>665</v>
      </c>
      <c r="BB15" s="164" t="s">
        <v>664</v>
      </c>
      <c r="BC15" s="165" t="s">
        <v>34</v>
      </c>
      <c r="BD15" s="166" t="s">
        <v>664</v>
      </c>
      <c r="BE15" s="781" t="s">
        <v>22</v>
      </c>
      <c r="BF15" s="248" t="s">
        <v>35</v>
      </c>
      <c r="BH15" s="160"/>
      <c r="BI15" s="244"/>
      <c r="BJ15" s="244"/>
      <c r="BK15" s="244"/>
      <c r="BL15" s="244"/>
      <c r="BM15" s="158"/>
    </row>
    <row r="16" spans="2:69" ht="15" customHeight="1" x14ac:dyDescent="0.25">
      <c r="B16" s="167" t="s">
        <v>41</v>
      </c>
      <c r="C16" s="151" t="s">
        <v>42</v>
      </c>
      <c r="D16" s="147"/>
      <c r="E16" s="148"/>
      <c r="G16" s="463"/>
      <c r="H16" s="464"/>
      <c r="I16" s="465"/>
      <c r="J16" s="465"/>
      <c r="K16" s="466"/>
      <c r="L16" s="465"/>
      <c r="M16" s="465"/>
      <c r="N16" s="465"/>
      <c r="O16" s="466"/>
      <c r="P16" s="464"/>
      <c r="Q16" s="465"/>
      <c r="R16" s="466"/>
      <c r="S16" s="464"/>
      <c r="T16" s="465"/>
      <c r="U16" s="464"/>
      <c r="V16" s="466"/>
      <c r="X16" s="168">
        <f>'Q (t)'!G16</f>
        <v>0</v>
      </c>
      <c r="Y16" s="169">
        <f>'Q (t)'!H16</f>
        <v>0</v>
      </c>
      <c r="Z16" s="170">
        <f>'Q (t)'!I16</f>
        <v>0</v>
      </c>
      <c r="AA16" s="170">
        <f>'Q (t)'!J16</f>
        <v>0</v>
      </c>
      <c r="AB16" s="171">
        <f>'Q (t)'!K16</f>
        <v>0</v>
      </c>
      <c r="AC16" s="170">
        <f>'Q (t)'!L16</f>
        <v>0</v>
      </c>
      <c r="AD16" s="170">
        <f>'Q (t)'!M16</f>
        <v>0</v>
      </c>
      <c r="AE16" s="170">
        <f>'Q (t)'!N16</f>
        <v>0</v>
      </c>
      <c r="AF16" s="171">
        <f>'Q (t)'!O16</f>
        <v>0</v>
      </c>
      <c r="AG16" s="169">
        <f>'Q (t)'!P16</f>
        <v>0</v>
      </c>
      <c r="AH16" s="170">
        <f>'Q (t)'!Q16</f>
        <v>0</v>
      </c>
      <c r="AI16" s="171">
        <f>'Q (t)'!R16</f>
        <v>0</v>
      </c>
      <c r="AJ16" s="169">
        <f>'Q (t)'!S16</f>
        <v>0</v>
      </c>
      <c r="AK16" s="170">
        <f>'Q (t)'!T16</f>
        <v>0</v>
      </c>
      <c r="AL16" s="169">
        <f>'Q (t)'!U16</f>
        <v>0</v>
      </c>
      <c r="AM16" s="171">
        <f>'Q (t)'!V16</f>
        <v>0</v>
      </c>
      <c r="AO16" s="168">
        <f>G16*X16/1000</f>
        <v>0</v>
      </c>
      <c r="AP16" s="169">
        <f t="shared" ref="AP16:AW33" si="1">H16*Y16</f>
        <v>0</v>
      </c>
      <c r="AQ16" s="170">
        <f t="shared" si="1"/>
        <v>0</v>
      </c>
      <c r="AR16" s="170">
        <f t="shared" si="1"/>
        <v>0</v>
      </c>
      <c r="AS16" s="171">
        <f t="shared" si="1"/>
        <v>0</v>
      </c>
      <c r="AT16" s="170">
        <f t="shared" si="1"/>
        <v>0</v>
      </c>
      <c r="AU16" s="170">
        <f t="shared" si="1"/>
        <v>0</v>
      </c>
      <c r="AV16" s="170">
        <f t="shared" si="1"/>
        <v>0</v>
      </c>
      <c r="AW16" s="171">
        <f t="shared" si="1"/>
        <v>0</v>
      </c>
      <c r="AX16" s="169">
        <f t="shared" ref="AX16:AX76" si="2">P16*AG16/1000</f>
        <v>0</v>
      </c>
      <c r="AY16" s="170">
        <f t="shared" ref="AY16:AY76" si="3">Q16*AH16/1000</f>
        <v>0</v>
      </c>
      <c r="AZ16" s="171">
        <f t="shared" ref="AZ16:AZ76" si="4">R16*AI16/1000</f>
        <v>0</v>
      </c>
      <c r="BA16" s="169">
        <f t="shared" ref="BA16:BA76" si="5">S16*AJ16/1000</f>
        <v>0</v>
      </c>
      <c r="BB16" s="170">
        <f t="shared" ref="BB16:BB76" si="6">T16*AK16/1000</f>
        <v>0</v>
      </c>
      <c r="BC16" s="169">
        <f t="shared" ref="BC16:BC76" si="7">U16*AL16/1000</f>
        <v>0</v>
      </c>
      <c r="BD16" s="170">
        <f t="shared" ref="BD16:BD76" si="8">V16*AM16/1000</f>
        <v>0</v>
      </c>
      <c r="BE16" s="249">
        <f>X16/$BE$7</f>
        <v>0</v>
      </c>
      <c r="BF16" s="250">
        <f>SUM(AP16:AW16)</f>
        <v>0</v>
      </c>
      <c r="BH16" s="260">
        <f>SUBTOTAL(9,BH17:BH25)</f>
        <v>123766.23538600001</v>
      </c>
      <c r="BI16" s="260">
        <f>SUBTOTAL(9,BI17:BI25)</f>
        <v>291729.81</v>
      </c>
      <c r="BJ16" s="260">
        <f>SUBTOTAL(9,BJ17:BJ25)</f>
        <v>21254.309999999998</v>
      </c>
      <c r="BK16" s="260">
        <f>SUBTOTAL(9,BK17:BK25)</f>
        <v>0</v>
      </c>
      <c r="BL16" s="260">
        <f>SUBTOTAL(9,BL17:BL25)</f>
        <v>899.12639999999999</v>
      </c>
      <c r="BM16" s="261">
        <f>SUM(BH16:BL16)</f>
        <v>437649.48178600002</v>
      </c>
      <c r="BO16" s="732" t="str">
        <f>IF(BF16=0,"",BM16*1000/BF16)</f>
        <v/>
      </c>
    </row>
    <row r="17" spans="2:67" ht="15" customHeight="1" x14ac:dyDescent="0.25">
      <c r="B17" s="172"/>
      <c r="C17" s="126" t="s">
        <v>43</v>
      </c>
      <c r="D17" s="173"/>
      <c r="E17" s="145"/>
      <c r="G17" s="467"/>
      <c r="H17" s="468"/>
      <c r="I17" s="469"/>
      <c r="J17" s="469"/>
      <c r="K17" s="470"/>
      <c r="L17" s="471"/>
      <c r="M17" s="471"/>
      <c r="N17" s="471"/>
      <c r="O17" s="472"/>
      <c r="P17" s="468"/>
      <c r="Q17" s="469"/>
      <c r="R17" s="470"/>
      <c r="S17" s="468"/>
      <c r="T17" s="469"/>
      <c r="U17" s="468"/>
      <c r="V17" s="470"/>
      <c r="X17" s="174">
        <f>'Q (t)'!G17</f>
        <v>0</v>
      </c>
      <c r="Y17" s="175">
        <f>'Q (t)'!H17</f>
        <v>0</v>
      </c>
      <c r="Z17" s="176">
        <f>'Q (t)'!I17</f>
        <v>0</v>
      </c>
      <c r="AA17" s="176">
        <f>'Q (t)'!J17</f>
        <v>0</v>
      </c>
      <c r="AB17" s="177">
        <f>'Q (t)'!K17</f>
        <v>0</v>
      </c>
      <c r="AC17" s="178">
        <f>'Q (t)'!L17</f>
        <v>0</v>
      </c>
      <c r="AD17" s="178">
        <f>'Q (t)'!M17</f>
        <v>0</v>
      </c>
      <c r="AE17" s="178">
        <f>'Q (t)'!N17</f>
        <v>0</v>
      </c>
      <c r="AF17" s="179">
        <f>'Q (t)'!O17</f>
        <v>0</v>
      </c>
      <c r="AG17" s="175">
        <f>'Q (t)'!P17</f>
        <v>0</v>
      </c>
      <c r="AH17" s="176">
        <f>'Q (t)'!Q17</f>
        <v>0</v>
      </c>
      <c r="AI17" s="177">
        <f>'Q (t)'!R17</f>
        <v>0</v>
      </c>
      <c r="AJ17" s="175">
        <f>'Q (t)'!S17</f>
        <v>0</v>
      </c>
      <c r="AK17" s="176">
        <f>'Q (t)'!T17</f>
        <v>0</v>
      </c>
      <c r="AL17" s="175">
        <f>'Q (t)'!U17</f>
        <v>0</v>
      </c>
      <c r="AM17" s="177">
        <f>'Q (t)'!V17</f>
        <v>0</v>
      </c>
      <c r="AO17" s="174">
        <f t="shared" ref="AO17:AO77" si="9">G17*X17/1000</f>
        <v>0</v>
      </c>
      <c r="AP17" s="175">
        <f t="shared" si="1"/>
        <v>0</v>
      </c>
      <c r="AQ17" s="176">
        <f t="shared" si="1"/>
        <v>0</v>
      </c>
      <c r="AR17" s="176">
        <f t="shared" si="1"/>
        <v>0</v>
      </c>
      <c r="AS17" s="177">
        <f t="shared" si="1"/>
        <v>0</v>
      </c>
      <c r="AT17" s="178">
        <f t="shared" si="1"/>
        <v>0</v>
      </c>
      <c r="AU17" s="178">
        <f t="shared" si="1"/>
        <v>0</v>
      </c>
      <c r="AV17" s="178">
        <f t="shared" si="1"/>
        <v>0</v>
      </c>
      <c r="AW17" s="179">
        <f t="shared" si="1"/>
        <v>0</v>
      </c>
      <c r="AX17" s="175">
        <f t="shared" si="2"/>
        <v>0</v>
      </c>
      <c r="AY17" s="176">
        <f t="shared" si="3"/>
        <v>0</v>
      </c>
      <c r="AZ17" s="177">
        <f t="shared" si="4"/>
        <v>0</v>
      </c>
      <c r="BA17" s="175">
        <f t="shared" si="5"/>
        <v>0</v>
      </c>
      <c r="BB17" s="176">
        <f t="shared" si="6"/>
        <v>0</v>
      </c>
      <c r="BC17" s="175">
        <f t="shared" si="7"/>
        <v>0</v>
      </c>
      <c r="BD17" s="176">
        <f t="shared" si="8"/>
        <v>0</v>
      </c>
      <c r="BE17" s="251">
        <f t="shared" ref="BE17:BE77" si="10">X17/$BE$7</f>
        <v>0</v>
      </c>
      <c r="BF17" s="252">
        <f t="shared" ref="BF17:BF49" si="11">SUM(Y17:AF17)</f>
        <v>0</v>
      </c>
      <c r="BH17" s="259">
        <f>SUBTOTAL(9,BH18:BH19)</f>
        <v>103118.6358325</v>
      </c>
      <c r="BI17" s="259">
        <f>SUBTOTAL(9,BI18:BI19)</f>
        <v>245314.93999999997</v>
      </c>
      <c r="BJ17" s="259">
        <f>SUBTOTAL(9,BJ18:BJ19)</f>
        <v>16705.919999999998</v>
      </c>
      <c r="BK17" s="267">
        <f>SUBTOTAL(9,BK18:BK19)</f>
        <v>0</v>
      </c>
      <c r="BL17" s="268">
        <f>SUBTOTAL(9,BL18:BL19)</f>
        <v>0</v>
      </c>
      <c r="BM17" s="264">
        <f>SUM(BH17:BL17)</f>
        <v>365139.49583249999</v>
      </c>
      <c r="BO17" s="732" t="str">
        <f t="shared" ref="BO17:BO77" si="12">IF(BF17=0,"",BM17*1000/BF17)</f>
        <v/>
      </c>
    </row>
    <row r="18" spans="2:67" ht="15" customHeight="1" x14ac:dyDescent="0.25">
      <c r="B18" s="156">
        <v>1</v>
      </c>
      <c r="C18" s="180" t="s">
        <v>44</v>
      </c>
      <c r="D18" s="181" t="str">
        <f>C18</f>
        <v>RSR</v>
      </c>
      <c r="E18" s="182" t="s">
        <v>669</v>
      </c>
      <c r="G18" s="473">
        <v>0.42470000000000002</v>
      </c>
      <c r="H18" s="474">
        <v>9.2299999999999993E-2</v>
      </c>
      <c r="I18" s="469"/>
      <c r="J18" s="469"/>
      <c r="K18" s="470"/>
      <c r="L18" s="471"/>
      <c r="M18" s="422"/>
      <c r="N18" s="422"/>
      <c r="O18" s="423"/>
      <c r="P18" s="468"/>
      <c r="Q18" s="469"/>
      <c r="R18" s="470"/>
      <c r="S18" s="468"/>
      <c r="T18" s="469"/>
      <c r="U18" s="468"/>
      <c r="V18" s="470"/>
      <c r="X18" s="183">
        <f>'Q (t)'!G18</f>
        <v>242803475</v>
      </c>
      <c r="Y18" s="184">
        <f>'Q (t)'!H18</f>
        <v>2657800</v>
      </c>
      <c r="Z18" s="176">
        <f>'Q (t)'!I18</f>
        <v>0</v>
      </c>
      <c r="AA18" s="176">
        <f>'Q (t)'!J18</f>
        <v>0</v>
      </c>
      <c r="AB18" s="177">
        <f>'Q (t)'!K18</f>
        <v>0</v>
      </c>
      <c r="AC18" s="178">
        <f>'Q (t)'!L18</f>
        <v>0</v>
      </c>
      <c r="AD18" s="185">
        <f>'Q (t)'!M18</f>
        <v>0</v>
      </c>
      <c r="AE18" s="185">
        <f>'Q (t)'!N18</f>
        <v>0</v>
      </c>
      <c r="AF18" s="186">
        <f>'Q (t)'!O18</f>
        <v>0</v>
      </c>
      <c r="AG18" s="175">
        <f>'Q (t)'!P18</f>
        <v>0</v>
      </c>
      <c r="AH18" s="176">
        <f>'Q (t)'!Q18</f>
        <v>0</v>
      </c>
      <c r="AI18" s="177">
        <f>'Q (t)'!R18</f>
        <v>0</v>
      </c>
      <c r="AJ18" s="175">
        <f>'Q (t)'!S18</f>
        <v>0</v>
      </c>
      <c r="AK18" s="176">
        <f>'Q (t)'!T18</f>
        <v>0</v>
      </c>
      <c r="AL18" s="175">
        <f>'Q (t)'!U18</f>
        <v>0</v>
      </c>
      <c r="AM18" s="177">
        <f>'Q (t)'!V18</f>
        <v>0</v>
      </c>
      <c r="AO18" s="183">
        <f t="shared" si="9"/>
        <v>103118.6358325</v>
      </c>
      <c r="AP18" s="184">
        <f t="shared" si="1"/>
        <v>245314.93999999997</v>
      </c>
      <c r="AQ18" s="176">
        <f t="shared" si="1"/>
        <v>0</v>
      </c>
      <c r="AR18" s="176">
        <f t="shared" si="1"/>
        <v>0</v>
      </c>
      <c r="AS18" s="177">
        <f t="shared" si="1"/>
        <v>0</v>
      </c>
      <c r="AT18" s="178">
        <f t="shared" si="1"/>
        <v>0</v>
      </c>
      <c r="AU18" s="185">
        <f t="shared" si="1"/>
        <v>0</v>
      </c>
      <c r="AV18" s="185">
        <f t="shared" si="1"/>
        <v>0</v>
      </c>
      <c r="AW18" s="186">
        <f t="shared" si="1"/>
        <v>0</v>
      </c>
      <c r="AX18" s="175">
        <f t="shared" si="2"/>
        <v>0</v>
      </c>
      <c r="AY18" s="176">
        <f t="shared" si="3"/>
        <v>0</v>
      </c>
      <c r="AZ18" s="177">
        <f t="shared" si="4"/>
        <v>0</v>
      </c>
      <c r="BA18" s="175">
        <f t="shared" si="5"/>
        <v>0</v>
      </c>
      <c r="BB18" s="176">
        <f t="shared" si="6"/>
        <v>0</v>
      </c>
      <c r="BC18" s="175">
        <f t="shared" si="7"/>
        <v>0</v>
      </c>
      <c r="BD18" s="176">
        <f t="shared" si="8"/>
        <v>0</v>
      </c>
      <c r="BE18" s="251">
        <f t="shared" si="10"/>
        <v>665215</v>
      </c>
      <c r="BF18" s="252">
        <f t="shared" si="11"/>
        <v>2657800</v>
      </c>
      <c r="BH18" s="262">
        <f>SUM(AO18)</f>
        <v>103118.6358325</v>
      </c>
      <c r="BI18" s="262">
        <f>SUM(AP18:AS18)</f>
        <v>245314.93999999997</v>
      </c>
      <c r="BJ18" s="262">
        <f>SUM(AT18:AW18)</f>
        <v>0</v>
      </c>
      <c r="BK18" s="263">
        <f>SUM(AX18:BB18)</f>
        <v>0</v>
      </c>
      <c r="BL18" s="269">
        <f>SUM(BC18:BD18)</f>
        <v>0</v>
      </c>
      <c r="BM18" s="264">
        <f t="shared" ref="BM18:BM77" si="13">SUM(BH18:BL18)</f>
        <v>348433.57583250001</v>
      </c>
      <c r="BO18" s="732">
        <f t="shared" si="12"/>
        <v>131.09849342783505</v>
      </c>
    </row>
    <row r="19" spans="2:67" ht="15" customHeight="1" x14ac:dyDescent="0.25">
      <c r="B19" s="156">
        <f>B18+1</f>
        <v>2</v>
      </c>
      <c r="C19" s="180" t="s">
        <v>671</v>
      </c>
      <c r="D19" s="181" t="str">
        <f>C19</f>
        <v>RSROPCL</v>
      </c>
      <c r="E19" s="182" t="s">
        <v>47</v>
      </c>
      <c r="G19" s="473">
        <f>G18</f>
        <v>0.42470000000000002</v>
      </c>
      <c r="H19" s="474">
        <f>H18</f>
        <v>9.2299999999999993E-2</v>
      </c>
      <c r="I19" s="469"/>
      <c r="J19" s="469"/>
      <c r="K19" s="470"/>
      <c r="L19" s="475">
        <v>4.6199999999999998E-2</v>
      </c>
      <c r="M19" s="422"/>
      <c r="N19" s="422"/>
      <c r="O19" s="423"/>
      <c r="P19" s="468"/>
      <c r="Q19" s="469"/>
      <c r="R19" s="470"/>
      <c r="S19" s="468"/>
      <c r="T19" s="469"/>
      <c r="U19" s="468"/>
      <c r="V19" s="470"/>
      <c r="X19" s="183">
        <f>'Q (t)'!G19</f>
        <v>0</v>
      </c>
      <c r="Y19" s="184">
        <f>'Q (t)'!H19</f>
        <v>0</v>
      </c>
      <c r="Z19" s="176">
        <f>'Q (t)'!I19</f>
        <v>0</v>
      </c>
      <c r="AA19" s="176">
        <f>'Q (t)'!J19</f>
        <v>0</v>
      </c>
      <c r="AB19" s="177">
        <f>'Q (t)'!K19</f>
        <v>0</v>
      </c>
      <c r="AC19" s="178">
        <f>'Q (t)'!L19</f>
        <v>361600</v>
      </c>
      <c r="AD19" s="185">
        <f>'Q (t)'!M19</f>
        <v>0</v>
      </c>
      <c r="AE19" s="185">
        <f>'Q (t)'!N19</f>
        <v>0</v>
      </c>
      <c r="AF19" s="186">
        <f>'Q (t)'!O19</f>
        <v>0</v>
      </c>
      <c r="AG19" s="175">
        <f>'Q (t)'!P19</f>
        <v>0</v>
      </c>
      <c r="AH19" s="176">
        <f>'Q (t)'!Q19</f>
        <v>0</v>
      </c>
      <c r="AI19" s="177">
        <f>'Q (t)'!R19</f>
        <v>0</v>
      </c>
      <c r="AJ19" s="175">
        <f>'Q (t)'!S19</f>
        <v>0</v>
      </c>
      <c r="AK19" s="176">
        <f>'Q (t)'!T19</f>
        <v>0</v>
      </c>
      <c r="AL19" s="175">
        <f>'Q (t)'!U19</f>
        <v>0</v>
      </c>
      <c r="AM19" s="177">
        <f>'Q (t)'!V19</f>
        <v>0</v>
      </c>
      <c r="AO19" s="183">
        <f t="shared" si="9"/>
        <v>0</v>
      </c>
      <c r="AP19" s="184">
        <f t="shared" si="1"/>
        <v>0</v>
      </c>
      <c r="AQ19" s="176">
        <f t="shared" si="1"/>
        <v>0</v>
      </c>
      <c r="AR19" s="176">
        <f t="shared" si="1"/>
        <v>0</v>
      </c>
      <c r="AS19" s="177">
        <f t="shared" si="1"/>
        <v>0</v>
      </c>
      <c r="AT19" s="178">
        <f t="shared" si="1"/>
        <v>16705.919999999998</v>
      </c>
      <c r="AU19" s="185">
        <f t="shared" si="1"/>
        <v>0</v>
      </c>
      <c r="AV19" s="185">
        <f t="shared" si="1"/>
        <v>0</v>
      </c>
      <c r="AW19" s="186">
        <f t="shared" si="1"/>
        <v>0</v>
      </c>
      <c r="AX19" s="175">
        <f t="shared" si="2"/>
        <v>0</v>
      </c>
      <c r="AY19" s="176">
        <f t="shared" si="3"/>
        <v>0</v>
      </c>
      <c r="AZ19" s="177">
        <f t="shared" si="4"/>
        <v>0</v>
      </c>
      <c r="BA19" s="175">
        <f t="shared" si="5"/>
        <v>0</v>
      </c>
      <c r="BB19" s="176">
        <f t="shared" si="6"/>
        <v>0</v>
      </c>
      <c r="BC19" s="175">
        <f t="shared" si="7"/>
        <v>0</v>
      </c>
      <c r="BD19" s="176">
        <f t="shared" si="8"/>
        <v>0</v>
      </c>
      <c r="BE19" s="251">
        <f t="shared" si="10"/>
        <v>0</v>
      </c>
      <c r="BF19" s="252">
        <f t="shared" si="11"/>
        <v>361600</v>
      </c>
      <c r="BH19" s="262">
        <f>SUM(AO19)</f>
        <v>0</v>
      </c>
      <c r="BI19" s="262">
        <f>SUM(AP19:AS19)</f>
        <v>0</v>
      </c>
      <c r="BJ19" s="262">
        <f>SUM(AT19:AW19)</f>
        <v>16705.919999999998</v>
      </c>
      <c r="BK19" s="263">
        <f>SUM(AX19:BB19)</f>
        <v>0</v>
      </c>
      <c r="BL19" s="269">
        <f>SUM(BC19:BD19)</f>
        <v>0</v>
      </c>
      <c r="BM19" s="264">
        <f t="shared" si="13"/>
        <v>16705.919999999998</v>
      </c>
      <c r="BO19" s="732">
        <f t="shared" si="12"/>
        <v>46.199999999999996</v>
      </c>
    </row>
    <row r="20" spans="2:67" ht="15" customHeight="1" x14ac:dyDescent="0.25">
      <c r="B20" s="172"/>
      <c r="C20" s="126" t="s">
        <v>48</v>
      </c>
      <c r="D20" s="173"/>
      <c r="E20" s="145"/>
      <c r="G20" s="467"/>
      <c r="H20" s="468"/>
      <c r="I20" s="469"/>
      <c r="J20" s="469"/>
      <c r="K20" s="470"/>
      <c r="L20" s="469"/>
      <c r="M20" s="469"/>
      <c r="N20" s="469"/>
      <c r="O20" s="470"/>
      <c r="P20" s="468"/>
      <c r="Q20" s="469"/>
      <c r="R20" s="470"/>
      <c r="S20" s="468"/>
      <c r="T20" s="469"/>
      <c r="U20" s="468"/>
      <c r="V20" s="470"/>
      <c r="X20" s="174">
        <f>'Q (t)'!G20</f>
        <v>0</v>
      </c>
      <c r="Y20" s="175">
        <f>'Q (t)'!H20</f>
        <v>0</v>
      </c>
      <c r="Z20" s="176">
        <f>'Q (t)'!I20</f>
        <v>0</v>
      </c>
      <c r="AA20" s="176">
        <f>'Q (t)'!J20</f>
        <v>0</v>
      </c>
      <c r="AB20" s="177">
        <f>'Q (t)'!K20</f>
        <v>0</v>
      </c>
      <c r="AC20" s="176">
        <f>'Q (t)'!L20</f>
        <v>0</v>
      </c>
      <c r="AD20" s="176">
        <f>'Q (t)'!M20</f>
        <v>0</v>
      </c>
      <c r="AE20" s="176">
        <f>'Q (t)'!N20</f>
        <v>0</v>
      </c>
      <c r="AF20" s="177">
        <f>'Q (t)'!O20</f>
        <v>0</v>
      </c>
      <c r="AG20" s="175">
        <f>'Q (t)'!P20</f>
        <v>0</v>
      </c>
      <c r="AH20" s="176">
        <f>'Q (t)'!Q20</f>
        <v>0</v>
      </c>
      <c r="AI20" s="177">
        <f>'Q (t)'!R20</f>
        <v>0</v>
      </c>
      <c r="AJ20" s="175">
        <f>'Q (t)'!S20</f>
        <v>0</v>
      </c>
      <c r="AK20" s="176">
        <f>'Q (t)'!T20</f>
        <v>0</v>
      </c>
      <c r="AL20" s="175">
        <f>'Q (t)'!U20</f>
        <v>0</v>
      </c>
      <c r="AM20" s="177">
        <f>'Q (t)'!V20</f>
        <v>0</v>
      </c>
      <c r="AO20" s="174">
        <f t="shared" si="9"/>
        <v>0</v>
      </c>
      <c r="AP20" s="175">
        <f t="shared" si="1"/>
        <v>0</v>
      </c>
      <c r="AQ20" s="176">
        <f t="shared" si="1"/>
        <v>0</v>
      </c>
      <c r="AR20" s="176">
        <f t="shared" si="1"/>
        <v>0</v>
      </c>
      <c r="AS20" s="177">
        <f t="shared" si="1"/>
        <v>0</v>
      </c>
      <c r="AT20" s="176">
        <f t="shared" si="1"/>
        <v>0</v>
      </c>
      <c r="AU20" s="176">
        <f t="shared" si="1"/>
        <v>0</v>
      </c>
      <c r="AV20" s="176">
        <f t="shared" si="1"/>
        <v>0</v>
      </c>
      <c r="AW20" s="177">
        <f t="shared" si="1"/>
        <v>0</v>
      </c>
      <c r="AX20" s="175">
        <f t="shared" si="2"/>
        <v>0</v>
      </c>
      <c r="AY20" s="176">
        <f t="shared" si="3"/>
        <v>0</v>
      </c>
      <c r="AZ20" s="177">
        <f t="shared" si="4"/>
        <v>0</v>
      </c>
      <c r="BA20" s="175">
        <f t="shared" si="5"/>
        <v>0</v>
      </c>
      <c r="BB20" s="176">
        <f t="shared" si="6"/>
        <v>0</v>
      </c>
      <c r="BC20" s="175">
        <f t="shared" si="7"/>
        <v>0</v>
      </c>
      <c r="BD20" s="176">
        <f t="shared" si="8"/>
        <v>0</v>
      </c>
      <c r="BE20" s="251">
        <f t="shared" si="10"/>
        <v>0</v>
      </c>
      <c r="BF20" s="252">
        <f t="shared" si="11"/>
        <v>0</v>
      </c>
      <c r="BH20" s="259">
        <f>SUBTOTAL(9,BH21:BH25)</f>
        <v>20647.599553500004</v>
      </c>
      <c r="BI20" s="259">
        <f t="shared" ref="BI20:BL20" si="14">SUBTOTAL(9,BI21:BI25)</f>
        <v>46414.869999999995</v>
      </c>
      <c r="BJ20" s="259">
        <f t="shared" si="14"/>
        <v>4548.3900000000003</v>
      </c>
      <c r="BK20" s="259">
        <f t="shared" si="14"/>
        <v>0</v>
      </c>
      <c r="BL20" s="259">
        <f t="shared" si="14"/>
        <v>899.12639999999999</v>
      </c>
      <c r="BM20" s="264">
        <f>SUM(BH20:BL20)</f>
        <v>72509.9859535</v>
      </c>
      <c r="BO20" s="732" t="str">
        <f t="shared" si="12"/>
        <v/>
      </c>
    </row>
    <row r="21" spans="2:67" ht="15" customHeight="1" x14ac:dyDescent="0.25">
      <c r="B21" s="156">
        <f>B19+1</f>
        <v>3</v>
      </c>
      <c r="C21" s="180" t="s">
        <v>46</v>
      </c>
      <c r="D21" s="181" t="s">
        <v>46</v>
      </c>
      <c r="E21" s="182" t="s">
        <v>670</v>
      </c>
      <c r="G21" s="473">
        <f>G18</f>
        <v>0.42470000000000002</v>
      </c>
      <c r="H21" s="777">
        <f>H18</f>
        <v>9.2299999999999993E-2</v>
      </c>
      <c r="I21" s="469"/>
      <c r="J21" s="469"/>
      <c r="K21" s="470"/>
      <c r="L21" s="422"/>
      <c r="M21" s="778">
        <f>M23</f>
        <v>0.1154</v>
      </c>
      <c r="N21" s="778">
        <f t="shared" ref="N21:O21" si="15">N23</f>
        <v>4.6199999999999998E-2</v>
      </c>
      <c r="O21" s="779">
        <f t="shared" si="15"/>
        <v>2.3099999999999999E-2</v>
      </c>
      <c r="P21" s="468"/>
      <c r="Q21" s="469"/>
      <c r="R21" s="470"/>
      <c r="S21" s="468"/>
      <c r="T21" s="469"/>
      <c r="U21" s="468"/>
      <c r="V21" s="470"/>
      <c r="X21" s="183">
        <f>'Q (t)'!G21</f>
        <v>0</v>
      </c>
      <c r="Y21" s="175">
        <f>'Q (t)'!H21</f>
        <v>0</v>
      </c>
      <c r="Z21" s="178">
        <f>'Q (t)'!I21</f>
        <v>0</v>
      </c>
      <c r="AA21" s="178">
        <f>'Q (t)'!J21</f>
        <v>0</v>
      </c>
      <c r="AB21" s="179">
        <f>'Q (t)'!K21</f>
        <v>0</v>
      </c>
      <c r="AC21" s="185">
        <f>'Q (t)'!L21</f>
        <v>0</v>
      </c>
      <c r="AD21" s="185">
        <f>'Q (t)'!M21</f>
        <v>0</v>
      </c>
      <c r="AE21" s="185">
        <f>'Q (t)'!N21</f>
        <v>0</v>
      </c>
      <c r="AF21" s="186">
        <f>'Q (t)'!O21</f>
        <v>0</v>
      </c>
      <c r="AG21" s="175">
        <f>'Q (t)'!P21</f>
        <v>0</v>
      </c>
      <c r="AH21" s="176">
        <f>'Q (t)'!Q21</f>
        <v>0</v>
      </c>
      <c r="AI21" s="177">
        <f>'Q (t)'!R21</f>
        <v>0</v>
      </c>
      <c r="AJ21" s="175">
        <f>'Q (t)'!S21</f>
        <v>0</v>
      </c>
      <c r="AK21" s="176">
        <f>'Q (t)'!T21</f>
        <v>0</v>
      </c>
      <c r="AL21" s="175">
        <f>'Q (t)'!U21</f>
        <v>0</v>
      </c>
      <c r="AM21" s="177">
        <f>'Q (t)'!V21</f>
        <v>0</v>
      </c>
      <c r="AO21" s="183">
        <f t="shared" ref="AO21" si="16">G21*X21/1000</f>
        <v>0</v>
      </c>
      <c r="AP21" s="175">
        <f t="shared" ref="AP21" si="17">H21*Y21</f>
        <v>0</v>
      </c>
      <c r="AQ21" s="178">
        <f t="shared" ref="AQ21" si="18">I21*Z21</f>
        <v>0</v>
      </c>
      <c r="AR21" s="178">
        <f t="shared" ref="AR21" si="19">J21*AA21</f>
        <v>0</v>
      </c>
      <c r="AS21" s="179">
        <f t="shared" ref="AS21" si="20">K21*AB21</f>
        <v>0</v>
      </c>
      <c r="AT21" s="185">
        <f t="shared" ref="AT21" si="21">L21*AC21</f>
        <v>0</v>
      </c>
      <c r="AU21" s="185">
        <f t="shared" ref="AU21" si="22">M21*AD21</f>
        <v>0</v>
      </c>
      <c r="AV21" s="185">
        <f t="shared" ref="AV21" si="23">N21*AE21</f>
        <v>0</v>
      </c>
      <c r="AW21" s="186">
        <f t="shared" ref="AW21" si="24">O21*AF21</f>
        <v>0</v>
      </c>
      <c r="AX21" s="175">
        <f t="shared" ref="AX21" si="25">P21*AG21/1000</f>
        <v>0</v>
      </c>
      <c r="AY21" s="176">
        <f t="shared" ref="AY21" si="26">Q21*AH21/1000</f>
        <v>0</v>
      </c>
      <c r="AZ21" s="177">
        <f t="shared" ref="AZ21" si="27">R21*AI21/1000</f>
        <v>0</v>
      </c>
      <c r="BA21" s="175">
        <f t="shared" ref="BA21" si="28">S21*AJ21/1000</f>
        <v>0</v>
      </c>
      <c r="BB21" s="176">
        <f t="shared" ref="BB21" si="29">T21*AK21/1000</f>
        <v>0</v>
      </c>
      <c r="BC21" s="175">
        <f t="shared" ref="BC21" si="30">U21*AL21/1000</f>
        <v>0</v>
      </c>
      <c r="BD21" s="176">
        <f t="shared" ref="BD21" si="31">V21*AM21/1000</f>
        <v>0</v>
      </c>
      <c r="BE21" s="251">
        <f t="shared" ref="BE21" si="32">X21/$BE$7</f>
        <v>0</v>
      </c>
      <c r="BF21" s="252">
        <f t="shared" ref="BF21" si="33">SUM(Y21:AF21)</f>
        <v>0</v>
      </c>
      <c r="BH21" s="262">
        <f>SUM(AO21)</f>
        <v>0</v>
      </c>
      <c r="BI21" s="262">
        <f>SUM(AP21:AS21)</f>
        <v>0</v>
      </c>
      <c r="BJ21" s="262">
        <f>SUM(AT21:AW21)</f>
        <v>0</v>
      </c>
      <c r="BK21" s="263">
        <f>SUM(AX21:BB21)</f>
        <v>0</v>
      </c>
      <c r="BL21" s="269">
        <f>SUM(BC21:BD21)</f>
        <v>0</v>
      </c>
      <c r="BM21" s="264">
        <f t="shared" ref="BM21" si="34">SUM(BH21:BL21)</f>
        <v>0</v>
      </c>
      <c r="BO21" s="732" t="str">
        <f t="shared" ref="BO21" si="35">IF(BF21=0,"",BM21*1000/BF21)</f>
        <v/>
      </c>
    </row>
    <row r="22" spans="2:67" ht="15" customHeight="1" x14ac:dyDescent="0.25">
      <c r="B22" s="156">
        <f>B21+1</f>
        <v>4</v>
      </c>
      <c r="C22" s="180" t="s">
        <v>49</v>
      </c>
      <c r="D22" s="181" t="str">
        <f t="shared" ref="D22:D25" si="36">C22</f>
        <v>RTOU</v>
      </c>
      <c r="E22" s="182" t="s">
        <v>50</v>
      </c>
      <c r="G22" s="473">
        <v>0.42470000000000002</v>
      </c>
      <c r="H22" s="468"/>
      <c r="I22" s="475">
        <v>0.1154</v>
      </c>
      <c r="J22" s="475">
        <v>4.6199999999999998E-2</v>
      </c>
      <c r="K22" s="476">
        <v>2.3099999999999999E-2</v>
      </c>
      <c r="L22" s="422"/>
      <c r="M22" s="422"/>
      <c r="N22" s="422"/>
      <c r="O22" s="423"/>
      <c r="P22" s="468"/>
      <c r="Q22" s="469"/>
      <c r="R22" s="470"/>
      <c r="S22" s="468"/>
      <c r="T22" s="469"/>
      <c r="U22" s="468"/>
      <c r="V22" s="470"/>
      <c r="X22" s="183">
        <f>'Q (t)'!G22</f>
        <v>47156905</v>
      </c>
      <c r="Y22" s="175">
        <f>'Q (t)'!H22</f>
        <v>0</v>
      </c>
      <c r="Z22" s="178">
        <f>'Q (t)'!I22</f>
        <v>352600</v>
      </c>
      <c r="AA22" s="178">
        <f>'Q (t)'!J22</f>
        <v>67700</v>
      </c>
      <c r="AB22" s="179">
        <f>'Q (t)'!K22</f>
        <v>104400</v>
      </c>
      <c r="AC22" s="185">
        <f>'Q (t)'!L22</f>
        <v>0</v>
      </c>
      <c r="AD22" s="185">
        <f>'Q (t)'!M22</f>
        <v>0</v>
      </c>
      <c r="AE22" s="185">
        <f>'Q (t)'!N22</f>
        <v>0</v>
      </c>
      <c r="AF22" s="186">
        <f>'Q (t)'!O22</f>
        <v>0</v>
      </c>
      <c r="AG22" s="175">
        <f>'Q (t)'!P22</f>
        <v>0</v>
      </c>
      <c r="AH22" s="176">
        <f>'Q (t)'!Q22</f>
        <v>0</v>
      </c>
      <c r="AI22" s="177">
        <f>'Q (t)'!R22</f>
        <v>0</v>
      </c>
      <c r="AJ22" s="175">
        <f>'Q (t)'!S22</f>
        <v>0</v>
      </c>
      <c r="AK22" s="176">
        <f>'Q (t)'!T22</f>
        <v>0</v>
      </c>
      <c r="AL22" s="175">
        <f>'Q (t)'!U22</f>
        <v>0</v>
      </c>
      <c r="AM22" s="177">
        <f>'Q (t)'!V22</f>
        <v>0</v>
      </c>
      <c r="AO22" s="183">
        <f t="shared" si="9"/>
        <v>20027.537553500002</v>
      </c>
      <c r="AP22" s="175">
        <f t="shared" si="1"/>
        <v>0</v>
      </c>
      <c r="AQ22" s="178">
        <f t="shared" si="1"/>
        <v>40690.04</v>
      </c>
      <c r="AR22" s="178">
        <f t="shared" si="1"/>
        <v>3127.74</v>
      </c>
      <c r="AS22" s="179">
        <f t="shared" si="1"/>
        <v>2411.64</v>
      </c>
      <c r="AT22" s="185">
        <f t="shared" si="1"/>
        <v>0</v>
      </c>
      <c r="AU22" s="185">
        <f t="shared" si="1"/>
        <v>0</v>
      </c>
      <c r="AV22" s="185">
        <f t="shared" si="1"/>
        <v>0</v>
      </c>
      <c r="AW22" s="186">
        <f t="shared" si="1"/>
        <v>0</v>
      </c>
      <c r="AX22" s="175">
        <f t="shared" si="2"/>
        <v>0</v>
      </c>
      <c r="AY22" s="176">
        <f t="shared" si="3"/>
        <v>0</v>
      </c>
      <c r="AZ22" s="177">
        <f t="shared" si="4"/>
        <v>0</v>
      </c>
      <c r="BA22" s="175">
        <f t="shared" si="5"/>
        <v>0</v>
      </c>
      <c r="BB22" s="176">
        <f t="shared" si="6"/>
        <v>0</v>
      </c>
      <c r="BC22" s="175">
        <f t="shared" si="7"/>
        <v>0</v>
      </c>
      <c r="BD22" s="176">
        <f t="shared" si="8"/>
        <v>0</v>
      </c>
      <c r="BE22" s="251">
        <f t="shared" si="10"/>
        <v>129197</v>
      </c>
      <c r="BF22" s="252">
        <f t="shared" si="11"/>
        <v>524700</v>
      </c>
      <c r="BH22" s="262">
        <f>SUM(AO22)</f>
        <v>20027.537553500002</v>
      </c>
      <c r="BI22" s="262">
        <f>SUM(AP22:AS22)</f>
        <v>46229.42</v>
      </c>
      <c r="BJ22" s="262">
        <f>SUM(AT22:AW22)</f>
        <v>0</v>
      </c>
      <c r="BK22" s="263">
        <f>SUM(AX22:BB22)</f>
        <v>0</v>
      </c>
      <c r="BL22" s="269">
        <f>SUM(BC22:BD22)</f>
        <v>0</v>
      </c>
      <c r="BM22" s="264">
        <f t="shared" si="13"/>
        <v>66256.957553500004</v>
      </c>
      <c r="BO22" s="732">
        <f t="shared" si="12"/>
        <v>126.27588632266058</v>
      </c>
    </row>
    <row r="23" spans="2:67" ht="15" customHeight="1" x14ac:dyDescent="0.25">
      <c r="B23" s="156">
        <f t="shared" ref="B23:B25" si="37">B22+1</f>
        <v>5</v>
      </c>
      <c r="C23" s="180" t="s">
        <v>51</v>
      </c>
      <c r="D23" s="181" t="str">
        <f t="shared" si="36"/>
        <v>RTOUCL</v>
      </c>
      <c r="E23" s="182" t="s">
        <v>52</v>
      </c>
      <c r="G23" s="473">
        <f>G22</f>
        <v>0.42470000000000002</v>
      </c>
      <c r="H23" s="468"/>
      <c r="I23" s="475">
        <f>I22</f>
        <v>0.1154</v>
      </c>
      <c r="J23" s="475">
        <f>J22</f>
        <v>4.6199999999999998E-2</v>
      </c>
      <c r="K23" s="476">
        <f>K22</f>
        <v>2.3099999999999999E-2</v>
      </c>
      <c r="L23" s="422"/>
      <c r="M23" s="475">
        <v>0.1154</v>
      </c>
      <c r="N23" s="475">
        <v>4.6199999999999998E-2</v>
      </c>
      <c r="O23" s="475">
        <v>2.3099999999999999E-2</v>
      </c>
      <c r="P23" s="468"/>
      <c r="Q23" s="469"/>
      <c r="R23" s="470"/>
      <c r="S23" s="468"/>
      <c r="T23" s="469"/>
      <c r="U23" s="468"/>
      <c r="V23" s="470"/>
      <c r="X23" s="183">
        <f>'Q (t)'!G23</f>
        <v>0</v>
      </c>
      <c r="Y23" s="175">
        <f>'Q (t)'!H23</f>
        <v>0</v>
      </c>
      <c r="Z23" s="178">
        <f>'Q (t)'!I23</f>
        <v>0</v>
      </c>
      <c r="AA23" s="178">
        <f>'Q (t)'!J23</f>
        <v>0</v>
      </c>
      <c r="AB23" s="179">
        <f>'Q (t)'!K23</f>
        <v>0</v>
      </c>
      <c r="AC23" s="185">
        <f>'Q (t)'!L23</f>
        <v>0</v>
      </c>
      <c r="AD23" s="178">
        <f>'Q (t)'!M23</f>
        <v>0</v>
      </c>
      <c r="AE23" s="178">
        <f>'Q (t)'!N23</f>
        <v>87500</v>
      </c>
      <c r="AF23" s="178">
        <f>'Q (t)'!O23</f>
        <v>21900</v>
      </c>
      <c r="AG23" s="175">
        <f>'Q (t)'!P23</f>
        <v>0</v>
      </c>
      <c r="AH23" s="176">
        <f>'Q (t)'!Q23</f>
        <v>0</v>
      </c>
      <c r="AI23" s="177">
        <f>'Q (t)'!R23</f>
        <v>0</v>
      </c>
      <c r="AJ23" s="175">
        <f>'Q (t)'!S23</f>
        <v>0</v>
      </c>
      <c r="AK23" s="176">
        <f>'Q (t)'!T23</f>
        <v>0</v>
      </c>
      <c r="AL23" s="175">
        <f>'Q (t)'!U23</f>
        <v>0</v>
      </c>
      <c r="AM23" s="177">
        <f>'Q (t)'!V23</f>
        <v>0</v>
      </c>
      <c r="AO23" s="183">
        <f t="shared" si="9"/>
        <v>0</v>
      </c>
      <c r="AP23" s="175">
        <f t="shared" si="1"/>
        <v>0</v>
      </c>
      <c r="AQ23" s="178">
        <f t="shared" si="1"/>
        <v>0</v>
      </c>
      <c r="AR23" s="178">
        <f t="shared" si="1"/>
        <v>0</v>
      </c>
      <c r="AS23" s="179">
        <f t="shared" si="1"/>
        <v>0</v>
      </c>
      <c r="AT23" s="185">
        <f t="shared" si="1"/>
        <v>0</v>
      </c>
      <c r="AU23" s="178">
        <f t="shared" si="1"/>
        <v>0</v>
      </c>
      <c r="AV23" s="178">
        <f t="shared" si="1"/>
        <v>4042.5</v>
      </c>
      <c r="AW23" s="178">
        <f t="shared" si="1"/>
        <v>505.89</v>
      </c>
      <c r="AX23" s="175">
        <f t="shared" si="2"/>
        <v>0</v>
      </c>
      <c r="AY23" s="176">
        <f t="shared" si="3"/>
        <v>0</v>
      </c>
      <c r="AZ23" s="177">
        <f t="shared" si="4"/>
        <v>0</v>
      </c>
      <c r="BA23" s="175">
        <f t="shared" si="5"/>
        <v>0</v>
      </c>
      <c r="BB23" s="176">
        <f t="shared" si="6"/>
        <v>0</v>
      </c>
      <c r="BC23" s="175">
        <f t="shared" si="7"/>
        <v>0</v>
      </c>
      <c r="BD23" s="176">
        <f t="shared" si="8"/>
        <v>0</v>
      </c>
      <c r="BE23" s="251">
        <f t="shared" si="10"/>
        <v>0</v>
      </c>
      <c r="BF23" s="252">
        <f t="shared" si="11"/>
        <v>109400</v>
      </c>
      <c r="BH23" s="262">
        <f>SUM(AO23)</f>
        <v>0</v>
      </c>
      <c r="BI23" s="262">
        <f>SUM(AP23:AS23)</f>
        <v>0</v>
      </c>
      <c r="BJ23" s="262">
        <f>SUM(AT23:AW23)</f>
        <v>4548.3900000000003</v>
      </c>
      <c r="BK23" s="263">
        <f>SUM(AX23:BB23)</f>
        <v>0</v>
      </c>
      <c r="BL23" s="269">
        <f>SUM(BC23:BD23)</f>
        <v>0</v>
      </c>
      <c r="BM23" s="264">
        <f t="shared" si="13"/>
        <v>4548.3900000000003</v>
      </c>
      <c r="BO23" s="732">
        <f t="shared" si="12"/>
        <v>41.575776965265085</v>
      </c>
    </row>
    <row r="24" spans="2:67" ht="15" customHeight="1" x14ac:dyDescent="0.25">
      <c r="B24" s="156">
        <f t="shared" si="37"/>
        <v>6</v>
      </c>
      <c r="C24" s="180" t="s">
        <v>53</v>
      </c>
      <c r="D24" s="181" t="str">
        <f t="shared" si="36"/>
        <v>RPRO</v>
      </c>
      <c r="E24" s="182" t="s">
        <v>54</v>
      </c>
      <c r="G24" s="473">
        <v>0.42470000000000002</v>
      </c>
      <c r="H24" s="468"/>
      <c r="I24" s="475">
        <v>6.9199999999999998E-2</v>
      </c>
      <c r="J24" s="475">
        <v>2.7699999999999999E-2</v>
      </c>
      <c r="K24" s="476">
        <v>1.38E-2</v>
      </c>
      <c r="L24" s="422"/>
      <c r="M24" s="422"/>
      <c r="N24" s="422"/>
      <c r="O24" s="423"/>
      <c r="P24" s="468"/>
      <c r="Q24" s="469"/>
      <c r="R24" s="470"/>
      <c r="S24" s="468"/>
      <c r="T24" s="469"/>
      <c r="U24" s="474">
        <v>0.51319999999999999</v>
      </c>
      <c r="V24" s="470"/>
      <c r="X24" s="183">
        <f>'Q (t)'!G24</f>
        <v>1460000</v>
      </c>
      <c r="Y24" s="175">
        <f>'Q (t)'!H24</f>
        <v>0</v>
      </c>
      <c r="Z24" s="178">
        <f>'Q (t)'!I24</f>
        <v>1800</v>
      </c>
      <c r="AA24" s="178">
        <f>'Q (t)'!J24</f>
        <v>1700</v>
      </c>
      <c r="AB24" s="179">
        <f>'Q (t)'!K24</f>
        <v>1000</v>
      </c>
      <c r="AC24" s="185">
        <f>'Q (t)'!L24</f>
        <v>0</v>
      </c>
      <c r="AD24" s="185">
        <f>'Q (t)'!M24</f>
        <v>0</v>
      </c>
      <c r="AE24" s="185">
        <f>'Q (t)'!N24</f>
        <v>0</v>
      </c>
      <c r="AF24" s="186">
        <f>'Q (t)'!O24</f>
        <v>0</v>
      </c>
      <c r="AG24" s="175">
        <f>'Q (t)'!P24</f>
        <v>0</v>
      </c>
      <c r="AH24" s="176">
        <f>'Q (t)'!Q24</f>
        <v>0</v>
      </c>
      <c r="AI24" s="177">
        <f>'Q (t)'!R24</f>
        <v>0</v>
      </c>
      <c r="AJ24" s="175">
        <f>'Q (t)'!S24</f>
        <v>0</v>
      </c>
      <c r="AK24" s="176">
        <f>'Q (t)'!T24</f>
        <v>0</v>
      </c>
      <c r="AL24" s="184">
        <f>'Q (t)'!U24</f>
        <v>1752000</v>
      </c>
      <c r="AM24" s="177">
        <f>'Q (t)'!V24</f>
        <v>0</v>
      </c>
      <c r="AO24" s="183">
        <f t="shared" si="9"/>
        <v>620.06200000000001</v>
      </c>
      <c r="AP24" s="175">
        <f t="shared" si="1"/>
        <v>0</v>
      </c>
      <c r="AQ24" s="178">
        <f t="shared" si="1"/>
        <v>124.56</v>
      </c>
      <c r="AR24" s="178">
        <f t="shared" si="1"/>
        <v>47.089999999999996</v>
      </c>
      <c r="AS24" s="179">
        <f t="shared" si="1"/>
        <v>13.799999999999999</v>
      </c>
      <c r="AT24" s="185">
        <f t="shared" si="1"/>
        <v>0</v>
      </c>
      <c r="AU24" s="185">
        <f t="shared" si="1"/>
        <v>0</v>
      </c>
      <c r="AV24" s="185">
        <f t="shared" si="1"/>
        <v>0</v>
      </c>
      <c r="AW24" s="186">
        <f t="shared" si="1"/>
        <v>0</v>
      </c>
      <c r="AX24" s="175">
        <f t="shared" si="2"/>
        <v>0</v>
      </c>
      <c r="AY24" s="176">
        <f t="shared" si="3"/>
        <v>0</v>
      </c>
      <c r="AZ24" s="177">
        <f t="shared" si="4"/>
        <v>0</v>
      </c>
      <c r="BA24" s="175">
        <f t="shared" si="5"/>
        <v>0</v>
      </c>
      <c r="BB24" s="176">
        <f t="shared" si="6"/>
        <v>0</v>
      </c>
      <c r="BC24" s="184">
        <f t="shared" si="7"/>
        <v>899.12639999999999</v>
      </c>
      <c r="BD24" s="176">
        <f t="shared" si="8"/>
        <v>0</v>
      </c>
      <c r="BE24" s="251">
        <f t="shared" si="10"/>
        <v>4000</v>
      </c>
      <c r="BF24" s="252">
        <f t="shared" si="11"/>
        <v>4500</v>
      </c>
      <c r="BH24" s="262">
        <f>SUM(AO24)</f>
        <v>620.06200000000001</v>
      </c>
      <c r="BI24" s="262">
        <f>SUM(AP24:AS24)</f>
        <v>185.45000000000002</v>
      </c>
      <c r="BJ24" s="262">
        <f>SUM(AT24:AW24)</f>
        <v>0</v>
      </c>
      <c r="BK24" s="263">
        <f>SUM(AX24:BB24)</f>
        <v>0</v>
      </c>
      <c r="BL24" s="269">
        <f>SUM(BC24:BD24)</f>
        <v>899.12639999999999</v>
      </c>
      <c r="BM24" s="264">
        <f t="shared" si="13"/>
        <v>1704.6384</v>
      </c>
      <c r="BO24" s="732">
        <f t="shared" si="12"/>
        <v>378.80853333333334</v>
      </c>
    </row>
    <row r="25" spans="2:67" ht="15" customHeight="1" x14ac:dyDescent="0.25">
      <c r="B25" s="162">
        <f t="shared" si="37"/>
        <v>7</v>
      </c>
      <c r="C25" s="187" t="s">
        <v>55</v>
      </c>
      <c r="D25" s="188" t="str">
        <f t="shared" si="36"/>
        <v>RPROCL</v>
      </c>
      <c r="E25" s="189" t="s">
        <v>56</v>
      </c>
      <c r="G25" s="477">
        <f>G24</f>
        <v>0.42470000000000002</v>
      </c>
      <c r="H25" s="478"/>
      <c r="I25" s="479">
        <f>I24</f>
        <v>6.9199999999999998E-2</v>
      </c>
      <c r="J25" s="479">
        <f>J24</f>
        <v>2.7699999999999999E-2</v>
      </c>
      <c r="K25" s="480">
        <f>K24</f>
        <v>1.38E-2</v>
      </c>
      <c r="L25" s="424"/>
      <c r="M25" s="479">
        <f>M23</f>
        <v>0.1154</v>
      </c>
      <c r="N25" s="479">
        <f>N23</f>
        <v>4.6199999999999998E-2</v>
      </c>
      <c r="O25" s="479">
        <f>O23</f>
        <v>2.3099999999999999E-2</v>
      </c>
      <c r="P25" s="478"/>
      <c r="Q25" s="481"/>
      <c r="R25" s="482"/>
      <c r="S25" s="478"/>
      <c r="T25" s="481"/>
      <c r="U25" s="483">
        <f>U24</f>
        <v>0.51319999999999999</v>
      </c>
      <c r="V25" s="482"/>
      <c r="X25" s="190">
        <f>'Q (t)'!G25</f>
        <v>0</v>
      </c>
      <c r="Y25" s="191">
        <f>'Q (t)'!H25</f>
        <v>0</v>
      </c>
      <c r="Z25" s="192">
        <f>'Q (t)'!I25</f>
        <v>0</v>
      </c>
      <c r="AA25" s="192">
        <f>'Q (t)'!J25</f>
        <v>0</v>
      </c>
      <c r="AB25" s="193">
        <f>'Q (t)'!K25</f>
        <v>0</v>
      </c>
      <c r="AC25" s="194">
        <f>'Q (t)'!L25</f>
        <v>0</v>
      </c>
      <c r="AD25" s="192">
        <f>'Q (t)'!M25</f>
        <v>0</v>
      </c>
      <c r="AE25" s="192">
        <f>'Q (t)'!N25</f>
        <v>0</v>
      </c>
      <c r="AF25" s="192">
        <f>'Q (t)'!O25</f>
        <v>0</v>
      </c>
      <c r="AG25" s="191">
        <f>'Q (t)'!P25</f>
        <v>0</v>
      </c>
      <c r="AH25" s="195">
        <f>'Q (t)'!Q25</f>
        <v>0</v>
      </c>
      <c r="AI25" s="196">
        <f>'Q (t)'!R25</f>
        <v>0</v>
      </c>
      <c r="AJ25" s="191">
        <f>'Q (t)'!S25</f>
        <v>0</v>
      </c>
      <c r="AK25" s="195">
        <f>'Q (t)'!T25</f>
        <v>0</v>
      </c>
      <c r="AL25" s="197">
        <f>'Q (t)'!U25</f>
        <v>0</v>
      </c>
      <c r="AM25" s="196">
        <f>'Q (t)'!V25</f>
        <v>0</v>
      </c>
      <c r="AO25" s="190">
        <f t="shared" si="9"/>
        <v>0</v>
      </c>
      <c r="AP25" s="191">
        <f t="shared" si="1"/>
        <v>0</v>
      </c>
      <c r="AQ25" s="192">
        <f t="shared" si="1"/>
        <v>0</v>
      </c>
      <c r="AR25" s="192">
        <f t="shared" si="1"/>
        <v>0</v>
      </c>
      <c r="AS25" s="193">
        <f t="shared" si="1"/>
        <v>0</v>
      </c>
      <c r="AT25" s="194">
        <f t="shared" si="1"/>
        <v>0</v>
      </c>
      <c r="AU25" s="192">
        <f t="shared" si="1"/>
        <v>0</v>
      </c>
      <c r="AV25" s="192">
        <f t="shared" si="1"/>
        <v>0</v>
      </c>
      <c r="AW25" s="192">
        <f t="shared" si="1"/>
        <v>0</v>
      </c>
      <c r="AX25" s="191">
        <f t="shared" si="2"/>
        <v>0</v>
      </c>
      <c r="AY25" s="195">
        <f t="shared" si="3"/>
        <v>0</v>
      </c>
      <c r="AZ25" s="196">
        <f t="shared" si="4"/>
        <v>0</v>
      </c>
      <c r="BA25" s="191">
        <f t="shared" si="5"/>
        <v>0</v>
      </c>
      <c r="BB25" s="195">
        <f t="shared" si="6"/>
        <v>0</v>
      </c>
      <c r="BC25" s="197">
        <f t="shared" si="7"/>
        <v>0</v>
      </c>
      <c r="BD25" s="195">
        <f t="shared" si="8"/>
        <v>0</v>
      </c>
      <c r="BE25" s="253">
        <f t="shared" si="10"/>
        <v>0</v>
      </c>
      <c r="BF25" s="254">
        <f t="shared" si="11"/>
        <v>0</v>
      </c>
      <c r="BH25" s="262">
        <f>SUM(AO25)</f>
        <v>0</v>
      </c>
      <c r="BI25" s="262">
        <f>SUM(AP25:AS25)</f>
        <v>0</v>
      </c>
      <c r="BJ25" s="262">
        <f>SUM(AT25:AW25)</f>
        <v>0</v>
      </c>
      <c r="BK25" s="263">
        <f>SUM(AX25:BB25)</f>
        <v>0</v>
      </c>
      <c r="BL25" s="269">
        <f>SUM(BC25:BD25)</f>
        <v>0</v>
      </c>
      <c r="BM25" s="264">
        <f t="shared" si="13"/>
        <v>0</v>
      </c>
      <c r="BO25" s="732" t="str">
        <f t="shared" si="12"/>
        <v/>
      </c>
    </row>
    <row r="26" spans="2:67" ht="15" customHeight="1" x14ac:dyDescent="0.25">
      <c r="B26" s="167" t="s">
        <v>57</v>
      </c>
      <c r="C26" s="151" t="s">
        <v>58</v>
      </c>
      <c r="D26" s="151"/>
      <c r="E26" s="148"/>
      <c r="G26" s="463"/>
      <c r="H26" s="464"/>
      <c r="I26" s="465"/>
      <c r="J26" s="465"/>
      <c r="K26" s="466"/>
      <c r="L26" s="484"/>
      <c r="M26" s="484"/>
      <c r="N26" s="484"/>
      <c r="O26" s="485"/>
      <c r="P26" s="465"/>
      <c r="Q26" s="465"/>
      <c r="R26" s="466"/>
      <c r="S26" s="464"/>
      <c r="T26" s="465"/>
      <c r="U26" s="464"/>
      <c r="V26" s="466"/>
      <c r="X26" s="168">
        <f>'Q (t)'!G26</f>
        <v>0</v>
      </c>
      <c r="Y26" s="169">
        <f>'Q (t)'!H26</f>
        <v>0</v>
      </c>
      <c r="Z26" s="170">
        <f>'Q (t)'!I26</f>
        <v>0</v>
      </c>
      <c r="AA26" s="170">
        <f>'Q (t)'!J26</f>
        <v>0</v>
      </c>
      <c r="AB26" s="171">
        <f>'Q (t)'!K26</f>
        <v>0</v>
      </c>
      <c r="AC26" s="198">
        <f>'Q (t)'!L26</f>
        <v>0</v>
      </c>
      <c r="AD26" s="198">
        <f>'Q (t)'!M26</f>
        <v>0</v>
      </c>
      <c r="AE26" s="198">
        <f>'Q (t)'!N26</f>
        <v>0</v>
      </c>
      <c r="AF26" s="199">
        <f>'Q (t)'!O26</f>
        <v>0</v>
      </c>
      <c r="AG26" s="170">
        <f>'Q (t)'!P26</f>
        <v>0</v>
      </c>
      <c r="AH26" s="170">
        <f>'Q (t)'!Q26</f>
        <v>0</v>
      </c>
      <c r="AI26" s="171">
        <f>'Q (t)'!R26</f>
        <v>0</v>
      </c>
      <c r="AJ26" s="169">
        <f>'Q (t)'!S26</f>
        <v>0</v>
      </c>
      <c r="AK26" s="170">
        <f>'Q (t)'!T26</f>
        <v>0</v>
      </c>
      <c r="AL26" s="169">
        <f>'Q (t)'!U26</f>
        <v>0</v>
      </c>
      <c r="AM26" s="171">
        <f>'Q (t)'!V26</f>
        <v>0</v>
      </c>
      <c r="AO26" s="168">
        <f t="shared" si="9"/>
        <v>0</v>
      </c>
      <c r="AP26" s="169">
        <f t="shared" si="1"/>
        <v>0</v>
      </c>
      <c r="AQ26" s="170">
        <f t="shared" si="1"/>
        <v>0</v>
      </c>
      <c r="AR26" s="170">
        <f t="shared" si="1"/>
        <v>0</v>
      </c>
      <c r="AS26" s="171">
        <f t="shared" si="1"/>
        <v>0</v>
      </c>
      <c r="AT26" s="198">
        <f t="shared" si="1"/>
        <v>0</v>
      </c>
      <c r="AU26" s="198">
        <f t="shared" si="1"/>
        <v>0</v>
      </c>
      <c r="AV26" s="198">
        <f t="shared" si="1"/>
        <v>0</v>
      </c>
      <c r="AW26" s="199">
        <f t="shared" si="1"/>
        <v>0</v>
      </c>
      <c r="AX26" s="170">
        <f t="shared" si="2"/>
        <v>0</v>
      </c>
      <c r="AY26" s="170">
        <f t="shared" si="3"/>
        <v>0</v>
      </c>
      <c r="AZ26" s="171">
        <f t="shared" si="4"/>
        <v>0</v>
      </c>
      <c r="BA26" s="169">
        <f t="shared" si="5"/>
        <v>0</v>
      </c>
      <c r="BB26" s="170">
        <f t="shared" si="6"/>
        <v>0</v>
      </c>
      <c r="BC26" s="169">
        <f t="shared" si="7"/>
        <v>0</v>
      </c>
      <c r="BD26" s="170">
        <f t="shared" si="8"/>
        <v>0</v>
      </c>
      <c r="BE26" s="249">
        <f t="shared" si="10"/>
        <v>0</v>
      </c>
      <c r="BF26" s="250">
        <f t="shared" si="11"/>
        <v>0</v>
      </c>
      <c r="BH26" s="260">
        <f>SUBTOTAL(9,BH27:BH39)</f>
        <v>16712.570068000001</v>
      </c>
      <c r="BI26" s="260">
        <f t="shared" ref="BI26:BL26" si="38">SUBTOTAL(9,BI27:BI39)</f>
        <v>121103.47000000002</v>
      </c>
      <c r="BJ26" s="260">
        <f t="shared" si="38"/>
        <v>277.2</v>
      </c>
      <c r="BK26" s="260">
        <f t="shared" si="38"/>
        <v>3396.2353673000002</v>
      </c>
      <c r="BL26" s="260">
        <f t="shared" si="38"/>
        <v>0</v>
      </c>
      <c r="BM26" s="264">
        <f t="shared" si="13"/>
        <v>141489.47543530003</v>
      </c>
      <c r="BO26" s="732" t="str">
        <f t="shared" si="12"/>
        <v/>
      </c>
    </row>
    <row r="27" spans="2:67" ht="15" customHeight="1" x14ac:dyDescent="0.25">
      <c r="B27" s="172"/>
      <c r="C27" s="126" t="s">
        <v>59</v>
      </c>
      <c r="D27" s="173"/>
      <c r="E27" s="145"/>
      <c r="G27" s="467"/>
      <c r="H27" s="468"/>
      <c r="I27" s="469"/>
      <c r="J27" s="469"/>
      <c r="K27" s="470"/>
      <c r="L27" s="486"/>
      <c r="M27" s="486"/>
      <c r="N27" s="486"/>
      <c r="O27" s="487"/>
      <c r="P27" s="469"/>
      <c r="Q27" s="469"/>
      <c r="R27" s="470"/>
      <c r="S27" s="468"/>
      <c r="T27" s="469"/>
      <c r="U27" s="468"/>
      <c r="V27" s="470"/>
      <c r="X27" s="174">
        <f>'Q (t)'!G27</f>
        <v>0</v>
      </c>
      <c r="Y27" s="175">
        <f>'Q (t)'!H27</f>
        <v>0</v>
      </c>
      <c r="Z27" s="176">
        <f>'Q (t)'!I27</f>
        <v>0</v>
      </c>
      <c r="AA27" s="176">
        <f>'Q (t)'!J27</f>
        <v>0</v>
      </c>
      <c r="AB27" s="177">
        <f>'Q (t)'!K27</f>
        <v>0</v>
      </c>
      <c r="AC27" s="185">
        <f>'Q (t)'!L27</f>
        <v>0</v>
      </c>
      <c r="AD27" s="185">
        <f>'Q (t)'!M27</f>
        <v>0</v>
      </c>
      <c r="AE27" s="185">
        <f>'Q (t)'!N27</f>
        <v>0</v>
      </c>
      <c r="AF27" s="186">
        <f>'Q (t)'!O27</f>
        <v>0</v>
      </c>
      <c r="AG27" s="176">
        <f>'Q (t)'!P27</f>
        <v>0</v>
      </c>
      <c r="AH27" s="176">
        <f>'Q (t)'!Q27</f>
        <v>0</v>
      </c>
      <c r="AI27" s="177">
        <f>'Q (t)'!R27</f>
        <v>0</v>
      </c>
      <c r="AJ27" s="175">
        <f>'Q (t)'!S27</f>
        <v>0</v>
      </c>
      <c r="AK27" s="176">
        <f>'Q (t)'!T27</f>
        <v>0</v>
      </c>
      <c r="AL27" s="175">
        <f>'Q (t)'!U27</f>
        <v>0</v>
      </c>
      <c r="AM27" s="177">
        <f>'Q (t)'!V27</f>
        <v>0</v>
      </c>
      <c r="AO27" s="174">
        <f t="shared" si="9"/>
        <v>0</v>
      </c>
      <c r="AP27" s="175">
        <f t="shared" si="1"/>
        <v>0</v>
      </c>
      <c r="AQ27" s="176">
        <f t="shared" si="1"/>
        <v>0</v>
      </c>
      <c r="AR27" s="176">
        <f t="shared" si="1"/>
        <v>0</v>
      </c>
      <c r="AS27" s="177">
        <f t="shared" si="1"/>
        <v>0</v>
      </c>
      <c r="AT27" s="185">
        <f t="shared" si="1"/>
        <v>0</v>
      </c>
      <c r="AU27" s="185">
        <f t="shared" si="1"/>
        <v>0</v>
      </c>
      <c r="AV27" s="185">
        <f t="shared" si="1"/>
        <v>0</v>
      </c>
      <c r="AW27" s="186">
        <f t="shared" si="1"/>
        <v>0</v>
      </c>
      <c r="AX27" s="176">
        <f t="shared" si="2"/>
        <v>0</v>
      </c>
      <c r="AY27" s="176">
        <f t="shared" si="3"/>
        <v>0</v>
      </c>
      <c r="AZ27" s="177">
        <f t="shared" si="4"/>
        <v>0</v>
      </c>
      <c r="BA27" s="175">
        <f t="shared" si="5"/>
        <v>0</v>
      </c>
      <c r="BB27" s="176">
        <f t="shared" si="6"/>
        <v>0</v>
      </c>
      <c r="BC27" s="175">
        <f t="shared" si="7"/>
        <v>0</v>
      </c>
      <c r="BD27" s="176">
        <f t="shared" si="8"/>
        <v>0</v>
      </c>
      <c r="BE27" s="251">
        <f t="shared" si="10"/>
        <v>0</v>
      </c>
      <c r="BF27" s="252">
        <f t="shared" si="11"/>
        <v>0</v>
      </c>
      <c r="BH27" s="259">
        <f>SUBTOTAL(9,BH28:BH29)</f>
        <v>0</v>
      </c>
      <c r="BI27" s="259">
        <f t="shared" ref="BI27" si="39">SUBTOTAL(9,BI28:BI29)</f>
        <v>7480</v>
      </c>
      <c r="BJ27" s="259">
        <f t="shared" ref="BJ27" si="40">SUBTOTAL(9,BJ28:BJ29)</f>
        <v>0</v>
      </c>
      <c r="BK27" s="267">
        <f t="shared" ref="BK27" si="41">SUBTOTAL(9,BK28:BK29)</f>
        <v>0</v>
      </c>
      <c r="BL27" s="268">
        <f t="shared" ref="BL27" si="42">SUBTOTAL(9,BL28:BL29)</f>
        <v>0</v>
      </c>
      <c r="BM27" s="264">
        <f t="shared" si="13"/>
        <v>7480</v>
      </c>
      <c r="BO27" s="732" t="str">
        <f t="shared" si="12"/>
        <v/>
      </c>
    </row>
    <row r="28" spans="2:67" ht="15" customHeight="1" x14ac:dyDescent="0.25">
      <c r="B28" s="156">
        <v>1</v>
      </c>
      <c r="C28" s="180" t="s">
        <v>60</v>
      </c>
      <c r="D28" s="181" t="str">
        <f t="shared" ref="D28:D29" si="43">C28</f>
        <v>LVUU</v>
      </c>
      <c r="E28" s="200" t="s">
        <v>61</v>
      </c>
      <c r="G28" s="488"/>
      <c r="H28" s="489">
        <v>6.8000000000000005E-2</v>
      </c>
      <c r="I28" s="471"/>
      <c r="J28" s="471"/>
      <c r="K28" s="472"/>
      <c r="L28" s="471"/>
      <c r="M28" s="471"/>
      <c r="N28" s="471"/>
      <c r="O28" s="472"/>
      <c r="P28" s="471"/>
      <c r="Q28" s="471"/>
      <c r="R28" s="472"/>
      <c r="S28" s="490"/>
      <c r="T28" s="471"/>
      <c r="U28" s="491"/>
      <c r="V28" s="492"/>
      <c r="X28" s="183">
        <f>'Q (t)'!G28</f>
        <v>0</v>
      </c>
      <c r="Y28" s="184">
        <f>'Q (t)'!H28</f>
        <v>93000</v>
      </c>
      <c r="Z28" s="178">
        <f>'Q (t)'!I28</f>
        <v>0</v>
      </c>
      <c r="AA28" s="178">
        <f>'Q (t)'!J28</f>
        <v>0</v>
      </c>
      <c r="AB28" s="179">
        <f>'Q (t)'!K28</f>
        <v>0</v>
      </c>
      <c r="AC28" s="178">
        <f>'Q (t)'!L28</f>
        <v>0</v>
      </c>
      <c r="AD28" s="178">
        <f>'Q (t)'!M28</f>
        <v>0</v>
      </c>
      <c r="AE28" s="178">
        <f>'Q (t)'!N28</f>
        <v>0</v>
      </c>
      <c r="AF28" s="179">
        <f>'Q (t)'!O28</f>
        <v>0</v>
      </c>
      <c r="AG28" s="178">
        <f>'Q (t)'!P28</f>
        <v>0</v>
      </c>
      <c r="AH28" s="178">
        <f>'Q (t)'!Q28</f>
        <v>0</v>
      </c>
      <c r="AI28" s="179">
        <f>'Q (t)'!R28</f>
        <v>0</v>
      </c>
      <c r="AJ28" s="184">
        <f>'Q (t)'!S28</f>
        <v>0</v>
      </c>
      <c r="AK28" s="178">
        <f>'Q (t)'!T28</f>
        <v>0</v>
      </c>
      <c r="AL28" s="184">
        <f>'Q (t)'!U28</f>
        <v>0</v>
      </c>
      <c r="AM28" s="179">
        <f>'Q (t)'!V28</f>
        <v>0</v>
      </c>
      <c r="AO28" s="183">
        <f t="shared" si="9"/>
        <v>0</v>
      </c>
      <c r="AP28" s="184">
        <f t="shared" si="1"/>
        <v>6324</v>
      </c>
      <c r="AQ28" s="178">
        <f t="shared" si="1"/>
        <v>0</v>
      </c>
      <c r="AR28" s="178">
        <f t="shared" si="1"/>
        <v>0</v>
      </c>
      <c r="AS28" s="179">
        <f t="shared" si="1"/>
        <v>0</v>
      </c>
      <c r="AT28" s="178">
        <f t="shared" si="1"/>
        <v>0</v>
      </c>
      <c r="AU28" s="178">
        <f t="shared" si="1"/>
        <v>0</v>
      </c>
      <c r="AV28" s="178">
        <f t="shared" si="1"/>
        <v>0</v>
      </c>
      <c r="AW28" s="179">
        <f t="shared" si="1"/>
        <v>0</v>
      </c>
      <c r="AX28" s="178">
        <f t="shared" si="2"/>
        <v>0</v>
      </c>
      <c r="AY28" s="178">
        <f t="shared" si="3"/>
        <v>0</v>
      </c>
      <c r="AZ28" s="179">
        <f t="shared" si="4"/>
        <v>0</v>
      </c>
      <c r="BA28" s="184">
        <f t="shared" si="5"/>
        <v>0</v>
      </c>
      <c r="BB28" s="178">
        <f t="shared" si="6"/>
        <v>0</v>
      </c>
      <c r="BC28" s="184">
        <f t="shared" si="7"/>
        <v>0</v>
      </c>
      <c r="BD28" s="178">
        <f t="shared" si="8"/>
        <v>0</v>
      </c>
      <c r="BE28" s="251">
        <f t="shared" si="10"/>
        <v>0</v>
      </c>
      <c r="BF28" s="252">
        <f t="shared" si="11"/>
        <v>93000</v>
      </c>
      <c r="BH28" s="262">
        <f>SUM(AO28)</f>
        <v>0</v>
      </c>
      <c r="BI28" s="262">
        <f>SUM(AP28:AS28)</f>
        <v>6324</v>
      </c>
      <c r="BJ28" s="262">
        <f>SUM(AT28:AW28)</f>
        <v>0</v>
      </c>
      <c r="BK28" s="263">
        <f>SUM(AX28:BB28)</f>
        <v>0</v>
      </c>
      <c r="BL28" s="269">
        <f>SUM(BC28:BD28)</f>
        <v>0</v>
      </c>
      <c r="BM28" s="264">
        <f t="shared" si="13"/>
        <v>6324</v>
      </c>
      <c r="BO28" s="732">
        <f t="shared" si="12"/>
        <v>68</v>
      </c>
    </row>
    <row r="29" spans="2:67" ht="15" customHeight="1" x14ac:dyDescent="0.25">
      <c r="B29" s="156">
        <f t="shared" ref="B29:B86" si="44">B28+1</f>
        <v>2</v>
      </c>
      <c r="C29" s="180" t="s">
        <v>62</v>
      </c>
      <c r="D29" s="181" t="str">
        <f t="shared" si="43"/>
        <v>LVUU24</v>
      </c>
      <c r="E29" s="200" t="s">
        <v>63</v>
      </c>
      <c r="G29" s="488"/>
      <c r="H29" s="489">
        <f>H28</f>
        <v>6.8000000000000005E-2</v>
      </c>
      <c r="I29" s="471"/>
      <c r="J29" s="471"/>
      <c r="K29" s="472"/>
      <c r="L29" s="471"/>
      <c r="M29" s="471"/>
      <c r="N29" s="471"/>
      <c r="O29" s="472"/>
      <c r="P29" s="471"/>
      <c r="Q29" s="471"/>
      <c r="R29" s="472"/>
      <c r="S29" s="490"/>
      <c r="T29" s="471"/>
      <c r="U29" s="491"/>
      <c r="V29" s="492"/>
      <c r="X29" s="183">
        <f>'Q (t)'!G29</f>
        <v>0</v>
      </c>
      <c r="Y29" s="184">
        <f>'Q (t)'!H29</f>
        <v>17000</v>
      </c>
      <c r="Z29" s="178">
        <f>'Q (t)'!I29</f>
        <v>0</v>
      </c>
      <c r="AA29" s="178">
        <f>'Q (t)'!J29</f>
        <v>0</v>
      </c>
      <c r="AB29" s="179">
        <f>'Q (t)'!K29</f>
        <v>0</v>
      </c>
      <c r="AC29" s="178">
        <f>'Q (t)'!L29</f>
        <v>0</v>
      </c>
      <c r="AD29" s="178">
        <f>'Q (t)'!M29</f>
        <v>0</v>
      </c>
      <c r="AE29" s="178">
        <f>'Q (t)'!N29</f>
        <v>0</v>
      </c>
      <c r="AF29" s="179">
        <f>'Q (t)'!O29</f>
        <v>0</v>
      </c>
      <c r="AG29" s="178">
        <f>'Q (t)'!P29</f>
        <v>0</v>
      </c>
      <c r="AH29" s="178">
        <f>'Q (t)'!Q29</f>
        <v>0</v>
      </c>
      <c r="AI29" s="179">
        <f>'Q (t)'!R29</f>
        <v>0</v>
      </c>
      <c r="AJ29" s="184">
        <f>'Q (t)'!S29</f>
        <v>0</v>
      </c>
      <c r="AK29" s="178">
        <f>'Q (t)'!T29</f>
        <v>0</v>
      </c>
      <c r="AL29" s="184">
        <f>'Q (t)'!U29</f>
        <v>0</v>
      </c>
      <c r="AM29" s="179">
        <f>'Q (t)'!V29</f>
        <v>0</v>
      </c>
      <c r="AO29" s="183">
        <f t="shared" si="9"/>
        <v>0</v>
      </c>
      <c r="AP29" s="184">
        <f t="shared" si="1"/>
        <v>1156</v>
      </c>
      <c r="AQ29" s="178">
        <f t="shared" si="1"/>
        <v>0</v>
      </c>
      <c r="AR29" s="178">
        <f t="shared" si="1"/>
        <v>0</v>
      </c>
      <c r="AS29" s="179">
        <f t="shared" si="1"/>
        <v>0</v>
      </c>
      <c r="AT29" s="178">
        <f t="shared" si="1"/>
        <v>0</v>
      </c>
      <c r="AU29" s="178">
        <f t="shared" si="1"/>
        <v>0</v>
      </c>
      <c r="AV29" s="178">
        <f t="shared" si="1"/>
        <v>0</v>
      </c>
      <c r="AW29" s="179">
        <f t="shared" si="1"/>
        <v>0</v>
      </c>
      <c r="AX29" s="178">
        <f t="shared" si="2"/>
        <v>0</v>
      </c>
      <c r="AY29" s="178">
        <f t="shared" si="3"/>
        <v>0</v>
      </c>
      <c r="AZ29" s="179">
        <f t="shared" si="4"/>
        <v>0</v>
      </c>
      <c r="BA29" s="184">
        <f t="shared" si="5"/>
        <v>0</v>
      </c>
      <c r="BB29" s="178">
        <f t="shared" si="6"/>
        <v>0</v>
      </c>
      <c r="BC29" s="184">
        <f t="shared" si="7"/>
        <v>0</v>
      </c>
      <c r="BD29" s="178">
        <f t="shared" si="8"/>
        <v>0</v>
      </c>
      <c r="BE29" s="251">
        <f t="shared" si="10"/>
        <v>0</v>
      </c>
      <c r="BF29" s="252">
        <f t="shared" si="11"/>
        <v>17000</v>
      </c>
      <c r="BH29" s="262">
        <f>SUM(AO29)</f>
        <v>0</v>
      </c>
      <c r="BI29" s="262">
        <f>SUM(AP29:AS29)</f>
        <v>1156</v>
      </c>
      <c r="BJ29" s="262">
        <f>SUM(AT29:AW29)</f>
        <v>0</v>
      </c>
      <c r="BK29" s="263">
        <f>SUM(AX29:BB29)</f>
        <v>0</v>
      </c>
      <c r="BL29" s="269">
        <f>SUM(BC29:BD29)</f>
        <v>0</v>
      </c>
      <c r="BM29" s="264">
        <f t="shared" si="13"/>
        <v>1156</v>
      </c>
      <c r="BO29" s="732">
        <f t="shared" si="12"/>
        <v>68</v>
      </c>
    </row>
    <row r="30" spans="2:67" ht="15" customHeight="1" x14ac:dyDescent="0.25">
      <c r="B30" s="156"/>
      <c r="C30" s="201" t="s">
        <v>64</v>
      </c>
      <c r="D30" s="202"/>
      <c r="E30" s="202"/>
      <c r="G30" s="493"/>
      <c r="H30" s="490"/>
      <c r="I30" s="471"/>
      <c r="J30" s="471"/>
      <c r="K30" s="472"/>
      <c r="L30" s="471"/>
      <c r="M30" s="471"/>
      <c r="N30" s="471"/>
      <c r="O30" s="472"/>
      <c r="P30" s="471"/>
      <c r="Q30" s="471"/>
      <c r="R30" s="472"/>
      <c r="S30" s="490"/>
      <c r="T30" s="471"/>
      <c r="U30" s="490"/>
      <c r="V30" s="472"/>
      <c r="X30" s="183">
        <f>'Q (t)'!G30</f>
        <v>0</v>
      </c>
      <c r="Y30" s="184">
        <f>'Q (t)'!H30</f>
        <v>0</v>
      </c>
      <c r="Z30" s="178">
        <f>'Q (t)'!I30</f>
        <v>0</v>
      </c>
      <c r="AA30" s="178">
        <f>'Q (t)'!J30</f>
        <v>0</v>
      </c>
      <c r="AB30" s="179">
        <f>'Q (t)'!K30</f>
        <v>0</v>
      </c>
      <c r="AC30" s="178">
        <f>'Q (t)'!L30</f>
        <v>0</v>
      </c>
      <c r="AD30" s="178">
        <f>'Q (t)'!M30</f>
        <v>0</v>
      </c>
      <c r="AE30" s="178">
        <f>'Q (t)'!N30</f>
        <v>0</v>
      </c>
      <c r="AF30" s="179">
        <f>'Q (t)'!O30</f>
        <v>0</v>
      </c>
      <c r="AG30" s="178">
        <f>'Q (t)'!P30</f>
        <v>0</v>
      </c>
      <c r="AH30" s="178">
        <f>'Q (t)'!Q30</f>
        <v>0</v>
      </c>
      <c r="AI30" s="179">
        <f>'Q (t)'!R30</f>
        <v>0</v>
      </c>
      <c r="AJ30" s="184">
        <f>'Q (t)'!S30</f>
        <v>0</v>
      </c>
      <c r="AK30" s="178">
        <f>'Q (t)'!T30</f>
        <v>0</v>
      </c>
      <c r="AL30" s="184">
        <f>'Q (t)'!U30</f>
        <v>0</v>
      </c>
      <c r="AM30" s="179">
        <f>'Q (t)'!V30</f>
        <v>0</v>
      </c>
      <c r="AO30" s="183">
        <f t="shared" si="9"/>
        <v>0</v>
      </c>
      <c r="AP30" s="184">
        <f t="shared" si="1"/>
        <v>0</v>
      </c>
      <c r="AQ30" s="178">
        <f t="shared" si="1"/>
        <v>0</v>
      </c>
      <c r="AR30" s="178">
        <f t="shared" si="1"/>
        <v>0</v>
      </c>
      <c r="AS30" s="179">
        <f t="shared" si="1"/>
        <v>0</v>
      </c>
      <c r="AT30" s="178">
        <f t="shared" si="1"/>
        <v>0</v>
      </c>
      <c r="AU30" s="178">
        <f t="shared" si="1"/>
        <v>0</v>
      </c>
      <c r="AV30" s="178">
        <f t="shared" si="1"/>
        <v>0</v>
      </c>
      <c r="AW30" s="179">
        <f t="shared" si="1"/>
        <v>0</v>
      </c>
      <c r="AX30" s="178">
        <f t="shared" si="2"/>
        <v>0</v>
      </c>
      <c r="AY30" s="178">
        <f t="shared" si="3"/>
        <v>0</v>
      </c>
      <c r="AZ30" s="179">
        <f t="shared" si="4"/>
        <v>0</v>
      </c>
      <c r="BA30" s="184">
        <f t="shared" si="5"/>
        <v>0</v>
      </c>
      <c r="BB30" s="178">
        <f t="shared" si="6"/>
        <v>0</v>
      </c>
      <c r="BC30" s="184">
        <f t="shared" si="7"/>
        <v>0</v>
      </c>
      <c r="BD30" s="178">
        <f t="shared" si="8"/>
        <v>0</v>
      </c>
      <c r="BE30" s="251">
        <f t="shared" si="10"/>
        <v>0</v>
      </c>
      <c r="BF30" s="252">
        <f t="shared" si="11"/>
        <v>0</v>
      </c>
      <c r="BH30" s="259">
        <f>SUBTOTAL(9,BH31:BH35)</f>
        <v>11942.82993</v>
      </c>
      <c r="BI30" s="259">
        <f t="shared" ref="BI30:BL30" si="45">SUBTOTAL(9,BI31:BI35)</f>
        <v>64798.17</v>
      </c>
      <c r="BJ30" s="259">
        <f t="shared" si="45"/>
        <v>277.2</v>
      </c>
      <c r="BK30" s="259">
        <f t="shared" si="45"/>
        <v>0</v>
      </c>
      <c r="BL30" s="259">
        <f t="shared" si="45"/>
        <v>0</v>
      </c>
      <c r="BM30" s="264">
        <f t="shared" si="13"/>
        <v>77018.199929999988</v>
      </c>
      <c r="BO30" s="732" t="str">
        <f t="shared" si="12"/>
        <v/>
      </c>
    </row>
    <row r="31" spans="2:67" ht="15" customHeight="1" x14ac:dyDescent="0.25">
      <c r="B31" s="156">
        <f>B29+1</f>
        <v>3</v>
      </c>
      <c r="C31" s="180" t="s">
        <v>65</v>
      </c>
      <c r="D31" s="181" t="str">
        <f t="shared" ref="D31:D35" si="46">C31</f>
        <v>BSR</v>
      </c>
      <c r="E31" s="200" t="s">
        <v>66</v>
      </c>
      <c r="G31" s="488">
        <v>0.4657</v>
      </c>
      <c r="H31" s="489">
        <v>0.1045</v>
      </c>
      <c r="I31" s="471"/>
      <c r="J31" s="471"/>
      <c r="K31" s="472"/>
      <c r="L31" s="471"/>
      <c r="M31" s="471"/>
      <c r="N31" s="471"/>
      <c r="O31" s="472"/>
      <c r="P31" s="471"/>
      <c r="Q31" s="471"/>
      <c r="R31" s="472"/>
      <c r="S31" s="490"/>
      <c r="T31" s="471"/>
      <c r="U31" s="491"/>
      <c r="V31" s="492"/>
      <c r="X31" s="183">
        <f>'Q (t)'!G31</f>
        <v>17076160</v>
      </c>
      <c r="Y31" s="184">
        <f>'Q (t)'!H31</f>
        <v>339500</v>
      </c>
      <c r="Z31" s="178">
        <f>'Q (t)'!I31</f>
        <v>0</v>
      </c>
      <c r="AA31" s="178">
        <f>'Q (t)'!J31</f>
        <v>0</v>
      </c>
      <c r="AB31" s="179">
        <f>'Q (t)'!K31</f>
        <v>0</v>
      </c>
      <c r="AC31" s="178">
        <f>'Q (t)'!L31</f>
        <v>0</v>
      </c>
      <c r="AD31" s="178">
        <f>'Q (t)'!M31</f>
        <v>0</v>
      </c>
      <c r="AE31" s="178">
        <f>'Q (t)'!N31</f>
        <v>0</v>
      </c>
      <c r="AF31" s="179">
        <f>'Q (t)'!O31</f>
        <v>0</v>
      </c>
      <c r="AG31" s="178">
        <f>'Q (t)'!P31</f>
        <v>0</v>
      </c>
      <c r="AH31" s="178">
        <f>'Q (t)'!Q31</f>
        <v>0</v>
      </c>
      <c r="AI31" s="179">
        <f>'Q (t)'!R31</f>
        <v>0</v>
      </c>
      <c r="AJ31" s="184">
        <f>'Q (t)'!S31</f>
        <v>0</v>
      </c>
      <c r="AK31" s="178">
        <f>'Q (t)'!T31</f>
        <v>0</v>
      </c>
      <c r="AL31" s="184">
        <f>'Q (t)'!U31</f>
        <v>0</v>
      </c>
      <c r="AM31" s="179">
        <f>'Q (t)'!V31</f>
        <v>0</v>
      </c>
      <c r="AO31" s="183">
        <f t="shared" si="9"/>
        <v>7952.3677120000002</v>
      </c>
      <c r="AP31" s="184">
        <f t="shared" si="1"/>
        <v>35477.75</v>
      </c>
      <c r="AQ31" s="178">
        <f t="shared" si="1"/>
        <v>0</v>
      </c>
      <c r="AR31" s="178">
        <f t="shared" si="1"/>
        <v>0</v>
      </c>
      <c r="AS31" s="179">
        <f t="shared" si="1"/>
        <v>0</v>
      </c>
      <c r="AT31" s="178">
        <f t="shared" si="1"/>
        <v>0</v>
      </c>
      <c r="AU31" s="178">
        <f t="shared" si="1"/>
        <v>0</v>
      </c>
      <c r="AV31" s="178">
        <f t="shared" si="1"/>
        <v>0</v>
      </c>
      <c r="AW31" s="179">
        <f t="shared" si="1"/>
        <v>0</v>
      </c>
      <c r="AX31" s="178">
        <f t="shared" si="2"/>
        <v>0</v>
      </c>
      <c r="AY31" s="178">
        <f t="shared" si="3"/>
        <v>0</v>
      </c>
      <c r="AZ31" s="179">
        <f t="shared" si="4"/>
        <v>0</v>
      </c>
      <c r="BA31" s="184">
        <f t="shared" si="5"/>
        <v>0</v>
      </c>
      <c r="BB31" s="178">
        <f t="shared" si="6"/>
        <v>0</v>
      </c>
      <c r="BC31" s="184">
        <f t="shared" si="7"/>
        <v>0</v>
      </c>
      <c r="BD31" s="178">
        <f t="shared" si="8"/>
        <v>0</v>
      </c>
      <c r="BE31" s="251">
        <f t="shared" si="10"/>
        <v>46784</v>
      </c>
      <c r="BF31" s="252">
        <f t="shared" si="11"/>
        <v>339500</v>
      </c>
      <c r="BH31" s="262">
        <f>SUM(AO31)</f>
        <v>7952.3677120000002</v>
      </c>
      <c r="BI31" s="262">
        <f>SUM(AP31:AS31)</f>
        <v>35477.75</v>
      </c>
      <c r="BJ31" s="262">
        <f>SUM(AT31:AW31)</f>
        <v>0</v>
      </c>
      <c r="BK31" s="263">
        <f>SUM(AX31:BB31)</f>
        <v>0</v>
      </c>
      <c r="BL31" s="269">
        <f>SUM(BC31:BD31)</f>
        <v>0</v>
      </c>
      <c r="BM31" s="264">
        <f t="shared" si="13"/>
        <v>43430.117711999999</v>
      </c>
      <c r="BO31" s="732">
        <f t="shared" si="12"/>
        <v>127.92376351104565</v>
      </c>
    </row>
    <row r="32" spans="2:67" ht="15" customHeight="1" x14ac:dyDescent="0.25">
      <c r="B32" s="156">
        <f t="shared" si="44"/>
        <v>4</v>
      </c>
      <c r="C32" s="180" t="s">
        <v>67</v>
      </c>
      <c r="D32" s="181" t="str">
        <f t="shared" si="46"/>
        <v>BSRCL</v>
      </c>
      <c r="E32" s="200" t="s">
        <v>68</v>
      </c>
      <c r="G32" s="488">
        <f>G31</f>
        <v>0.4657</v>
      </c>
      <c r="H32" s="489">
        <f>H31</f>
        <v>0.1045</v>
      </c>
      <c r="I32" s="471"/>
      <c r="J32" s="471"/>
      <c r="K32" s="472"/>
      <c r="L32" s="494">
        <v>4.6199999999999998E-2</v>
      </c>
      <c r="M32" s="471"/>
      <c r="N32" s="471"/>
      <c r="O32" s="472"/>
      <c r="P32" s="471"/>
      <c r="Q32" s="471"/>
      <c r="R32" s="472"/>
      <c r="S32" s="490"/>
      <c r="T32" s="471"/>
      <c r="U32" s="491"/>
      <c r="V32" s="492"/>
      <c r="X32" s="183">
        <f>'Q (t)'!G32</f>
        <v>0</v>
      </c>
      <c r="Y32" s="184">
        <f>'Q (t)'!H32</f>
        <v>0</v>
      </c>
      <c r="Z32" s="178">
        <f>'Q (t)'!I32</f>
        <v>0</v>
      </c>
      <c r="AA32" s="178">
        <f>'Q (t)'!J32</f>
        <v>0</v>
      </c>
      <c r="AB32" s="179">
        <f>'Q (t)'!K32</f>
        <v>0</v>
      </c>
      <c r="AC32" s="178">
        <f>'Q (t)'!L32</f>
        <v>3000</v>
      </c>
      <c r="AD32" s="178">
        <f>'Q (t)'!M32</f>
        <v>0</v>
      </c>
      <c r="AE32" s="178">
        <f>'Q (t)'!N32</f>
        <v>0</v>
      </c>
      <c r="AF32" s="179">
        <f>'Q (t)'!O32</f>
        <v>0</v>
      </c>
      <c r="AG32" s="178">
        <f>'Q (t)'!P32</f>
        <v>0</v>
      </c>
      <c r="AH32" s="178">
        <f>'Q (t)'!Q32</f>
        <v>0</v>
      </c>
      <c r="AI32" s="179">
        <f>'Q (t)'!R32</f>
        <v>0</v>
      </c>
      <c r="AJ32" s="184">
        <f>'Q (t)'!S32</f>
        <v>0</v>
      </c>
      <c r="AK32" s="178">
        <f>'Q (t)'!T32</f>
        <v>0</v>
      </c>
      <c r="AL32" s="184">
        <f>'Q (t)'!U32</f>
        <v>0</v>
      </c>
      <c r="AM32" s="179">
        <f>'Q (t)'!V32</f>
        <v>0</v>
      </c>
      <c r="AO32" s="183">
        <f t="shared" si="9"/>
        <v>0</v>
      </c>
      <c r="AP32" s="184">
        <f t="shared" si="1"/>
        <v>0</v>
      </c>
      <c r="AQ32" s="178">
        <f t="shared" si="1"/>
        <v>0</v>
      </c>
      <c r="AR32" s="178">
        <f t="shared" si="1"/>
        <v>0</v>
      </c>
      <c r="AS32" s="179">
        <f t="shared" si="1"/>
        <v>0</v>
      </c>
      <c r="AT32" s="178">
        <f t="shared" si="1"/>
        <v>138.6</v>
      </c>
      <c r="AU32" s="178">
        <f t="shared" si="1"/>
        <v>0</v>
      </c>
      <c r="AV32" s="178">
        <f t="shared" si="1"/>
        <v>0</v>
      </c>
      <c r="AW32" s="179">
        <f t="shared" si="1"/>
        <v>0</v>
      </c>
      <c r="AX32" s="178">
        <f t="shared" si="2"/>
        <v>0</v>
      </c>
      <c r="AY32" s="178">
        <f t="shared" si="3"/>
        <v>0</v>
      </c>
      <c r="AZ32" s="179">
        <f t="shared" si="4"/>
        <v>0</v>
      </c>
      <c r="BA32" s="184">
        <f t="shared" si="5"/>
        <v>0</v>
      </c>
      <c r="BB32" s="178">
        <f t="shared" si="6"/>
        <v>0</v>
      </c>
      <c r="BC32" s="184">
        <f t="shared" si="7"/>
        <v>0</v>
      </c>
      <c r="BD32" s="178">
        <f t="shared" si="8"/>
        <v>0</v>
      </c>
      <c r="BE32" s="251">
        <f t="shared" si="10"/>
        <v>0</v>
      </c>
      <c r="BF32" s="252">
        <f t="shared" si="11"/>
        <v>3000</v>
      </c>
      <c r="BH32" s="262">
        <f>SUM(AO32)</f>
        <v>0</v>
      </c>
      <c r="BI32" s="262">
        <f>SUM(AP32:AS32)</f>
        <v>0</v>
      </c>
      <c r="BJ32" s="262">
        <f>SUM(AT32:AW32)</f>
        <v>138.6</v>
      </c>
      <c r="BK32" s="263">
        <f>SUM(AX32:BB32)</f>
        <v>0</v>
      </c>
      <c r="BL32" s="269">
        <f>SUM(BC32:BD32)</f>
        <v>0</v>
      </c>
      <c r="BM32" s="264">
        <f t="shared" si="13"/>
        <v>138.6</v>
      </c>
      <c r="BO32" s="732">
        <f t="shared" si="12"/>
        <v>46.2</v>
      </c>
    </row>
    <row r="33" spans="2:67" ht="15" customHeight="1" x14ac:dyDescent="0.25">
      <c r="B33" s="156">
        <f t="shared" si="44"/>
        <v>5</v>
      </c>
      <c r="C33" s="180" t="s">
        <v>69</v>
      </c>
      <c r="D33" s="181" t="str">
        <f t="shared" si="46"/>
        <v>B2R</v>
      </c>
      <c r="E33" s="200" t="s">
        <v>70</v>
      </c>
      <c r="G33" s="488">
        <v>0.4657</v>
      </c>
      <c r="H33" s="490"/>
      <c r="I33" s="475">
        <v>0.1178</v>
      </c>
      <c r="J33" s="471"/>
      <c r="K33" s="476">
        <v>5.8900000000000001E-2</v>
      </c>
      <c r="L33" s="471"/>
      <c r="M33" s="471"/>
      <c r="N33" s="471"/>
      <c r="O33" s="472"/>
      <c r="P33" s="471"/>
      <c r="Q33" s="471"/>
      <c r="R33" s="472"/>
      <c r="S33" s="490"/>
      <c r="T33" s="471"/>
      <c r="U33" s="491"/>
      <c r="V33" s="492"/>
      <c r="X33" s="183">
        <f>'Q (t)'!G33</f>
        <v>8568740</v>
      </c>
      <c r="Y33" s="184">
        <f>'Q (t)'!H33</f>
        <v>0</v>
      </c>
      <c r="Z33" s="178">
        <f>'Q (t)'!I33</f>
        <v>171600</v>
      </c>
      <c r="AA33" s="178">
        <f>'Q (t)'!J33</f>
        <v>0</v>
      </c>
      <c r="AB33" s="179">
        <f>'Q (t)'!K33</f>
        <v>154600</v>
      </c>
      <c r="AC33" s="178">
        <f>'Q (t)'!L33</f>
        <v>0</v>
      </c>
      <c r="AD33" s="178">
        <f>'Q (t)'!M33</f>
        <v>0</v>
      </c>
      <c r="AE33" s="178">
        <f>'Q (t)'!N33</f>
        <v>0</v>
      </c>
      <c r="AF33" s="179">
        <f>'Q (t)'!O33</f>
        <v>0</v>
      </c>
      <c r="AG33" s="178">
        <f>'Q (t)'!P33</f>
        <v>0</v>
      </c>
      <c r="AH33" s="178">
        <f>'Q (t)'!Q33</f>
        <v>0</v>
      </c>
      <c r="AI33" s="179">
        <f>'Q (t)'!R33</f>
        <v>0</v>
      </c>
      <c r="AJ33" s="184">
        <f>'Q (t)'!S33</f>
        <v>0</v>
      </c>
      <c r="AK33" s="178">
        <f>'Q (t)'!T33</f>
        <v>0</v>
      </c>
      <c r="AL33" s="184">
        <f>'Q (t)'!U33</f>
        <v>0</v>
      </c>
      <c r="AM33" s="179">
        <f>'Q (t)'!V33</f>
        <v>0</v>
      </c>
      <c r="AO33" s="183">
        <f t="shared" si="9"/>
        <v>3990.4622179999997</v>
      </c>
      <c r="AP33" s="184">
        <f t="shared" si="1"/>
        <v>0</v>
      </c>
      <c r="AQ33" s="178">
        <f t="shared" si="1"/>
        <v>20214.48</v>
      </c>
      <c r="AR33" s="178">
        <f t="shared" si="1"/>
        <v>0</v>
      </c>
      <c r="AS33" s="179">
        <f t="shared" si="1"/>
        <v>9105.94</v>
      </c>
      <c r="AT33" s="178">
        <f t="shared" si="1"/>
        <v>0</v>
      </c>
      <c r="AU33" s="178">
        <f t="shared" si="1"/>
        <v>0</v>
      </c>
      <c r="AV33" s="178">
        <f t="shared" si="1"/>
        <v>0</v>
      </c>
      <c r="AW33" s="179">
        <f t="shared" si="1"/>
        <v>0</v>
      </c>
      <c r="AX33" s="178">
        <f t="shared" si="2"/>
        <v>0</v>
      </c>
      <c r="AY33" s="178">
        <f t="shared" si="3"/>
        <v>0</v>
      </c>
      <c r="AZ33" s="179">
        <f t="shared" si="4"/>
        <v>0</v>
      </c>
      <c r="BA33" s="184">
        <f t="shared" si="5"/>
        <v>0</v>
      </c>
      <c r="BB33" s="178">
        <f t="shared" si="6"/>
        <v>0</v>
      </c>
      <c r="BC33" s="184">
        <f t="shared" si="7"/>
        <v>0</v>
      </c>
      <c r="BD33" s="178">
        <f t="shared" si="8"/>
        <v>0</v>
      </c>
      <c r="BE33" s="251">
        <f t="shared" si="10"/>
        <v>23476</v>
      </c>
      <c r="BF33" s="252">
        <f t="shared" si="11"/>
        <v>326200</v>
      </c>
      <c r="BH33" s="262">
        <f>SUM(AO33)</f>
        <v>3990.4622179999997</v>
      </c>
      <c r="BI33" s="262">
        <f>SUM(AP33:AS33)</f>
        <v>29320.42</v>
      </c>
      <c r="BJ33" s="262">
        <f>SUM(AT33:AW33)</f>
        <v>0</v>
      </c>
      <c r="BK33" s="263">
        <f>SUM(AX33:BB33)</f>
        <v>0</v>
      </c>
      <c r="BL33" s="269">
        <f>SUM(BC33:BD33)</f>
        <v>0</v>
      </c>
      <c r="BM33" s="264">
        <f t="shared" si="13"/>
        <v>33310.882217999999</v>
      </c>
      <c r="BO33" s="732">
        <f t="shared" si="12"/>
        <v>102.11797123850398</v>
      </c>
    </row>
    <row r="34" spans="2:67" ht="15" customHeight="1" x14ac:dyDescent="0.25">
      <c r="B34" s="156">
        <f t="shared" si="44"/>
        <v>6</v>
      </c>
      <c r="C34" s="180" t="s">
        <v>71</v>
      </c>
      <c r="D34" s="181" t="str">
        <f t="shared" si="46"/>
        <v>B2RCL</v>
      </c>
      <c r="E34" s="200" t="s">
        <v>72</v>
      </c>
      <c r="G34" s="488">
        <f>G33</f>
        <v>0.4657</v>
      </c>
      <c r="H34" s="490"/>
      <c r="I34" s="475">
        <f>I33</f>
        <v>0.1178</v>
      </c>
      <c r="J34" s="471"/>
      <c r="K34" s="476">
        <f>K33</f>
        <v>5.8900000000000001E-2</v>
      </c>
      <c r="L34" s="494">
        <f>L32</f>
        <v>4.6199999999999998E-2</v>
      </c>
      <c r="M34" s="471"/>
      <c r="N34" s="471"/>
      <c r="O34" s="472"/>
      <c r="P34" s="471"/>
      <c r="Q34" s="471"/>
      <c r="R34" s="472"/>
      <c r="S34" s="490"/>
      <c r="T34" s="471"/>
      <c r="U34" s="491"/>
      <c r="V34" s="492"/>
      <c r="X34" s="183">
        <f>'Q (t)'!G34</f>
        <v>0</v>
      </c>
      <c r="Y34" s="184">
        <f>'Q (t)'!H34</f>
        <v>0</v>
      </c>
      <c r="Z34" s="178">
        <f>'Q (t)'!I34</f>
        <v>0</v>
      </c>
      <c r="AA34" s="178">
        <f>'Q (t)'!J34</f>
        <v>0</v>
      </c>
      <c r="AB34" s="179">
        <f>'Q (t)'!K34</f>
        <v>0</v>
      </c>
      <c r="AC34" s="178">
        <f>'Q (t)'!L34</f>
        <v>2900</v>
      </c>
      <c r="AD34" s="178">
        <f>'Q (t)'!M34</f>
        <v>0</v>
      </c>
      <c r="AE34" s="178">
        <f>'Q (t)'!N34</f>
        <v>0</v>
      </c>
      <c r="AF34" s="179">
        <f>'Q (t)'!O34</f>
        <v>0</v>
      </c>
      <c r="AG34" s="178">
        <f>'Q (t)'!P34</f>
        <v>0</v>
      </c>
      <c r="AH34" s="178">
        <f>'Q (t)'!Q34</f>
        <v>0</v>
      </c>
      <c r="AI34" s="179">
        <f>'Q (t)'!R34</f>
        <v>0</v>
      </c>
      <c r="AJ34" s="184">
        <f>'Q (t)'!S34</f>
        <v>0</v>
      </c>
      <c r="AK34" s="178">
        <f>'Q (t)'!T34</f>
        <v>0</v>
      </c>
      <c r="AL34" s="184">
        <f>'Q (t)'!U34</f>
        <v>0</v>
      </c>
      <c r="AM34" s="179">
        <f>'Q (t)'!V34</f>
        <v>0</v>
      </c>
      <c r="AO34" s="183">
        <f t="shared" si="9"/>
        <v>0</v>
      </c>
      <c r="AP34" s="184">
        <f t="shared" ref="AP34:AW48" si="47">H34*Y34</f>
        <v>0</v>
      </c>
      <c r="AQ34" s="178">
        <f t="shared" si="47"/>
        <v>0</v>
      </c>
      <c r="AR34" s="178">
        <f t="shared" si="47"/>
        <v>0</v>
      </c>
      <c r="AS34" s="179">
        <f t="shared" si="47"/>
        <v>0</v>
      </c>
      <c r="AT34" s="178">
        <f t="shared" si="47"/>
        <v>133.97999999999999</v>
      </c>
      <c r="AU34" s="178">
        <f t="shared" si="47"/>
        <v>0</v>
      </c>
      <c r="AV34" s="178">
        <f t="shared" si="47"/>
        <v>0</v>
      </c>
      <c r="AW34" s="179">
        <f t="shared" si="47"/>
        <v>0</v>
      </c>
      <c r="AX34" s="178">
        <f t="shared" si="2"/>
        <v>0</v>
      </c>
      <c r="AY34" s="178">
        <f t="shared" si="3"/>
        <v>0</v>
      </c>
      <c r="AZ34" s="179">
        <f t="shared" si="4"/>
        <v>0</v>
      </c>
      <c r="BA34" s="184">
        <f t="shared" si="5"/>
        <v>0</v>
      </c>
      <c r="BB34" s="178">
        <f t="shared" si="6"/>
        <v>0</v>
      </c>
      <c r="BC34" s="184">
        <f t="shared" si="7"/>
        <v>0</v>
      </c>
      <c r="BD34" s="178">
        <f t="shared" si="8"/>
        <v>0</v>
      </c>
      <c r="BE34" s="251">
        <f t="shared" si="10"/>
        <v>0</v>
      </c>
      <c r="BF34" s="252">
        <f t="shared" si="11"/>
        <v>2900</v>
      </c>
      <c r="BH34" s="262">
        <f>SUM(AO34)</f>
        <v>0</v>
      </c>
      <c r="BI34" s="262">
        <f>SUM(AP34:AS34)</f>
        <v>0</v>
      </c>
      <c r="BJ34" s="262">
        <f>SUM(AT34:AW34)</f>
        <v>133.97999999999999</v>
      </c>
      <c r="BK34" s="263">
        <f>SUM(AX34:BB34)</f>
        <v>0</v>
      </c>
      <c r="BL34" s="269">
        <f>SUM(BC34:BD34)</f>
        <v>0</v>
      </c>
      <c r="BM34" s="264">
        <f t="shared" si="13"/>
        <v>133.97999999999999</v>
      </c>
      <c r="BO34" s="732">
        <f t="shared" si="12"/>
        <v>46.2</v>
      </c>
    </row>
    <row r="35" spans="2:67" ht="15" customHeight="1" x14ac:dyDescent="0.25">
      <c r="B35" s="156">
        <f t="shared" si="44"/>
        <v>7</v>
      </c>
      <c r="C35" s="180" t="s">
        <v>73</v>
      </c>
      <c r="D35" s="181" t="str">
        <f t="shared" si="46"/>
        <v>BCL</v>
      </c>
      <c r="E35" s="200" t="s">
        <v>74</v>
      </c>
      <c r="G35" s="488">
        <v>0</v>
      </c>
      <c r="H35" s="490"/>
      <c r="I35" s="471"/>
      <c r="J35" s="471"/>
      <c r="K35" s="472"/>
      <c r="L35" s="494">
        <f>L32</f>
        <v>4.6199999999999998E-2</v>
      </c>
      <c r="M35" s="471"/>
      <c r="N35" s="471"/>
      <c r="O35" s="472"/>
      <c r="P35" s="471"/>
      <c r="Q35" s="471"/>
      <c r="R35" s="472"/>
      <c r="S35" s="490"/>
      <c r="T35" s="471"/>
      <c r="U35" s="491"/>
      <c r="V35" s="492"/>
      <c r="X35" s="183">
        <f>'Q (t)'!G35</f>
        <v>0</v>
      </c>
      <c r="Y35" s="184">
        <f>'Q (t)'!H35</f>
        <v>0</v>
      </c>
      <c r="Z35" s="178">
        <f>'Q (t)'!I35</f>
        <v>0</v>
      </c>
      <c r="AA35" s="178">
        <f>'Q (t)'!J35</f>
        <v>0</v>
      </c>
      <c r="AB35" s="179">
        <f>'Q (t)'!K35</f>
        <v>0</v>
      </c>
      <c r="AC35" s="178">
        <f>'Q (t)'!L35</f>
        <v>100</v>
      </c>
      <c r="AD35" s="178">
        <f>'Q (t)'!M35</f>
        <v>0</v>
      </c>
      <c r="AE35" s="178">
        <f>'Q (t)'!N35</f>
        <v>0</v>
      </c>
      <c r="AF35" s="179">
        <f>'Q (t)'!O35</f>
        <v>0</v>
      </c>
      <c r="AG35" s="178">
        <f>'Q (t)'!P35</f>
        <v>0</v>
      </c>
      <c r="AH35" s="178">
        <f>'Q (t)'!Q35</f>
        <v>0</v>
      </c>
      <c r="AI35" s="179">
        <f>'Q (t)'!R35</f>
        <v>0</v>
      </c>
      <c r="AJ35" s="184">
        <f>'Q (t)'!S35</f>
        <v>0</v>
      </c>
      <c r="AK35" s="178">
        <f>'Q (t)'!T35</f>
        <v>0</v>
      </c>
      <c r="AL35" s="184">
        <f>'Q (t)'!U35</f>
        <v>0</v>
      </c>
      <c r="AM35" s="179">
        <f>'Q (t)'!V35</f>
        <v>0</v>
      </c>
      <c r="AO35" s="183">
        <f t="shared" si="9"/>
        <v>0</v>
      </c>
      <c r="AP35" s="184">
        <f t="shared" si="47"/>
        <v>0</v>
      </c>
      <c r="AQ35" s="178">
        <f t="shared" si="47"/>
        <v>0</v>
      </c>
      <c r="AR35" s="178">
        <f t="shared" si="47"/>
        <v>0</v>
      </c>
      <c r="AS35" s="179">
        <f t="shared" si="47"/>
        <v>0</v>
      </c>
      <c r="AT35" s="178">
        <f t="shared" si="47"/>
        <v>4.62</v>
      </c>
      <c r="AU35" s="178">
        <f t="shared" si="47"/>
        <v>0</v>
      </c>
      <c r="AV35" s="178">
        <f t="shared" si="47"/>
        <v>0</v>
      </c>
      <c r="AW35" s="179">
        <f t="shared" si="47"/>
        <v>0</v>
      </c>
      <c r="AX35" s="178">
        <f t="shared" si="2"/>
        <v>0</v>
      </c>
      <c r="AY35" s="178">
        <f t="shared" si="3"/>
        <v>0</v>
      </c>
      <c r="AZ35" s="179">
        <f t="shared" si="4"/>
        <v>0</v>
      </c>
      <c r="BA35" s="184">
        <f t="shared" si="5"/>
        <v>0</v>
      </c>
      <c r="BB35" s="178">
        <f t="shared" si="6"/>
        <v>0</v>
      </c>
      <c r="BC35" s="184">
        <f t="shared" si="7"/>
        <v>0</v>
      </c>
      <c r="BD35" s="178">
        <f t="shared" si="8"/>
        <v>0</v>
      </c>
      <c r="BE35" s="251">
        <f t="shared" si="10"/>
        <v>0</v>
      </c>
      <c r="BF35" s="252">
        <f t="shared" si="11"/>
        <v>100</v>
      </c>
      <c r="BH35" s="262">
        <f>SUM(AO35)</f>
        <v>0</v>
      </c>
      <c r="BI35" s="262">
        <f>SUM(AP35:AS35)</f>
        <v>0</v>
      </c>
      <c r="BJ35" s="262">
        <f>SUM(AT35:AW35)</f>
        <v>4.62</v>
      </c>
      <c r="BK35" s="263">
        <f>SUM(AX35:BB35)</f>
        <v>0</v>
      </c>
      <c r="BL35" s="269">
        <f>SUM(BC35:BD35)</f>
        <v>0</v>
      </c>
      <c r="BM35" s="264">
        <f t="shared" si="13"/>
        <v>4.62</v>
      </c>
      <c r="BO35" s="732">
        <f t="shared" si="12"/>
        <v>46.2</v>
      </c>
    </row>
    <row r="36" spans="2:67" ht="15" customHeight="1" x14ac:dyDescent="0.25">
      <c r="B36" s="156"/>
      <c r="C36" s="201" t="s">
        <v>75</v>
      </c>
      <c r="D36" s="202"/>
      <c r="E36" s="202"/>
      <c r="G36" s="493"/>
      <c r="H36" s="490"/>
      <c r="I36" s="471"/>
      <c r="J36" s="471"/>
      <c r="K36" s="472"/>
      <c r="L36" s="471"/>
      <c r="M36" s="471"/>
      <c r="N36" s="471"/>
      <c r="O36" s="472"/>
      <c r="P36" s="471"/>
      <c r="Q36" s="471"/>
      <c r="R36" s="472"/>
      <c r="S36" s="490"/>
      <c r="T36" s="471"/>
      <c r="U36" s="490"/>
      <c r="V36" s="472"/>
      <c r="X36" s="183">
        <f>'Q (t)'!G36</f>
        <v>0</v>
      </c>
      <c r="Y36" s="184">
        <f>'Q (t)'!H36</f>
        <v>0</v>
      </c>
      <c r="Z36" s="178">
        <f>'Q (t)'!I36</f>
        <v>0</v>
      </c>
      <c r="AA36" s="178">
        <f>'Q (t)'!J36</f>
        <v>0</v>
      </c>
      <c r="AB36" s="179">
        <f>'Q (t)'!K36</f>
        <v>0</v>
      </c>
      <c r="AC36" s="178">
        <f>'Q (t)'!L36</f>
        <v>0</v>
      </c>
      <c r="AD36" s="178">
        <f>'Q (t)'!M36</f>
        <v>0</v>
      </c>
      <c r="AE36" s="178">
        <f>'Q (t)'!N36</f>
        <v>0</v>
      </c>
      <c r="AF36" s="179">
        <f>'Q (t)'!O36</f>
        <v>0</v>
      </c>
      <c r="AG36" s="178">
        <f>'Q (t)'!P36</f>
        <v>0</v>
      </c>
      <c r="AH36" s="178">
        <f>'Q (t)'!Q36</f>
        <v>0</v>
      </c>
      <c r="AI36" s="179">
        <f>'Q (t)'!R36</f>
        <v>0</v>
      </c>
      <c r="AJ36" s="184">
        <f>'Q (t)'!S36</f>
        <v>0</v>
      </c>
      <c r="AK36" s="178">
        <f>'Q (t)'!T36</f>
        <v>0</v>
      </c>
      <c r="AL36" s="184">
        <f>'Q (t)'!U36</f>
        <v>0</v>
      </c>
      <c r="AM36" s="179">
        <f>'Q (t)'!V36</f>
        <v>0</v>
      </c>
      <c r="AO36" s="183">
        <f t="shared" si="9"/>
        <v>0</v>
      </c>
      <c r="AP36" s="184">
        <f t="shared" si="47"/>
        <v>0</v>
      </c>
      <c r="AQ36" s="178">
        <f t="shared" si="47"/>
        <v>0</v>
      </c>
      <c r="AR36" s="178">
        <f t="shared" si="47"/>
        <v>0</v>
      </c>
      <c r="AS36" s="179">
        <f t="shared" si="47"/>
        <v>0</v>
      </c>
      <c r="AT36" s="178">
        <f t="shared" si="47"/>
        <v>0</v>
      </c>
      <c r="AU36" s="178">
        <f t="shared" si="47"/>
        <v>0</v>
      </c>
      <c r="AV36" s="178">
        <f t="shared" si="47"/>
        <v>0</v>
      </c>
      <c r="AW36" s="179">
        <f t="shared" si="47"/>
        <v>0</v>
      </c>
      <c r="AX36" s="178">
        <f t="shared" si="2"/>
        <v>0</v>
      </c>
      <c r="AY36" s="178">
        <f t="shared" si="3"/>
        <v>0</v>
      </c>
      <c r="AZ36" s="179">
        <f t="shared" si="4"/>
        <v>0</v>
      </c>
      <c r="BA36" s="184">
        <f t="shared" si="5"/>
        <v>0</v>
      </c>
      <c r="BB36" s="178">
        <f t="shared" si="6"/>
        <v>0</v>
      </c>
      <c r="BC36" s="184">
        <f t="shared" si="7"/>
        <v>0</v>
      </c>
      <c r="BD36" s="178">
        <f t="shared" si="8"/>
        <v>0</v>
      </c>
      <c r="BE36" s="251">
        <f t="shared" si="10"/>
        <v>0</v>
      </c>
      <c r="BF36" s="252">
        <f t="shared" si="11"/>
        <v>0</v>
      </c>
      <c r="BH36" s="259">
        <f>SUBTOTAL(9,BH37:BH39)</f>
        <v>4769.7401380000001</v>
      </c>
      <c r="BI36" s="259">
        <f t="shared" ref="BI36:BL36" si="48">SUBTOTAL(9,BI37:BI39)</f>
        <v>48825.3</v>
      </c>
      <c r="BJ36" s="259">
        <f t="shared" si="48"/>
        <v>0</v>
      </c>
      <c r="BK36" s="259">
        <f t="shared" si="48"/>
        <v>3396.2353673000002</v>
      </c>
      <c r="BL36" s="259">
        <f t="shared" si="48"/>
        <v>0</v>
      </c>
      <c r="BM36" s="264">
        <f t="shared" si="13"/>
        <v>56991.275505300007</v>
      </c>
      <c r="BO36" s="732" t="str">
        <f t="shared" si="12"/>
        <v/>
      </c>
    </row>
    <row r="37" spans="2:67" ht="15" customHeight="1" x14ac:dyDescent="0.25">
      <c r="B37" s="156">
        <f>B35+1</f>
        <v>8</v>
      </c>
      <c r="C37" s="180" t="s">
        <v>76</v>
      </c>
      <c r="D37" s="181" t="str">
        <f t="shared" ref="D37:D39" si="49">C37</f>
        <v>SBTOU</v>
      </c>
      <c r="E37" s="200" t="s">
        <v>77</v>
      </c>
      <c r="G37" s="488">
        <v>0.4657</v>
      </c>
      <c r="H37" s="490"/>
      <c r="I37" s="494">
        <v>0.15679999999999999</v>
      </c>
      <c r="J37" s="494">
        <v>0.1091</v>
      </c>
      <c r="K37" s="495">
        <v>5.8900000000000001E-2</v>
      </c>
      <c r="L37" s="471"/>
      <c r="M37" s="471"/>
      <c r="N37" s="471"/>
      <c r="O37" s="472"/>
      <c r="P37" s="471"/>
      <c r="Q37" s="471"/>
      <c r="R37" s="472"/>
      <c r="S37" s="490"/>
      <c r="T37" s="471"/>
      <c r="U37" s="491"/>
      <c r="V37" s="492"/>
      <c r="X37" s="183">
        <f>'Q (t)'!G37</f>
        <v>7314600</v>
      </c>
      <c r="Y37" s="184">
        <f>'Q (t)'!H37</f>
        <v>0</v>
      </c>
      <c r="Z37" s="178">
        <f>'Q (t)'!I37</f>
        <v>32600</v>
      </c>
      <c r="AA37" s="178">
        <f>'Q (t)'!J37</f>
        <v>229600</v>
      </c>
      <c r="AB37" s="179">
        <f>'Q (t)'!K37</f>
        <v>205100</v>
      </c>
      <c r="AC37" s="178">
        <f>'Q (t)'!L37</f>
        <v>0</v>
      </c>
      <c r="AD37" s="178">
        <f>'Q (t)'!M37</f>
        <v>0</v>
      </c>
      <c r="AE37" s="178">
        <f>'Q (t)'!N37</f>
        <v>0</v>
      </c>
      <c r="AF37" s="179">
        <f>'Q (t)'!O37</f>
        <v>0</v>
      </c>
      <c r="AG37" s="178">
        <f>'Q (t)'!P37</f>
        <v>0</v>
      </c>
      <c r="AH37" s="178">
        <f>'Q (t)'!Q37</f>
        <v>0</v>
      </c>
      <c r="AI37" s="179">
        <f>'Q (t)'!R37</f>
        <v>0</v>
      </c>
      <c r="AJ37" s="184">
        <f>'Q (t)'!S37</f>
        <v>0</v>
      </c>
      <c r="AK37" s="178">
        <f>'Q (t)'!T37</f>
        <v>0</v>
      </c>
      <c r="AL37" s="184">
        <f>'Q (t)'!U37</f>
        <v>0</v>
      </c>
      <c r="AM37" s="179">
        <f>'Q (t)'!V37</f>
        <v>0</v>
      </c>
      <c r="AO37" s="183">
        <f t="shared" si="9"/>
        <v>3406.40922</v>
      </c>
      <c r="AP37" s="184">
        <f t="shared" si="47"/>
        <v>0</v>
      </c>
      <c r="AQ37" s="178">
        <f t="shared" si="47"/>
        <v>5111.6799999999994</v>
      </c>
      <c r="AR37" s="178">
        <f t="shared" si="47"/>
        <v>25049.360000000001</v>
      </c>
      <c r="AS37" s="179">
        <f t="shared" si="47"/>
        <v>12080.39</v>
      </c>
      <c r="AT37" s="178">
        <f t="shared" si="47"/>
        <v>0</v>
      </c>
      <c r="AU37" s="178">
        <f t="shared" si="47"/>
        <v>0</v>
      </c>
      <c r="AV37" s="178">
        <f t="shared" si="47"/>
        <v>0</v>
      </c>
      <c r="AW37" s="179">
        <f t="shared" si="47"/>
        <v>0</v>
      </c>
      <c r="AX37" s="178">
        <f t="shared" si="2"/>
        <v>0</v>
      </c>
      <c r="AY37" s="178">
        <f t="shared" si="3"/>
        <v>0</v>
      </c>
      <c r="AZ37" s="179">
        <f t="shared" si="4"/>
        <v>0</v>
      </c>
      <c r="BA37" s="184">
        <f t="shared" si="5"/>
        <v>0</v>
      </c>
      <c r="BB37" s="178">
        <f t="shared" si="6"/>
        <v>0</v>
      </c>
      <c r="BC37" s="184">
        <f t="shared" si="7"/>
        <v>0</v>
      </c>
      <c r="BD37" s="178">
        <f t="shared" si="8"/>
        <v>0</v>
      </c>
      <c r="BE37" s="251">
        <f t="shared" si="10"/>
        <v>20040</v>
      </c>
      <c r="BF37" s="252">
        <f t="shared" si="11"/>
        <v>467300</v>
      </c>
      <c r="BH37" s="262">
        <f>SUM(AO37)</f>
        <v>3406.40922</v>
      </c>
      <c r="BI37" s="262">
        <f>SUM(AP37:AS37)</f>
        <v>42241.43</v>
      </c>
      <c r="BJ37" s="262">
        <f>SUM(AT37:AW37)</f>
        <v>0</v>
      </c>
      <c r="BK37" s="263">
        <f>SUM(AX37:BB37)</f>
        <v>0</v>
      </c>
      <c r="BL37" s="269">
        <f>SUM(BC37:BD37)</f>
        <v>0</v>
      </c>
      <c r="BM37" s="264">
        <f t="shared" si="13"/>
        <v>45647.839220000002</v>
      </c>
      <c r="BO37" s="732">
        <f t="shared" si="12"/>
        <v>97.684226877808683</v>
      </c>
    </row>
    <row r="38" spans="2:67" ht="15" customHeight="1" x14ac:dyDescent="0.25">
      <c r="B38" s="156">
        <f t="shared" si="44"/>
        <v>9</v>
      </c>
      <c r="C38" s="180" t="s">
        <v>78</v>
      </c>
      <c r="D38" s="181" t="str">
        <f t="shared" si="49"/>
        <v>SBTOUD</v>
      </c>
      <c r="E38" s="200" t="s">
        <v>79</v>
      </c>
      <c r="G38" s="488">
        <v>0.4657</v>
      </c>
      <c r="H38" s="490"/>
      <c r="I38" s="494">
        <v>0.1255</v>
      </c>
      <c r="J38" s="494">
        <v>8.7300000000000003E-2</v>
      </c>
      <c r="K38" s="495">
        <v>4.7100000000000003E-2</v>
      </c>
      <c r="L38" s="471"/>
      <c r="M38" s="471"/>
      <c r="N38" s="471"/>
      <c r="O38" s="472"/>
      <c r="P38" s="471"/>
      <c r="Q38" s="471"/>
      <c r="R38" s="472"/>
      <c r="S38" s="490"/>
      <c r="T38" s="494">
        <v>8.14E-2</v>
      </c>
      <c r="U38" s="491"/>
      <c r="V38" s="492"/>
      <c r="X38" s="183">
        <f>'Q (t)'!G38</f>
        <v>533265</v>
      </c>
      <c r="Y38" s="184">
        <f>'Q (t)'!H38</f>
        <v>0</v>
      </c>
      <c r="Z38" s="178">
        <f>'Q (t)'!I38</f>
        <v>4400</v>
      </c>
      <c r="AA38" s="178">
        <f>'Q (t)'!J38</f>
        <v>38000</v>
      </c>
      <c r="AB38" s="179">
        <f>'Q (t)'!K38</f>
        <v>25700</v>
      </c>
      <c r="AC38" s="178">
        <f>'Q (t)'!L38</f>
        <v>0</v>
      </c>
      <c r="AD38" s="178">
        <f>'Q (t)'!M38</f>
        <v>0</v>
      </c>
      <c r="AE38" s="178">
        <f>'Q (t)'!N38</f>
        <v>0</v>
      </c>
      <c r="AF38" s="179">
        <f>'Q (t)'!O38</f>
        <v>0</v>
      </c>
      <c r="AG38" s="178">
        <f>'Q (t)'!P38</f>
        <v>0</v>
      </c>
      <c r="AH38" s="178">
        <f>'Q (t)'!Q38</f>
        <v>0</v>
      </c>
      <c r="AI38" s="179">
        <f>'Q (t)'!R38</f>
        <v>0</v>
      </c>
      <c r="AJ38" s="184">
        <f>'Q (t)'!S38</f>
        <v>0</v>
      </c>
      <c r="AK38" s="178">
        <f>'Q (t)'!T38</f>
        <v>26073045</v>
      </c>
      <c r="AL38" s="184">
        <f>'Q (t)'!U38</f>
        <v>0</v>
      </c>
      <c r="AM38" s="179">
        <f>'Q (t)'!V38</f>
        <v>0</v>
      </c>
      <c r="AO38" s="183">
        <f t="shared" si="9"/>
        <v>248.3415105</v>
      </c>
      <c r="AP38" s="184">
        <f t="shared" si="47"/>
        <v>0</v>
      </c>
      <c r="AQ38" s="178">
        <f t="shared" si="47"/>
        <v>552.20000000000005</v>
      </c>
      <c r="AR38" s="178">
        <f t="shared" si="47"/>
        <v>3317.4</v>
      </c>
      <c r="AS38" s="179">
        <f t="shared" si="47"/>
        <v>1210.47</v>
      </c>
      <c r="AT38" s="178">
        <f t="shared" si="47"/>
        <v>0</v>
      </c>
      <c r="AU38" s="178">
        <f t="shared" si="47"/>
        <v>0</v>
      </c>
      <c r="AV38" s="178">
        <f t="shared" si="47"/>
        <v>0</v>
      </c>
      <c r="AW38" s="179">
        <f t="shared" si="47"/>
        <v>0</v>
      </c>
      <c r="AX38" s="178">
        <f t="shared" si="2"/>
        <v>0</v>
      </c>
      <c r="AY38" s="178">
        <f t="shared" si="3"/>
        <v>0</v>
      </c>
      <c r="AZ38" s="179">
        <f t="shared" si="4"/>
        <v>0</v>
      </c>
      <c r="BA38" s="184">
        <f t="shared" si="5"/>
        <v>0</v>
      </c>
      <c r="BB38" s="178">
        <f t="shared" si="6"/>
        <v>2122.345863</v>
      </c>
      <c r="BC38" s="184">
        <f t="shared" si="7"/>
        <v>0</v>
      </c>
      <c r="BD38" s="178">
        <f t="shared" si="8"/>
        <v>0</v>
      </c>
      <c r="BE38" s="251">
        <f t="shared" si="10"/>
        <v>1461</v>
      </c>
      <c r="BF38" s="252">
        <f t="shared" si="11"/>
        <v>68100</v>
      </c>
      <c r="BH38" s="262">
        <f>SUM(AO38)</f>
        <v>248.3415105</v>
      </c>
      <c r="BI38" s="262">
        <f>SUM(AP38:AS38)</f>
        <v>5080.0700000000006</v>
      </c>
      <c r="BJ38" s="262">
        <f>SUM(AT38:AW38)</f>
        <v>0</v>
      </c>
      <c r="BK38" s="263">
        <f>SUM(AX38:BB38)</f>
        <v>2122.345863</v>
      </c>
      <c r="BL38" s="269">
        <f>SUM(BC38:BD38)</f>
        <v>0</v>
      </c>
      <c r="BM38" s="264">
        <f t="shared" si="13"/>
        <v>7450.7573735000005</v>
      </c>
      <c r="BO38" s="732">
        <f t="shared" si="12"/>
        <v>109.40906569016154</v>
      </c>
    </row>
    <row r="39" spans="2:67" ht="15" customHeight="1" x14ac:dyDescent="0.25">
      <c r="B39" s="162">
        <f t="shared" si="44"/>
        <v>10</v>
      </c>
      <c r="C39" s="187" t="s">
        <v>80</v>
      </c>
      <c r="D39" s="188" t="str">
        <f t="shared" si="49"/>
        <v>SBD</v>
      </c>
      <c r="E39" s="203" t="s">
        <v>81</v>
      </c>
      <c r="G39" s="496">
        <v>2.7397</v>
      </c>
      <c r="H39" s="497">
        <v>5.1499999999999997E-2</v>
      </c>
      <c r="I39" s="498"/>
      <c r="J39" s="498"/>
      <c r="K39" s="499"/>
      <c r="L39" s="498"/>
      <c r="M39" s="498"/>
      <c r="N39" s="498"/>
      <c r="O39" s="499"/>
      <c r="P39" s="498"/>
      <c r="Q39" s="500">
        <v>0.30940000000000001</v>
      </c>
      <c r="R39" s="501">
        <v>0.15310000000000001</v>
      </c>
      <c r="S39" s="502"/>
      <c r="T39" s="498"/>
      <c r="U39" s="503"/>
      <c r="V39" s="504"/>
      <c r="X39" s="190">
        <f>'Q (t)'!G39</f>
        <v>406975</v>
      </c>
      <c r="Y39" s="197">
        <f>'Q (t)'!H39</f>
        <v>29200</v>
      </c>
      <c r="Z39" s="192">
        <f>'Q (t)'!I39</f>
        <v>0</v>
      </c>
      <c r="AA39" s="192">
        <f>'Q (t)'!J39</f>
        <v>0</v>
      </c>
      <c r="AB39" s="193">
        <f>'Q (t)'!K39</f>
        <v>0</v>
      </c>
      <c r="AC39" s="192">
        <f>'Q (t)'!L39</f>
        <v>0</v>
      </c>
      <c r="AD39" s="192">
        <f>'Q (t)'!M39</f>
        <v>0</v>
      </c>
      <c r="AE39" s="192">
        <f>'Q (t)'!N39</f>
        <v>0</v>
      </c>
      <c r="AF39" s="193">
        <f>'Q (t)'!O39</f>
        <v>0</v>
      </c>
      <c r="AG39" s="192">
        <f>'Q (t)'!P39</f>
        <v>0</v>
      </c>
      <c r="AH39" s="192">
        <f>'Q (t)'!Q39</f>
        <v>1825137</v>
      </c>
      <c r="AI39" s="193">
        <f>'Q (t)'!R39</f>
        <v>4632215</v>
      </c>
      <c r="AJ39" s="197">
        <f>'Q (t)'!S39</f>
        <v>0</v>
      </c>
      <c r="AK39" s="192">
        <f>'Q (t)'!T39</f>
        <v>0</v>
      </c>
      <c r="AL39" s="197">
        <f>'Q (t)'!U39</f>
        <v>0</v>
      </c>
      <c r="AM39" s="193">
        <f>'Q (t)'!V39</f>
        <v>0</v>
      </c>
      <c r="AO39" s="190">
        <f t="shared" si="9"/>
        <v>1114.9894075</v>
      </c>
      <c r="AP39" s="197">
        <f t="shared" si="47"/>
        <v>1503.8</v>
      </c>
      <c r="AQ39" s="192">
        <f t="shared" si="47"/>
        <v>0</v>
      </c>
      <c r="AR39" s="192">
        <f t="shared" si="47"/>
        <v>0</v>
      </c>
      <c r="AS39" s="193">
        <f t="shared" si="47"/>
        <v>0</v>
      </c>
      <c r="AT39" s="192">
        <f t="shared" si="47"/>
        <v>0</v>
      </c>
      <c r="AU39" s="192">
        <f t="shared" si="47"/>
        <v>0</v>
      </c>
      <c r="AV39" s="192">
        <f t="shared" si="47"/>
        <v>0</v>
      </c>
      <c r="AW39" s="193">
        <f t="shared" si="47"/>
        <v>0</v>
      </c>
      <c r="AX39" s="192">
        <f t="shared" si="2"/>
        <v>0</v>
      </c>
      <c r="AY39" s="192">
        <f t="shared" si="3"/>
        <v>564.6973878</v>
      </c>
      <c r="AZ39" s="193">
        <f t="shared" si="4"/>
        <v>709.19211650000011</v>
      </c>
      <c r="BA39" s="197">
        <f t="shared" si="5"/>
        <v>0</v>
      </c>
      <c r="BB39" s="192">
        <f t="shared" si="6"/>
        <v>0</v>
      </c>
      <c r="BC39" s="197">
        <f t="shared" si="7"/>
        <v>0</v>
      </c>
      <c r="BD39" s="192">
        <f t="shared" si="8"/>
        <v>0</v>
      </c>
      <c r="BE39" s="253">
        <f t="shared" si="10"/>
        <v>1115</v>
      </c>
      <c r="BF39" s="254">
        <f t="shared" si="11"/>
        <v>29200</v>
      </c>
      <c r="BH39" s="262">
        <f>SUM(AO39)</f>
        <v>1114.9894075</v>
      </c>
      <c r="BI39" s="262">
        <f>SUM(AP39:AS39)</f>
        <v>1503.8</v>
      </c>
      <c r="BJ39" s="262">
        <f>SUM(AT39:AW39)</f>
        <v>0</v>
      </c>
      <c r="BK39" s="263">
        <f>SUM(AX39:BB39)</f>
        <v>1273.8895043000002</v>
      </c>
      <c r="BL39" s="269">
        <f>SUM(BC39:BD39)</f>
        <v>0</v>
      </c>
      <c r="BM39" s="264">
        <f t="shared" si="13"/>
        <v>3892.6789118000002</v>
      </c>
      <c r="BO39" s="732">
        <f t="shared" si="12"/>
        <v>133.31092163698631</v>
      </c>
    </row>
    <row r="40" spans="2:67" ht="15" customHeight="1" x14ac:dyDescent="0.25">
      <c r="B40" s="167" t="s">
        <v>82</v>
      </c>
      <c r="C40" s="151" t="s">
        <v>83</v>
      </c>
      <c r="D40" s="151"/>
      <c r="E40" s="204"/>
      <c r="G40" s="505"/>
      <c r="H40" s="506"/>
      <c r="I40" s="507"/>
      <c r="J40" s="507"/>
      <c r="K40" s="508"/>
      <c r="L40" s="507"/>
      <c r="M40" s="507"/>
      <c r="N40" s="507"/>
      <c r="O40" s="508"/>
      <c r="P40" s="507"/>
      <c r="Q40" s="507"/>
      <c r="R40" s="508"/>
      <c r="S40" s="506"/>
      <c r="T40" s="507"/>
      <c r="U40" s="506"/>
      <c r="V40" s="508"/>
      <c r="X40" s="205">
        <f>'Q (t)'!G40</f>
        <v>0</v>
      </c>
      <c r="Y40" s="206">
        <f>'Q (t)'!H40</f>
        <v>0</v>
      </c>
      <c r="Z40" s="207">
        <f>'Q (t)'!I40</f>
        <v>0</v>
      </c>
      <c r="AA40" s="207">
        <f>'Q (t)'!J40</f>
        <v>0</v>
      </c>
      <c r="AB40" s="208">
        <f>'Q (t)'!K40</f>
        <v>0</v>
      </c>
      <c r="AC40" s="207">
        <f>'Q (t)'!L40</f>
        <v>0</v>
      </c>
      <c r="AD40" s="207">
        <f>'Q (t)'!M40</f>
        <v>0</v>
      </c>
      <c r="AE40" s="207">
        <f>'Q (t)'!N40</f>
        <v>0</v>
      </c>
      <c r="AF40" s="208">
        <f>'Q (t)'!O40</f>
        <v>0</v>
      </c>
      <c r="AG40" s="207">
        <f>'Q (t)'!P40</f>
        <v>0</v>
      </c>
      <c r="AH40" s="207">
        <f>'Q (t)'!Q40</f>
        <v>0</v>
      </c>
      <c r="AI40" s="208">
        <f>'Q (t)'!R40</f>
        <v>0</v>
      </c>
      <c r="AJ40" s="206">
        <f>'Q (t)'!S40</f>
        <v>0</v>
      </c>
      <c r="AK40" s="207">
        <f>'Q (t)'!T40</f>
        <v>0</v>
      </c>
      <c r="AL40" s="206">
        <f>'Q (t)'!U40</f>
        <v>0</v>
      </c>
      <c r="AM40" s="208">
        <f>'Q (t)'!V40</f>
        <v>0</v>
      </c>
      <c r="AO40" s="205">
        <f t="shared" si="9"/>
        <v>0</v>
      </c>
      <c r="AP40" s="206">
        <f t="shared" si="47"/>
        <v>0</v>
      </c>
      <c r="AQ40" s="207">
        <f t="shared" si="47"/>
        <v>0</v>
      </c>
      <c r="AR40" s="207">
        <f t="shared" si="47"/>
        <v>0</v>
      </c>
      <c r="AS40" s="208">
        <f t="shared" si="47"/>
        <v>0</v>
      </c>
      <c r="AT40" s="207">
        <f t="shared" si="47"/>
        <v>0</v>
      </c>
      <c r="AU40" s="207">
        <f t="shared" si="47"/>
        <v>0</v>
      </c>
      <c r="AV40" s="207">
        <f t="shared" si="47"/>
        <v>0</v>
      </c>
      <c r="AW40" s="208">
        <f t="shared" si="47"/>
        <v>0</v>
      </c>
      <c r="AX40" s="207">
        <f t="shared" si="2"/>
        <v>0</v>
      </c>
      <c r="AY40" s="207">
        <f t="shared" si="3"/>
        <v>0</v>
      </c>
      <c r="AZ40" s="208">
        <f t="shared" si="4"/>
        <v>0</v>
      </c>
      <c r="BA40" s="206">
        <f t="shared" si="5"/>
        <v>0</v>
      </c>
      <c r="BB40" s="207">
        <f t="shared" si="6"/>
        <v>0</v>
      </c>
      <c r="BC40" s="206">
        <f t="shared" si="7"/>
        <v>0</v>
      </c>
      <c r="BD40" s="207">
        <f t="shared" si="8"/>
        <v>0</v>
      </c>
      <c r="BE40" s="249">
        <f t="shared" si="10"/>
        <v>0</v>
      </c>
      <c r="BF40" s="250">
        <f t="shared" si="11"/>
        <v>0</v>
      </c>
      <c r="BH40" s="260">
        <f>SUBTOTAL(9,BH41:BH67)</f>
        <v>10552.2546215</v>
      </c>
      <c r="BI40" s="260">
        <f>SUBTOTAL(9,BI41:BI67)</f>
        <v>95907.7</v>
      </c>
      <c r="BJ40" s="260">
        <f>SUBTOTAL(9,BJ41:BJ67)</f>
        <v>0</v>
      </c>
      <c r="BK40" s="260">
        <f>SUBTOTAL(9,BK41:BK67)</f>
        <v>77103.9261539</v>
      </c>
      <c r="BL40" s="260">
        <f>SUBTOTAL(9,BL41:BL67)</f>
        <v>0</v>
      </c>
      <c r="BM40" s="264">
        <f t="shared" si="13"/>
        <v>183563.8807754</v>
      </c>
      <c r="BO40" s="732" t="str">
        <f t="shared" si="12"/>
        <v/>
      </c>
    </row>
    <row r="41" spans="2:67" ht="15" customHeight="1" x14ac:dyDescent="0.25">
      <c r="B41" s="156"/>
      <c r="C41" s="126" t="s">
        <v>84</v>
      </c>
      <c r="D41" s="173"/>
      <c r="E41" s="202"/>
      <c r="G41" s="493"/>
      <c r="H41" s="490"/>
      <c r="I41" s="471"/>
      <c r="J41" s="471"/>
      <c r="K41" s="472"/>
      <c r="L41" s="471"/>
      <c r="M41" s="471"/>
      <c r="N41" s="471"/>
      <c r="O41" s="472"/>
      <c r="P41" s="471"/>
      <c r="Q41" s="471"/>
      <c r="R41" s="472"/>
      <c r="S41" s="490"/>
      <c r="T41" s="471"/>
      <c r="U41" s="490"/>
      <c r="V41" s="472"/>
      <c r="X41" s="183">
        <f>'Q (t)'!G41</f>
        <v>0</v>
      </c>
      <c r="Y41" s="184">
        <f>'Q (t)'!H41</f>
        <v>0</v>
      </c>
      <c r="Z41" s="178">
        <f>'Q (t)'!I41</f>
        <v>0</v>
      </c>
      <c r="AA41" s="178">
        <f>'Q (t)'!J41</f>
        <v>0</v>
      </c>
      <c r="AB41" s="179">
        <f>'Q (t)'!K41</f>
        <v>0</v>
      </c>
      <c r="AC41" s="178">
        <f>'Q (t)'!L41</f>
        <v>0</v>
      </c>
      <c r="AD41" s="178">
        <f>'Q (t)'!M41</f>
        <v>0</v>
      </c>
      <c r="AE41" s="178">
        <f>'Q (t)'!N41</f>
        <v>0</v>
      </c>
      <c r="AF41" s="179">
        <f>'Q (t)'!O41</f>
        <v>0</v>
      </c>
      <c r="AG41" s="178">
        <f>'Q (t)'!P41</f>
        <v>0</v>
      </c>
      <c r="AH41" s="178">
        <f>'Q (t)'!Q41</f>
        <v>0</v>
      </c>
      <c r="AI41" s="179">
        <f>'Q (t)'!R41</f>
        <v>0</v>
      </c>
      <c r="AJ41" s="184">
        <f>'Q (t)'!S41</f>
        <v>0</v>
      </c>
      <c r="AK41" s="178">
        <f>'Q (t)'!T41</f>
        <v>0</v>
      </c>
      <c r="AL41" s="184">
        <f>'Q (t)'!U41</f>
        <v>0</v>
      </c>
      <c r="AM41" s="179">
        <f>'Q (t)'!V41</f>
        <v>0</v>
      </c>
      <c r="AO41" s="183">
        <f t="shared" si="9"/>
        <v>0</v>
      </c>
      <c r="AP41" s="184">
        <f t="shared" si="47"/>
        <v>0</v>
      </c>
      <c r="AQ41" s="178">
        <f t="shared" si="47"/>
        <v>0</v>
      </c>
      <c r="AR41" s="178">
        <f t="shared" si="47"/>
        <v>0</v>
      </c>
      <c r="AS41" s="179">
        <f t="shared" si="47"/>
        <v>0</v>
      </c>
      <c r="AT41" s="178">
        <f t="shared" si="47"/>
        <v>0</v>
      </c>
      <c r="AU41" s="178">
        <f t="shared" si="47"/>
        <v>0</v>
      </c>
      <c r="AV41" s="178">
        <f t="shared" si="47"/>
        <v>0</v>
      </c>
      <c r="AW41" s="179">
        <f t="shared" si="47"/>
        <v>0</v>
      </c>
      <c r="AX41" s="178">
        <f t="shared" si="2"/>
        <v>0</v>
      </c>
      <c r="AY41" s="178">
        <f t="shared" si="3"/>
        <v>0</v>
      </c>
      <c r="AZ41" s="179">
        <f t="shared" si="4"/>
        <v>0</v>
      </c>
      <c r="BA41" s="184">
        <f t="shared" si="5"/>
        <v>0</v>
      </c>
      <c r="BB41" s="178">
        <f t="shared" si="6"/>
        <v>0</v>
      </c>
      <c r="BC41" s="184">
        <f t="shared" si="7"/>
        <v>0</v>
      </c>
      <c r="BD41" s="178">
        <f t="shared" si="8"/>
        <v>0</v>
      </c>
      <c r="BE41" s="251">
        <f t="shared" si="10"/>
        <v>0</v>
      </c>
      <c r="BF41" s="252">
        <f t="shared" si="11"/>
        <v>0</v>
      </c>
      <c r="BH41" s="259">
        <f>SUBTOTAL(9,BH42:BH45)</f>
        <v>0.27942</v>
      </c>
      <c r="BI41" s="259">
        <f t="shared" ref="BI41:BL41" si="50">SUBTOTAL(9,BI42:BI45)</f>
        <v>33.760000000000005</v>
      </c>
      <c r="BJ41" s="259">
        <f t="shared" si="50"/>
        <v>0</v>
      </c>
      <c r="BK41" s="259">
        <f t="shared" si="50"/>
        <v>0</v>
      </c>
      <c r="BL41" s="259">
        <f t="shared" si="50"/>
        <v>0</v>
      </c>
      <c r="BM41" s="264">
        <f t="shared" si="13"/>
        <v>34.039420000000007</v>
      </c>
      <c r="BO41" s="732" t="str">
        <f t="shared" si="12"/>
        <v/>
      </c>
    </row>
    <row r="42" spans="2:67" ht="15" customHeight="1" x14ac:dyDescent="0.25">
      <c r="B42" s="156">
        <f t="shared" si="44"/>
        <v>1</v>
      </c>
      <c r="C42" s="180" t="s">
        <v>85</v>
      </c>
      <c r="D42" s="181" t="str">
        <f t="shared" ref="D42:D45" si="51">C42</f>
        <v>LBSR</v>
      </c>
      <c r="E42" s="200" t="s">
        <v>86</v>
      </c>
      <c r="G42" s="488">
        <v>0.4657</v>
      </c>
      <c r="H42" s="489">
        <v>0.1255</v>
      </c>
      <c r="I42" s="471"/>
      <c r="J42" s="471"/>
      <c r="K42" s="472"/>
      <c r="L42" s="471"/>
      <c r="M42" s="471"/>
      <c r="N42" s="471"/>
      <c r="O42" s="472"/>
      <c r="P42" s="471"/>
      <c r="Q42" s="471"/>
      <c r="R42" s="472"/>
      <c r="S42" s="490"/>
      <c r="T42" s="471"/>
      <c r="U42" s="491"/>
      <c r="V42" s="492"/>
      <c r="X42" s="183">
        <f>'Q (t)'!G42</f>
        <v>200</v>
      </c>
      <c r="Y42" s="184">
        <f>'Q (t)'!H42</f>
        <v>100</v>
      </c>
      <c r="Z42" s="178">
        <f>'Q (t)'!I42</f>
        <v>0</v>
      </c>
      <c r="AA42" s="178">
        <f>'Q (t)'!J42</f>
        <v>0</v>
      </c>
      <c r="AB42" s="179">
        <f>'Q (t)'!K42</f>
        <v>0</v>
      </c>
      <c r="AC42" s="178">
        <f>'Q (t)'!L42</f>
        <v>0</v>
      </c>
      <c r="AD42" s="178">
        <f>'Q (t)'!M42</f>
        <v>0</v>
      </c>
      <c r="AE42" s="178">
        <f>'Q (t)'!N42</f>
        <v>0</v>
      </c>
      <c r="AF42" s="179">
        <f>'Q (t)'!O42</f>
        <v>0</v>
      </c>
      <c r="AG42" s="178">
        <f>'Q (t)'!P42</f>
        <v>0</v>
      </c>
      <c r="AH42" s="178">
        <f>'Q (t)'!Q42</f>
        <v>0</v>
      </c>
      <c r="AI42" s="179">
        <f>'Q (t)'!R42</f>
        <v>0</v>
      </c>
      <c r="AJ42" s="184">
        <f>'Q (t)'!S42</f>
        <v>0</v>
      </c>
      <c r="AK42" s="178">
        <f>'Q (t)'!T42</f>
        <v>0</v>
      </c>
      <c r="AL42" s="184">
        <f>'Q (t)'!U42</f>
        <v>0</v>
      </c>
      <c r="AM42" s="179">
        <f>'Q (t)'!V42</f>
        <v>0</v>
      </c>
      <c r="AO42" s="183">
        <f t="shared" si="9"/>
        <v>9.3140000000000001E-2</v>
      </c>
      <c r="AP42" s="184">
        <f t="shared" si="47"/>
        <v>12.55</v>
      </c>
      <c r="AQ42" s="178">
        <f t="shared" si="47"/>
        <v>0</v>
      </c>
      <c r="AR42" s="178">
        <f t="shared" si="47"/>
        <v>0</v>
      </c>
      <c r="AS42" s="179">
        <f t="shared" si="47"/>
        <v>0</v>
      </c>
      <c r="AT42" s="178">
        <f t="shared" si="47"/>
        <v>0</v>
      </c>
      <c r="AU42" s="178">
        <f t="shared" si="47"/>
        <v>0</v>
      </c>
      <c r="AV42" s="178">
        <f t="shared" si="47"/>
        <v>0</v>
      </c>
      <c r="AW42" s="179">
        <f t="shared" si="47"/>
        <v>0</v>
      </c>
      <c r="AX42" s="178">
        <f t="shared" si="2"/>
        <v>0</v>
      </c>
      <c r="AY42" s="178">
        <f t="shared" si="3"/>
        <v>0</v>
      </c>
      <c r="AZ42" s="179">
        <f t="shared" si="4"/>
        <v>0</v>
      </c>
      <c r="BA42" s="184">
        <f t="shared" si="5"/>
        <v>0</v>
      </c>
      <c r="BB42" s="178">
        <f t="shared" si="6"/>
        <v>0</v>
      </c>
      <c r="BC42" s="184">
        <f t="shared" si="7"/>
        <v>0</v>
      </c>
      <c r="BD42" s="178">
        <f t="shared" si="8"/>
        <v>0</v>
      </c>
      <c r="BE42" s="251">
        <f t="shared" si="10"/>
        <v>0.54794520547945202</v>
      </c>
      <c r="BF42" s="252">
        <f t="shared" si="11"/>
        <v>100</v>
      </c>
      <c r="BH42" s="262">
        <f>SUM(AO42)</f>
        <v>9.3140000000000001E-2</v>
      </c>
      <c r="BI42" s="262">
        <f>SUM(AP42:AS42)</f>
        <v>12.55</v>
      </c>
      <c r="BJ42" s="262">
        <f>SUM(AT42:AW42)</f>
        <v>0</v>
      </c>
      <c r="BK42" s="263">
        <f>SUM(AX42:BB42)</f>
        <v>0</v>
      </c>
      <c r="BL42" s="269">
        <f>SUM(BC42:BD42)</f>
        <v>0</v>
      </c>
      <c r="BM42" s="264">
        <f t="shared" si="13"/>
        <v>12.643140000000001</v>
      </c>
      <c r="BO42" s="732">
        <f t="shared" si="12"/>
        <v>126.43140000000001</v>
      </c>
    </row>
    <row r="43" spans="2:67" ht="15" customHeight="1" x14ac:dyDescent="0.25">
      <c r="B43" s="156">
        <f t="shared" si="44"/>
        <v>2</v>
      </c>
      <c r="C43" s="180" t="s">
        <v>87</v>
      </c>
      <c r="D43" s="181" t="str">
        <f t="shared" si="51"/>
        <v>LBSRCL</v>
      </c>
      <c r="E43" s="200" t="s">
        <v>88</v>
      </c>
      <c r="G43" s="488">
        <f>G42</f>
        <v>0.4657</v>
      </c>
      <c r="H43" s="489">
        <f>H42</f>
        <v>0.1255</v>
      </c>
      <c r="I43" s="471"/>
      <c r="J43" s="471"/>
      <c r="K43" s="472"/>
      <c r="L43" s="494">
        <f>L32</f>
        <v>4.6199999999999998E-2</v>
      </c>
      <c r="M43" s="471"/>
      <c r="N43" s="471"/>
      <c r="O43" s="472"/>
      <c r="P43" s="471"/>
      <c r="Q43" s="471"/>
      <c r="R43" s="472"/>
      <c r="S43" s="490"/>
      <c r="T43" s="471"/>
      <c r="U43" s="491"/>
      <c r="V43" s="492"/>
      <c r="X43" s="183">
        <f>'Q (t)'!G43</f>
        <v>0</v>
      </c>
      <c r="Y43" s="184">
        <f>'Q (t)'!H43</f>
        <v>0</v>
      </c>
      <c r="Z43" s="178">
        <f>'Q (t)'!I43</f>
        <v>0</v>
      </c>
      <c r="AA43" s="178">
        <f>'Q (t)'!J43</f>
        <v>0</v>
      </c>
      <c r="AB43" s="179">
        <f>'Q (t)'!K43</f>
        <v>0</v>
      </c>
      <c r="AC43" s="178">
        <f>'Q (t)'!L43</f>
        <v>0</v>
      </c>
      <c r="AD43" s="178">
        <f>'Q (t)'!M43</f>
        <v>0</v>
      </c>
      <c r="AE43" s="178">
        <f>'Q (t)'!N43</f>
        <v>0</v>
      </c>
      <c r="AF43" s="179">
        <f>'Q (t)'!O43</f>
        <v>0</v>
      </c>
      <c r="AG43" s="178">
        <f>'Q (t)'!P43</f>
        <v>0</v>
      </c>
      <c r="AH43" s="178">
        <f>'Q (t)'!Q43</f>
        <v>0</v>
      </c>
      <c r="AI43" s="179">
        <f>'Q (t)'!R43</f>
        <v>0</v>
      </c>
      <c r="AJ43" s="184">
        <f>'Q (t)'!S43</f>
        <v>0</v>
      </c>
      <c r="AK43" s="178">
        <f>'Q (t)'!T43</f>
        <v>0</v>
      </c>
      <c r="AL43" s="184">
        <f>'Q (t)'!U43</f>
        <v>0</v>
      </c>
      <c r="AM43" s="179">
        <f>'Q (t)'!V43</f>
        <v>0</v>
      </c>
      <c r="AO43" s="183">
        <f t="shared" si="9"/>
        <v>0</v>
      </c>
      <c r="AP43" s="184">
        <f t="shared" si="47"/>
        <v>0</v>
      </c>
      <c r="AQ43" s="178">
        <f t="shared" si="47"/>
        <v>0</v>
      </c>
      <c r="AR43" s="178">
        <f t="shared" si="47"/>
        <v>0</v>
      </c>
      <c r="AS43" s="179">
        <f t="shared" si="47"/>
        <v>0</v>
      </c>
      <c r="AT43" s="178">
        <f t="shared" si="47"/>
        <v>0</v>
      </c>
      <c r="AU43" s="178">
        <f t="shared" si="47"/>
        <v>0</v>
      </c>
      <c r="AV43" s="178">
        <f t="shared" si="47"/>
        <v>0</v>
      </c>
      <c r="AW43" s="179">
        <f t="shared" si="47"/>
        <v>0</v>
      </c>
      <c r="AX43" s="178">
        <f t="shared" si="2"/>
        <v>0</v>
      </c>
      <c r="AY43" s="178">
        <f t="shared" si="3"/>
        <v>0</v>
      </c>
      <c r="AZ43" s="179">
        <f t="shared" si="4"/>
        <v>0</v>
      </c>
      <c r="BA43" s="184">
        <f t="shared" si="5"/>
        <v>0</v>
      </c>
      <c r="BB43" s="178">
        <f t="shared" si="6"/>
        <v>0</v>
      </c>
      <c r="BC43" s="184">
        <f t="shared" si="7"/>
        <v>0</v>
      </c>
      <c r="BD43" s="178">
        <f t="shared" si="8"/>
        <v>0</v>
      </c>
      <c r="BE43" s="251">
        <f t="shared" si="10"/>
        <v>0</v>
      </c>
      <c r="BF43" s="252">
        <f t="shared" si="11"/>
        <v>0</v>
      </c>
      <c r="BH43" s="262">
        <f>SUM(AO43)</f>
        <v>0</v>
      </c>
      <c r="BI43" s="262">
        <f>SUM(AP43:AS43)</f>
        <v>0</v>
      </c>
      <c r="BJ43" s="262">
        <f>SUM(AT43:AW43)</f>
        <v>0</v>
      </c>
      <c r="BK43" s="263">
        <f>SUM(AX43:BB43)</f>
        <v>0</v>
      </c>
      <c r="BL43" s="269">
        <f>SUM(BC43:BD43)</f>
        <v>0</v>
      </c>
      <c r="BM43" s="264">
        <f t="shared" si="13"/>
        <v>0</v>
      </c>
      <c r="BO43" s="732" t="str">
        <f t="shared" si="12"/>
        <v/>
      </c>
    </row>
    <row r="44" spans="2:67" ht="15" customHeight="1" x14ac:dyDescent="0.25">
      <c r="B44" s="156">
        <f t="shared" si="44"/>
        <v>3</v>
      </c>
      <c r="C44" s="180" t="s">
        <v>89</v>
      </c>
      <c r="D44" s="181" t="str">
        <f t="shared" si="51"/>
        <v>LB2R</v>
      </c>
      <c r="E44" s="200" t="s">
        <v>90</v>
      </c>
      <c r="G44" s="488">
        <v>0.4657</v>
      </c>
      <c r="H44" s="490"/>
      <c r="I44" s="494">
        <v>0.1414</v>
      </c>
      <c r="J44" s="471"/>
      <c r="K44" s="495">
        <v>7.0699999999999999E-2</v>
      </c>
      <c r="L44" s="471"/>
      <c r="M44" s="471"/>
      <c r="N44" s="471"/>
      <c r="O44" s="472"/>
      <c r="P44" s="471"/>
      <c r="Q44" s="471"/>
      <c r="R44" s="472"/>
      <c r="S44" s="490"/>
      <c r="T44" s="471"/>
      <c r="U44" s="491"/>
      <c r="V44" s="492"/>
      <c r="X44" s="183">
        <f>'Q (t)'!G44</f>
        <v>400</v>
      </c>
      <c r="Y44" s="184">
        <f>'Q (t)'!H44</f>
        <v>0</v>
      </c>
      <c r="Z44" s="178">
        <f>'Q (t)'!I44</f>
        <v>100</v>
      </c>
      <c r="AA44" s="178">
        <f>'Q (t)'!J44</f>
        <v>0</v>
      </c>
      <c r="AB44" s="179">
        <f>'Q (t)'!K44</f>
        <v>100</v>
      </c>
      <c r="AC44" s="178">
        <f>'Q (t)'!L44</f>
        <v>0</v>
      </c>
      <c r="AD44" s="178">
        <f>'Q (t)'!M44</f>
        <v>0</v>
      </c>
      <c r="AE44" s="178">
        <f>'Q (t)'!N44</f>
        <v>0</v>
      </c>
      <c r="AF44" s="179">
        <f>'Q (t)'!O44</f>
        <v>0</v>
      </c>
      <c r="AG44" s="178">
        <f>'Q (t)'!P44</f>
        <v>0</v>
      </c>
      <c r="AH44" s="178">
        <f>'Q (t)'!Q44</f>
        <v>0</v>
      </c>
      <c r="AI44" s="179">
        <f>'Q (t)'!R44</f>
        <v>0</v>
      </c>
      <c r="AJ44" s="184">
        <f>'Q (t)'!S44</f>
        <v>0</v>
      </c>
      <c r="AK44" s="178">
        <f>'Q (t)'!T44</f>
        <v>0</v>
      </c>
      <c r="AL44" s="184">
        <f>'Q (t)'!U44</f>
        <v>0</v>
      </c>
      <c r="AM44" s="179">
        <f>'Q (t)'!V44</f>
        <v>0</v>
      </c>
      <c r="AO44" s="183">
        <f t="shared" si="9"/>
        <v>0.18628</v>
      </c>
      <c r="AP44" s="184">
        <f t="shared" si="47"/>
        <v>0</v>
      </c>
      <c r="AQ44" s="178">
        <f t="shared" si="47"/>
        <v>14.14</v>
      </c>
      <c r="AR44" s="178">
        <f t="shared" si="47"/>
        <v>0</v>
      </c>
      <c r="AS44" s="179">
        <f t="shared" si="47"/>
        <v>7.07</v>
      </c>
      <c r="AT44" s="178">
        <f t="shared" si="47"/>
        <v>0</v>
      </c>
      <c r="AU44" s="178">
        <f t="shared" si="47"/>
        <v>0</v>
      </c>
      <c r="AV44" s="178">
        <f t="shared" si="47"/>
        <v>0</v>
      </c>
      <c r="AW44" s="179">
        <f t="shared" si="47"/>
        <v>0</v>
      </c>
      <c r="AX44" s="178">
        <f t="shared" si="2"/>
        <v>0</v>
      </c>
      <c r="AY44" s="178">
        <f t="shared" si="3"/>
        <v>0</v>
      </c>
      <c r="AZ44" s="179">
        <f t="shared" si="4"/>
        <v>0</v>
      </c>
      <c r="BA44" s="184">
        <f t="shared" si="5"/>
        <v>0</v>
      </c>
      <c r="BB44" s="178">
        <f t="shared" si="6"/>
        <v>0</v>
      </c>
      <c r="BC44" s="184">
        <f t="shared" si="7"/>
        <v>0</v>
      </c>
      <c r="BD44" s="178">
        <f t="shared" si="8"/>
        <v>0</v>
      </c>
      <c r="BE44" s="251">
        <f t="shared" si="10"/>
        <v>1.095890410958904</v>
      </c>
      <c r="BF44" s="252">
        <f t="shared" si="11"/>
        <v>200</v>
      </c>
      <c r="BH44" s="262">
        <f>SUM(AO44)</f>
        <v>0.18628</v>
      </c>
      <c r="BI44" s="262">
        <f>SUM(AP44:AS44)</f>
        <v>21.21</v>
      </c>
      <c r="BJ44" s="262">
        <f>SUM(AT44:AW44)</f>
        <v>0</v>
      </c>
      <c r="BK44" s="263">
        <f>SUM(AX44:BB44)</f>
        <v>0</v>
      </c>
      <c r="BL44" s="269">
        <f>SUM(BC44:BD44)</f>
        <v>0</v>
      </c>
      <c r="BM44" s="264">
        <f t="shared" si="13"/>
        <v>21.396280000000001</v>
      </c>
      <c r="BO44" s="732">
        <f t="shared" si="12"/>
        <v>106.98140000000001</v>
      </c>
    </row>
    <row r="45" spans="2:67" ht="15" customHeight="1" x14ac:dyDescent="0.25">
      <c r="B45" s="156">
        <f t="shared" si="44"/>
        <v>4</v>
      </c>
      <c r="C45" s="180" t="s">
        <v>91</v>
      </c>
      <c r="D45" s="181" t="str">
        <f t="shared" si="51"/>
        <v>LB2RCL</v>
      </c>
      <c r="E45" s="209" t="s">
        <v>92</v>
      </c>
      <c r="G45" s="488">
        <f>G44</f>
        <v>0.4657</v>
      </c>
      <c r="H45" s="490"/>
      <c r="I45" s="494">
        <f>I44</f>
        <v>0.1414</v>
      </c>
      <c r="J45" s="471"/>
      <c r="K45" s="495">
        <f>K44</f>
        <v>7.0699999999999999E-2</v>
      </c>
      <c r="L45" s="494">
        <f>L34</f>
        <v>4.6199999999999998E-2</v>
      </c>
      <c r="M45" s="471"/>
      <c r="N45" s="471"/>
      <c r="O45" s="472"/>
      <c r="P45" s="471"/>
      <c r="Q45" s="471"/>
      <c r="R45" s="472"/>
      <c r="S45" s="490"/>
      <c r="T45" s="471"/>
      <c r="U45" s="491"/>
      <c r="V45" s="492"/>
      <c r="X45" s="183">
        <f>'Q (t)'!G45</f>
        <v>0</v>
      </c>
      <c r="Y45" s="184">
        <f>'Q (t)'!H45</f>
        <v>0</v>
      </c>
      <c r="Z45" s="178">
        <f>'Q (t)'!I45</f>
        <v>0</v>
      </c>
      <c r="AA45" s="178">
        <f>'Q (t)'!J45</f>
        <v>0</v>
      </c>
      <c r="AB45" s="179">
        <f>'Q (t)'!K45</f>
        <v>0</v>
      </c>
      <c r="AC45" s="178">
        <f>'Q (t)'!L45</f>
        <v>0</v>
      </c>
      <c r="AD45" s="178">
        <f>'Q (t)'!M45</f>
        <v>0</v>
      </c>
      <c r="AE45" s="178">
        <f>'Q (t)'!N45</f>
        <v>0</v>
      </c>
      <c r="AF45" s="179">
        <f>'Q (t)'!O45</f>
        <v>0</v>
      </c>
      <c r="AG45" s="178">
        <f>'Q (t)'!P45</f>
        <v>0</v>
      </c>
      <c r="AH45" s="178">
        <f>'Q (t)'!Q45</f>
        <v>0</v>
      </c>
      <c r="AI45" s="179">
        <f>'Q (t)'!R45</f>
        <v>0</v>
      </c>
      <c r="AJ45" s="184">
        <f>'Q (t)'!S45</f>
        <v>0</v>
      </c>
      <c r="AK45" s="178">
        <f>'Q (t)'!T45</f>
        <v>0</v>
      </c>
      <c r="AL45" s="184">
        <f>'Q (t)'!U45</f>
        <v>0</v>
      </c>
      <c r="AM45" s="179">
        <f>'Q (t)'!V45</f>
        <v>0</v>
      </c>
      <c r="AO45" s="183">
        <f t="shared" si="9"/>
        <v>0</v>
      </c>
      <c r="AP45" s="184">
        <f t="shared" si="47"/>
        <v>0</v>
      </c>
      <c r="AQ45" s="178">
        <f t="shared" si="47"/>
        <v>0</v>
      </c>
      <c r="AR45" s="178">
        <f t="shared" si="47"/>
        <v>0</v>
      </c>
      <c r="AS45" s="179">
        <f t="shared" si="47"/>
        <v>0</v>
      </c>
      <c r="AT45" s="178">
        <f t="shared" si="47"/>
        <v>0</v>
      </c>
      <c r="AU45" s="178">
        <f t="shared" si="47"/>
        <v>0</v>
      </c>
      <c r="AV45" s="178">
        <f t="shared" si="47"/>
        <v>0</v>
      </c>
      <c r="AW45" s="179">
        <f t="shared" si="47"/>
        <v>0</v>
      </c>
      <c r="AX45" s="178">
        <f t="shared" si="2"/>
        <v>0</v>
      </c>
      <c r="AY45" s="178">
        <f t="shared" si="3"/>
        <v>0</v>
      </c>
      <c r="AZ45" s="179">
        <f t="shared" si="4"/>
        <v>0</v>
      </c>
      <c r="BA45" s="184">
        <f t="shared" si="5"/>
        <v>0</v>
      </c>
      <c r="BB45" s="178">
        <f t="shared" si="6"/>
        <v>0</v>
      </c>
      <c r="BC45" s="184">
        <f t="shared" si="7"/>
        <v>0</v>
      </c>
      <c r="BD45" s="178">
        <f t="shared" si="8"/>
        <v>0</v>
      </c>
      <c r="BE45" s="251">
        <f t="shared" si="10"/>
        <v>0</v>
      </c>
      <c r="BF45" s="252">
        <f t="shared" si="11"/>
        <v>0</v>
      </c>
      <c r="BH45" s="262">
        <f>SUM(AO45)</f>
        <v>0</v>
      </c>
      <c r="BI45" s="262">
        <f>SUM(AP45:AS45)</f>
        <v>0</v>
      </c>
      <c r="BJ45" s="262">
        <f>SUM(AT45:AW45)</f>
        <v>0</v>
      </c>
      <c r="BK45" s="263">
        <f>SUM(AX45:BB45)</f>
        <v>0</v>
      </c>
      <c r="BL45" s="269">
        <f>SUM(BC45:BD45)</f>
        <v>0</v>
      </c>
      <c r="BM45" s="264">
        <f t="shared" si="13"/>
        <v>0</v>
      </c>
      <c r="BO45" s="732" t="str">
        <f t="shared" si="12"/>
        <v/>
      </c>
    </row>
    <row r="46" spans="2:67" ht="15" customHeight="1" x14ac:dyDescent="0.25">
      <c r="B46" s="156"/>
      <c r="C46" s="126" t="s">
        <v>93</v>
      </c>
      <c r="D46" s="173"/>
      <c r="E46" s="202"/>
      <c r="G46" s="493"/>
      <c r="H46" s="490"/>
      <c r="I46" s="471"/>
      <c r="J46" s="471"/>
      <c r="K46" s="472"/>
      <c r="L46" s="471"/>
      <c r="M46" s="471"/>
      <c r="N46" s="471"/>
      <c r="O46" s="472"/>
      <c r="P46" s="471"/>
      <c r="Q46" s="471"/>
      <c r="R46" s="472"/>
      <c r="S46" s="490"/>
      <c r="T46" s="471"/>
      <c r="U46" s="490"/>
      <c r="V46" s="472"/>
      <c r="X46" s="183">
        <f>'Q (t)'!G46</f>
        <v>0</v>
      </c>
      <c r="Y46" s="184">
        <f>'Q (t)'!H46</f>
        <v>0</v>
      </c>
      <c r="Z46" s="178">
        <f>'Q (t)'!I46</f>
        <v>0</v>
      </c>
      <c r="AA46" s="178">
        <f>'Q (t)'!J46</f>
        <v>0</v>
      </c>
      <c r="AB46" s="179">
        <f>'Q (t)'!K46</f>
        <v>0</v>
      </c>
      <c r="AC46" s="178">
        <f>'Q (t)'!L46</f>
        <v>0</v>
      </c>
      <c r="AD46" s="178">
        <f>'Q (t)'!M46</f>
        <v>0</v>
      </c>
      <c r="AE46" s="178">
        <f>'Q (t)'!N46</f>
        <v>0</v>
      </c>
      <c r="AF46" s="179">
        <f>'Q (t)'!O46</f>
        <v>0</v>
      </c>
      <c r="AG46" s="178">
        <f>'Q (t)'!P46</f>
        <v>0</v>
      </c>
      <c r="AH46" s="178">
        <f>'Q (t)'!Q46</f>
        <v>0</v>
      </c>
      <c r="AI46" s="179">
        <f>'Q (t)'!R46</f>
        <v>0</v>
      </c>
      <c r="AJ46" s="184">
        <f>'Q (t)'!S46</f>
        <v>0</v>
      </c>
      <c r="AK46" s="178">
        <f>'Q (t)'!T46</f>
        <v>0</v>
      </c>
      <c r="AL46" s="184">
        <f>'Q (t)'!U46</f>
        <v>0</v>
      </c>
      <c r="AM46" s="179">
        <f>'Q (t)'!V46</f>
        <v>0</v>
      </c>
      <c r="AO46" s="183">
        <f t="shared" si="9"/>
        <v>0</v>
      </c>
      <c r="AP46" s="184">
        <f t="shared" si="47"/>
        <v>0</v>
      </c>
      <c r="AQ46" s="178">
        <f t="shared" si="47"/>
        <v>0</v>
      </c>
      <c r="AR46" s="178">
        <f t="shared" si="47"/>
        <v>0</v>
      </c>
      <c r="AS46" s="179">
        <f t="shared" si="47"/>
        <v>0</v>
      </c>
      <c r="AT46" s="178">
        <f t="shared" si="47"/>
        <v>0</v>
      </c>
      <c r="AU46" s="178">
        <f t="shared" si="47"/>
        <v>0</v>
      </c>
      <c r="AV46" s="178">
        <f t="shared" si="47"/>
        <v>0</v>
      </c>
      <c r="AW46" s="179">
        <f t="shared" si="47"/>
        <v>0</v>
      </c>
      <c r="AX46" s="178">
        <f t="shared" si="2"/>
        <v>0</v>
      </c>
      <c r="AY46" s="178">
        <f t="shared" si="3"/>
        <v>0</v>
      </c>
      <c r="AZ46" s="179">
        <f t="shared" si="4"/>
        <v>0</v>
      </c>
      <c r="BA46" s="184">
        <f t="shared" si="5"/>
        <v>0</v>
      </c>
      <c r="BB46" s="178">
        <f t="shared" si="6"/>
        <v>0</v>
      </c>
      <c r="BC46" s="184">
        <f t="shared" si="7"/>
        <v>0</v>
      </c>
      <c r="BD46" s="178">
        <f t="shared" si="8"/>
        <v>0</v>
      </c>
      <c r="BE46" s="251">
        <f t="shared" si="10"/>
        <v>0</v>
      </c>
      <c r="BF46" s="252">
        <f t="shared" si="11"/>
        <v>0</v>
      </c>
      <c r="BH46" s="259">
        <f>SUBTOTAL(9,BH47:BH67)</f>
        <v>10551.975201499999</v>
      </c>
      <c r="BI46" s="259">
        <f>SUBTOTAL(9,BI47:BI67)</f>
        <v>95873.94</v>
      </c>
      <c r="BJ46" s="259">
        <f>SUBTOTAL(9,BJ47:BJ67)</f>
        <v>0</v>
      </c>
      <c r="BK46" s="259">
        <f>SUBTOTAL(9,BK47:BK67)</f>
        <v>77103.9261539</v>
      </c>
      <c r="BL46" s="259">
        <f>SUBTOTAL(9,BL47:BL67)</f>
        <v>0</v>
      </c>
      <c r="BM46" s="264">
        <f t="shared" si="13"/>
        <v>183529.84135539999</v>
      </c>
      <c r="BO46" s="732" t="str">
        <f t="shared" si="12"/>
        <v/>
      </c>
    </row>
    <row r="47" spans="2:67" ht="15" customHeight="1" x14ac:dyDescent="0.25">
      <c r="B47" s="156">
        <f>B45+1</f>
        <v>5</v>
      </c>
      <c r="C47" s="180" t="s">
        <v>599</v>
      </c>
      <c r="D47" s="181" t="s">
        <v>600</v>
      </c>
      <c r="E47" s="210" t="s">
        <v>94</v>
      </c>
      <c r="G47" s="488">
        <v>6.8493000000000004</v>
      </c>
      <c r="H47" s="490"/>
      <c r="I47" s="494">
        <v>4.2099999999999999E-2</v>
      </c>
      <c r="J47" s="471"/>
      <c r="K47" s="495">
        <v>2.63E-2</v>
      </c>
      <c r="L47" s="471"/>
      <c r="M47" s="471"/>
      <c r="N47" s="471"/>
      <c r="O47" s="472"/>
      <c r="P47" s="471"/>
      <c r="Q47" s="471"/>
      <c r="R47" s="472"/>
      <c r="S47" s="489">
        <v>0.14499999999999999</v>
      </c>
      <c r="T47" s="494">
        <v>0.1036</v>
      </c>
      <c r="U47" s="491"/>
      <c r="V47" s="492"/>
      <c r="X47" s="183">
        <f>'Q (t)'!G47</f>
        <v>1389555</v>
      </c>
      <c r="Y47" s="184">
        <f>'Q (t)'!H47</f>
        <v>0</v>
      </c>
      <c r="Z47" s="178">
        <f>'Q (t)'!I47</f>
        <v>1286940</v>
      </c>
      <c r="AA47" s="178">
        <f>'Q (t)'!J47</f>
        <v>0</v>
      </c>
      <c r="AB47" s="179">
        <f>'Q (t)'!K47</f>
        <v>1235550</v>
      </c>
      <c r="AC47" s="178">
        <f>'Q (t)'!L47</f>
        <v>0</v>
      </c>
      <c r="AD47" s="178">
        <f>'Q (t)'!M47</f>
        <v>0</v>
      </c>
      <c r="AE47" s="178">
        <f>'Q (t)'!N47</f>
        <v>0</v>
      </c>
      <c r="AF47" s="179">
        <f>'Q (t)'!O47</f>
        <v>0</v>
      </c>
      <c r="AG47" s="178">
        <f>'Q (t)'!P47</f>
        <v>0</v>
      </c>
      <c r="AH47" s="178">
        <f>'Q (t)'!Q47</f>
        <v>0</v>
      </c>
      <c r="AI47" s="179">
        <f>'Q (t)'!R47</f>
        <v>0</v>
      </c>
      <c r="AJ47" s="184">
        <f>'Q (t)'!S47</f>
        <v>236666000</v>
      </c>
      <c r="AK47" s="178">
        <f>'Q (t)'!T47</f>
        <v>323704630</v>
      </c>
      <c r="AL47" s="184">
        <f>'Q (t)'!U47</f>
        <v>0</v>
      </c>
      <c r="AM47" s="179">
        <f>'Q (t)'!V47</f>
        <v>0</v>
      </c>
      <c r="AO47" s="183">
        <f t="shared" si="9"/>
        <v>9517.4790615000002</v>
      </c>
      <c r="AP47" s="184">
        <f t="shared" si="47"/>
        <v>0</v>
      </c>
      <c r="AQ47" s="178">
        <f t="shared" si="47"/>
        <v>54180.173999999999</v>
      </c>
      <c r="AR47" s="178">
        <f t="shared" si="47"/>
        <v>0</v>
      </c>
      <c r="AS47" s="179">
        <f t="shared" si="47"/>
        <v>32494.965</v>
      </c>
      <c r="AT47" s="178">
        <f t="shared" si="47"/>
        <v>0</v>
      </c>
      <c r="AU47" s="178">
        <f t="shared" si="47"/>
        <v>0</v>
      </c>
      <c r="AV47" s="178">
        <f t="shared" si="47"/>
        <v>0</v>
      </c>
      <c r="AW47" s="179">
        <f t="shared" si="47"/>
        <v>0</v>
      </c>
      <c r="AX47" s="178">
        <f t="shared" si="2"/>
        <v>0</v>
      </c>
      <c r="AY47" s="178">
        <f t="shared" si="3"/>
        <v>0</v>
      </c>
      <c r="AZ47" s="179">
        <f t="shared" si="4"/>
        <v>0</v>
      </c>
      <c r="BA47" s="184">
        <f t="shared" si="5"/>
        <v>34316.57</v>
      </c>
      <c r="BB47" s="178">
        <f t="shared" si="6"/>
        <v>33535.799668</v>
      </c>
      <c r="BC47" s="184">
        <f t="shared" si="7"/>
        <v>0</v>
      </c>
      <c r="BD47" s="178">
        <f t="shared" si="8"/>
        <v>0</v>
      </c>
      <c r="BE47" s="251">
        <f t="shared" si="10"/>
        <v>3807</v>
      </c>
      <c r="BF47" s="252">
        <f t="shared" si="11"/>
        <v>2522490</v>
      </c>
      <c r="BH47" s="262">
        <f t="shared" ref="BH47:BH67" si="52">SUM(AO47)</f>
        <v>9517.4790615000002</v>
      </c>
      <c r="BI47" s="262">
        <f t="shared" ref="BI47:BI67" si="53">SUM(AP47:AS47)</f>
        <v>86675.138999999996</v>
      </c>
      <c r="BJ47" s="262">
        <f t="shared" ref="BJ47:BJ67" si="54">SUM(AT47:AW47)</f>
        <v>0</v>
      </c>
      <c r="BK47" s="263">
        <f t="shared" ref="BK47:BK67" si="55">SUM(AX47:BB47)</f>
        <v>67852.369667999999</v>
      </c>
      <c r="BL47" s="269">
        <f t="shared" ref="BL47:BL67" si="56">SUM(BC47:BD47)</f>
        <v>0</v>
      </c>
      <c r="BM47" s="264">
        <f t="shared" si="13"/>
        <v>164044.98772949999</v>
      </c>
      <c r="BO47" s="732">
        <f t="shared" si="12"/>
        <v>65.032958596267974</v>
      </c>
    </row>
    <row r="48" spans="2:67" ht="15" customHeight="1" x14ac:dyDescent="0.25">
      <c r="B48" s="156">
        <f t="shared" si="44"/>
        <v>6</v>
      </c>
      <c r="C48" s="180" t="s">
        <v>597</v>
      </c>
      <c r="D48" s="181" t="s">
        <v>601</v>
      </c>
      <c r="E48" s="210" t="s">
        <v>95</v>
      </c>
      <c r="G48" s="488">
        <v>6.8493000000000004</v>
      </c>
      <c r="H48" s="490"/>
      <c r="I48" s="494">
        <v>4.2099999999999999E-2</v>
      </c>
      <c r="J48" s="471"/>
      <c r="K48" s="495">
        <v>2.63E-2</v>
      </c>
      <c r="L48" s="471"/>
      <c r="M48" s="471"/>
      <c r="N48" s="471"/>
      <c r="O48" s="472"/>
      <c r="P48" s="494">
        <v>0.52569999999999995</v>
      </c>
      <c r="Q48" s="471"/>
      <c r="R48" s="472"/>
      <c r="S48" s="490"/>
      <c r="T48" s="494">
        <v>0.1036</v>
      </c>
      <c r="U48" s="491"/>
      <c r="V48" s="492"/>
      <c r="X48" s="183">
        <f>'Q (t)'!G48</f>
        <v>109865</v>
      </c>
      <c r="Y48" s="184">
        <f>'Q (t)'!H48</f>
        <v>0</v>
      </c>
      <c r="Z48" s="178">
        <f>'Q (t)'!I48</f>
        <v>79500</v>
      </c>
      <c r="AA48" s="178">
        <f>'Q (t)'!J48</f>
        <v>0</v>
      </c>
      <c r="AB48" s="179">
        <f>'Q (t)'!K48</f>
        <v>54000</v>
      </c>
      <c r="AC48" s="178">
        <f>'Q (t)'!L48</f>
        <v>0</v>
      </c>
      <c r="AD48" s="178">
        <f>'Q (t)'!M48</f>
        <v>0</v>
      </c>
      <c r="AE48" s="178">
        <f>'Q (t)'!N48</f>
        <v>0</v>
      </c>
      <c r="AF48" s="179">
        <f>'Q (t)'!O48</f>
        <v>0</v>
      </c>
      <c r="AG48" s="178">
        <f>'Q (t)'!P48</f>
        <v>3651331</v>
      </c>
      <c r="AH48" s="178">
        <f>'Q (t)'!Q48</f>
        <v>0</v>
      </c>
      <c r="AI48" s="179">
        <f>'Q (t)'!R48</f>
        <v>0</v>
      </c>
      <c r="AJ48" s="184">
        <f>'Q (t)'!S48</f>
        <v>0</v>
      </c>
      <c r="AK48" s="178">
        <f>'Q (t)'!T48</f>
        <v>30277845</v>
      </c>
      <c r="AL48" s="184">
        <f>'Q (t)'!U48</f>
        <v>0</v>
      </c>
      <c r="AM48" s="179">
        <f>'Q (t)'!V48</f>
        <v>0</v>
      </c>
      <c r="AO48" s="183">
        <f t="shared" si="9"/>
        <v>752.49834450000003</v>
      </c>
      <c r="AP48" s="184">
        <f t="shared" si="47"/>
        <v>0</v>
      </c>
      <c r="AQ48" s="178">
        <f>I48*Z48</f>
        <v>3346.95</v>
      </c>
      <c r="AR48" s="178">
        <f t="shared" si="47"/>
        <v>0</v>
      </c>
      <c r="AS48" s="179">
        <f t="shared" si="47"/>
        <v>1420.2</v>
      </c>
      <c r="AT48" s="178">
        <f t="shared" si="47"/>
        <v>0</v>
      </c>
      <c r="AU48" s="178">
        <f t="shared" si="47"/>
        <v>0</v>
      </c>
      <c r="AV48" s="178">
        <f t="shared" si="47"/>
        <v>0</v>
      </c>
      <c r="AW48" s="179">
        <f t="shared" si="47"/>
        <v>0</v>
      </c>
      <c r="AX48" s="178">
        <f t="shared" si="2"/>
        <v>1919.5047066999998</v>
      </c>
      <c r="AY48" s="178">
        <f t="shared" si="3"/>
        <v>0</v>
      </c>
      <c r="AZ48" s="179">
        <f t="shared" si="4"/>
        <v>0</v>
      </c>
      <c r="BA48" s="184">
        <f t="shared" si="5"/>
        <v>0</v>
      </c>
      <c r="BB48" s="178">
        <f t="shared" si="6"/>
        <v>3136.7847420000003</v>
      </c>
      <c r="BC48" s="184">
        <f t="shared" si="7"/>
        <v>0</v>
      </c>
      <c r="BD48" s="178">
        <f t="shared" si="8"/>
        <v>0</v>
      </c>
      <c r="BE48" s="251">
        <f t="shared" si="10"/>
        <v>301</v>
      </c>
      <c r="BF48" s="252">
        <f t="shared" si="11"/>
        <v>133500</v>
      </c>
      <c r="BH48" s="262">
        <f t="shared" si="52"/>
        <v>752.49834450000003</v>
      </c>
      <c r="BI48" s="262">
        <f t="shared" si="53"/>
        <v>4767.1499999999996</v>
      </c>
      <c r="BJ48" s="262">
        <f t="shared" si="54"/>
        <v>0</v>
      </c>
      <c r="BK48" s="263">
        <f t="shared" si="55"/>
        <v>5056.2894487000003</v>
      </c>
      <c r="BL48" s="269">
        <f t="shared" si="56"/>
        <v>0</v>
      </c>
      <c r="BM48" s="264">
        <f t="shared" si="13"/>
        <v>10575.937793199999</v>
      </c>
      <c r="BO48" s="732">
        <f t="shared" si="12"/>
        <v>79.220507814232207</v>
      </c>
    </row>
    <row r="49" spans="2:67" ht="15" customHeight="1" x14ac:dyDescent="0.25">
      <c r="B49" s="156">
        <f t="shared" si="44"/>
        <v>7</v>
      </c>
      <c r="C49" s="180" t="s">
        <v>598</v>
      </c>
      <c r="D49" s="181" t="s">
        <v>602</v>
      </c>
      <c r="E49" s="210" t="s">
        <v>96</v>
      </c>
      <c r="G49" s="488"/>
      <c r="H49" s="490"/>
      <c r="I49" s="494"/>
      <c r="J49" s="471"/>
      <c r="K49" s="495"/>
      <c r="L49" s="471"/>
      <c r="M49" s="471"/>
      <c r="N49" s="471"/>
      <c r="O49" s="472"/>
      <c r="P49" s="471"/>
      <c r="Q49" s="471"/>
      <c r="R49" s="472"/>
      <c r="S49" s="490"/>
      <c r="T49" s="471"/>
      <c r="U49" s="491"/>
      <c r="V49" s="492"/>
      <c r="X49" s="183">
        <f>'Q (t)'!G49</f>
        <v>0</v>
      </c>
      <c r="Y49" s="184">
        <f>'Q (t)'!H49</f>
        <v>0</v>
      </c>
      <c r="Z49" s="178">
        <f>'Q (t)'!I49</f>
        <v>0</v>
      </c>
      <c r="AA49" s="178">
        <f>'Q (t)'!J49</f>
        <v>0</v>
      </c>
      <c r="AB49" s="179">
        <f>'Q (t)'!K49</f>
        <v>0</v>
      </c>
      <c r="AC49" s="178">
        <f>'Q (t)'!L49</f>
        <v>0</v>
      </c>
      <c r="AD49" s="178">
        <f>'Q (t)'!M49</f>
        <v>0</v>
      </c>
      <c r="AE49" s="178">
        <f>'Q (t)'!N49</f>
        <v>0</v>
      </c>
      <c r="AF49" s="179">
        <f>'Q (t)'!O49</f>
        <v>0</v>
      </c>
      <c r="AG49" s="178">
        <f>'Q (t)'!P49</f>
        <v>0</v>
      </c>
      <c r="AH49" s="178">
        <f>'Q (t)'!Q49</f>
        <v>0</v>
      </c>
      <c r="AI49" s="179">
        <f>'Q (t)'!R49</f>
        <v>0</v>
      </c>
      <c r="AJ49" s="184">
        <f>'Q (t)'!S49</f>
        <v>0</v>
      </c>
      <c r="AK49" s="178">
        <f>'Q (t)'!T49</f>
        <v>0</v>
      </c>
      <c r="AL49" s="184">
        <f>'Q (t)'!U49</f>
        <v>0</v>
      </c>
      <c r="AM49" s="179">
        <f>'Q (t)'!V49</f>
        <v>0</v>
      </c>
      <c r="AO49" s="183">
        <f t="shared" si="9"/>
        <v>0</v>
      </c>
      <c r="AP49" s="184">
        <f t="shared" ref="AP49:AW63" si="57">H49*Y49</f>
        <v>0</v>
      </c>
      <c r="AQ49" s="178">
        <f t="shared" si="57"/>
        <v>0</v>
      </c>
      <c r="AR49" s="178">
        <f t="shared" si="57"/>
        <v>0</v>
      </c>
      <c r="AS49" s="179">
        <f t="shared" si="57"/>
        <v>0</v>
      </c>
      <c r="AT49" s="178">
        <f t="shared" si="57"/>
        <v>0</v>
      </c>
      <c r="AU49" s="178">
        <f t="shared" si="57"/>
        <v>0</v>
      </c>
      <c r="AV49" s="178">
        <f t="shared" si="57"/>
        <v>0</v>
      </c>
      <c r="AW49" s="179">
        <f t="shared" si="57"/>
        <v>0</v>
      </c>
      <c r="AX49" s="178">
        <f t="shared" si="2"/>
        <v>0</v>
      </c>
      <c r="AY49" s="178">
        <f t="shared" si="3"/>
        <v>0</v>
      </c>
      <c r="AZ49" s="179">
        <f t="shared" si="4"/>
        <v>0</v>
      </c>
      <c r="BA49" s="184">
        <f t="shared" si="5"/>
        <v>0</v>
      </c>
      <c r="BB49" s="178">
        <f t="shared" si="6"/>
        <v>0</v>
      </c>
      <c r="BC49" s="184">
        <f t="shared" si="7"/>
        <v>0</v>
      </c>
      <c r="BD49" s="178">
        <f t="shared" si="8"/>
        <v>0</v>
      </c>
      <c r="BE49" s="251">
        <f t="shared" si="10"/>
        <v>0</v>
      </c>
      <c r="BF49" s="252">
        <f t="shared" si="11"/>
        <v>0</v>
      </c>
      <c r="BH49" s="262">
        <f t="shared" si="52"/>
        <v>0</v>
      </c>
      <c r="BI49" s="262">
        <f t="shared" si="53"/>
        <v>0</v>
      </c>
      <c r="BJ49" s="262">
        <f t="shared" si="54"/>
        <v>0</v>
      </c>
      <c r="BK49" s="263">
        <f t="shared" si="55"/>
        <v>0</v>
      </c>
      <c r="BL49" s="269">
        <f t="shared" si="56"/>
        <v>0</v>
      </c>
      <c r="BM49" s="264">
        <f t="shared" si="13"/>
        <v>0</v>
      </c>
      <c r="BO49" s="732" t="str">
        <f t="shared" si="12"/>
        <v/>
      </c>
    </row>
    <row r="50" spans="2:67" ht="15" customHeight="1" x14ac:dyDescent="0.25">
      <c r="B50" s="156">
        <f t="shared" si="44"/>
        <v>8</v>
      </c>
      <c r="C50" s="180" t="s">
        <v>97</v>
      </c>
      <c r="D50" s="181" t="s">
        <v>97</v>
      </c>
      <c r="E50" s="210" t="s">
        <v>98</v>
      </c>
      <c r="G50" s="488">
        <v>2.7397</v>
      </c>
      <c r="H50" s="489">
        <v>5.1499999999999997E-2</v>
      </c>
      <c r="I50" s="471"/>
      <c r="J50" s="471"/>
      <c r="K50" s="472"/>
      <c r="L50" s="471"/>
      <c r="M50" s="471"/>
      <c r="N50" s="471"/>
      <c r="O50" s="472"/>
      <c r="P50" s="471"/>
      <c r="Q50" s="494">
        <v>0.30940000000000001</v>
      </c>
      <c r="R50" s="495">
        <v>0.15310000000000001</v>
      </c>
      <c r="S50" s="490"/>
      <c r="T50" s="471"/>
      <c r="U50" s="491"/>
      <c r="V50" s="492"/>
      <c r="X50" s="183">
        <f>'Q (t)'!G50</f>
        <v>79205</v>
      </c>
      <c r="Y50" s="184">
        <f>'Q (t)'!H50</f>
        <v>71000</v>
      </c>
      <c r="Z50" s="178">
        <f>'Q (t)'!I50</f>
        <v>0</v>
      </c>
      <c r="AA50" s="178">
        <f>'Q (t)'!J50</f>
        <v>0</v>
      </c>
      <c r="AB50" s="179">
        <f>'Q (t)'!K50</f>
        <v>0</v>
      </c>
      <c r="AC50" s="178">
        <f>'Q (t)'!L50</f>
        <v>0</v>
      </c>
      <c r="AD50" s="178">
        <f>'Q (t)'!M50</f>
        <v>0</v>
      </c>
      <c r="AE50" s="178">
        <f>'Q (t)'!N50</f>
        <v>0</v>
      </c>
      <c r="AF50" s="179">
        <f>'Q (t)'!O50</f>
        <v>0</v>
      </c>
      <c r="AG50" s="178">
        <f>'Q (t)'!P50</f>
        <v>0</v>
      </c>
      <c r="AH50" s="178">
        <f>'Q (t)'!Q50</f>
        <v>5382848</v>
      </c>
      <c r="AI50" s="179">
        <f>'Q (t)'!R50</f>
        <v>11592765</v>
      </c>
      <c r="AJ50" s="184">
        <f>'Q (t)'!S50</f>
        <v>0</v>
      </c>
      <c r="AK50" s="178">
        <f>'Q (t)'!T50</f>
        <v>0</v>
      </c>
      <c r="AL50" s="184">
        <f>'Q (t)'!U50</f>
        <v>0</v>
      </c>
      <c r="AM50" s="179">
        <f>'Q (t)'!V50</f>
        <v>0</v>
      </c>
      <c r="AO50" s="183">
        <f t="shared" si="9"/>
        <v>216.99793849999998</v>
      </c>
      <c r="AP50" s="184">
        <f t="shared" si="57"/>
        <v>3656.5</v>
      </c>
      <c r="AQ50" s="178">
        <f t="shared" si="57"/>
        <v>0</v>
      </c>
      <c r="AR50" s="178">
        <f t="shared" si="57"/>
        <v>0</v>
      </c>
      <c r="AS50" s="179">
        <f t="shared" si="57"/>
        <v>0</v>
      </c>
      <c r="AT50" s="178">
        <f t="shared" si="57"/>
        <v>0</v>
      </c>
      <c r="AU50" s="178">
        <f t="shared" si="57"/>
        <v>0</v>
      </c>
      <c r="AV50" s="178">
        <f t="shared" si="57"/>
        <v>0</v>
      </c>
      <c r="AW50" s="179">
        <f t="shared" si="57"/>
        <v>0</v>
      </c>
      <c r="AX50" s="178">
        <f t="shared" si="2"/>
        <v>0</v>
      </c>
      <c r="AY50" s="178">
        <f t="shared" si="3"/>
        <v>1665.4531712</v>
      </c>
      <c r="AZ50" s="179">
        <f t="shared" si="4"/>
        <v>1774.8523215</v>
      </c>
      <c r="BA50" s="184">
        <f t="shared" si="5"/>
        <v>0</v>
      </c>
      <c r="BB50" s="178">
        <f t="shared" si="6"/>
        <v>0</v>
      </c>
      <c r="BC50" s="184">
        <f t="shared" si="7"/>
        <v>0</v>
      </c>
      <c r="BD50" s="178">
        <f t="shared" si="8"/>
        <v>0</v>
      </c>
      <c r="BE50" s="251">
        <f t="shared" si="10"/>
        <v>217</v>
      </c>
      <c r="BF50" s="252">
        <f t="shared" ref="BF50:BF77" si="58">SUM(Y50:AF50)</f>
        <v>71000</v>
      </c>
      <c r="BH50" s="262">
        <f t="shared" si="52"/>
        <v>216.99793849999998</v>
      </c>
      <c r="BI50" s="262">
        <f t="shared" si="53"/>
        <v>3656.5</v>
      </c>
      <c r="BJ50" s="262">
        <f t="shared" si="54"/>
        <v>0</v>
      </c>
      <c r="BK50" s="263">
        <f t="shared" si="55"/>
        <v>3440.3054927000003</v>
      </c>
      <c r="BL50" s="269">
        <f t="shared" si="56"/>
        <v>0</v>
      </c>
      <c r="BM50" s="264">
        <f t="shared" si="13"/>
        <v>7313.8034312</v>
      </c>
      <c r="BO50" s="732">
        <f t="shared" si="12"/>
        <v>103.01131593239435</v>
      </c>
    </row>
    <row r="51" spans="2:67" ht="15" customHeight="1" x14ac:dyDescent="0.25">
      <c r="B51" s="156">
        <f t="shared" si="44"/>
        <v>9</v>
      </c>
      <c r="C51" s="180" t="s">
        <v>603</v>
      </c>
      <c r="D51" s="181" t="s">
        <v>604</v>
      </c>
      <c r="E51" s="210" t="s">
        <v>99</v>
      </c>
      <c r="G51" s="488">
        <f>G47</f>
        <v>6.8493000000000004</v>
      </c>
      <c r="H51" s="490"/>
      <c r="I51" s="494">
        <v>0</v>
      </c>
      <c r="J51" s="471"/>
      <c r="K51" s="495">
        <v>0</v>
      </c>
      <c r="L51" s="471"/>
      <c r="M51" s="471"/>
      <c r="N51" s="471"/>
      <c r="O51" s="472"/>
      <c r="P51" s="471"/>
      <c r="Q51" s="471"/>
      <c r="R51" s="472"/>
      <c r="S51" s="489">
        <f>S47</f>
        <v>0.14499999999999999</v>
      </c>
      <c r="T51" s="494">
        <f>T47</f>
        <v>0.1036</v>
      </c>
      <c r="U51" s="491"/>
      <c r="V51" s="492"/>
      <c r="X51" s="183">
        <f>'Q (t)'!G51</f>
        <v>365</v>
      </c>
      <c r="Y51" s="184">
        <f>'Q (t)'!H51</f>
        <v>0</v>
      </c>
      <c r="Z51" s="178">
        <f>'Q (t)'!I51</f>
        <v>0</v>
      </c>
      <c r="AA51" s="178">
        <f>'Q (t)'!J51</f>
        <v>0</v>
      </c>
      <c r="AB51" s="179">
        <f>'Q (t)'!K51</f>
        <v>100</v>
      </c>
      <c r="AC51" s="178">
        <f>'Q (t)'!L51</f>
        <v>0</v>
      </c>
      <c r="AD51" s="178">
        <f>'Q (t)'!M51</f>
        <v>0</v>
      </c>
      <c r="AE51" s="178">
        <f>'Q (t)'!N51</f>
        <v>0</v>
      </c>
      <c r="AF51" s="179">
        <f>'Q (t)'!O51</f>
        <v>0</v>
      </c>
      <c r="AG51" s="178">
        <f>'Q (t)'!P51</f>
        <v>0</v>
      </c>
      <c r="AH51" s="178">
        <f>'Q (t)'!Q51</f>
        <v>0</v>
      </c>
      <c r="AI51" s="179">
        <f>'Q (t)'!R51</f>
        <v>0</v>
      </c>
      <c r="AJ51" s="184">
        <f>'Q (t)'!S51</f>
        <v>0</v>
      </c>
      <c r="AK51" s="178">
        <f>'Q (t)'!T51</f>
        <v>0</v>
      </c>
      <c r="AL51" s="184">
        <f>'Q (t)'!U51</f>
        <v>0</v>
      </c>
      <c r="AM51" s="179">
        <f>'Q (t)'!V51</f>
        <v>0</v>
      </c>
      <c r="AO51" s="183">
        <f t="shared" si="9"/>
        <v>2.4999945000000001</v>
      </c>
      <c r="AP51" s="184">
        <f t="shared" si="57"/>
        <v>0</v>
      </c>
      <c r="AQ51" s="178">
        <f t="shared" si="57"/>
        <v>0</v>
      </c>
      <c r="AR51" s="178">
        <f t="shared" si="57"/>
        <v>0</v>
      </c>
      <c r="AS51" s="179">
        <f t="shared" si="57"/>
        <v>0</v>
      </c>
      <c r="AT51" s="178">
        <f t="shared" si="57"/>
        <v>0</v>
      </c>
      <c r="AU51" s="178">
        <f t="shared" si="57"/>
        <v>0</v>
      </c>
      <c r="AV51" s="178">
        <f t="shared" si="57"/>
        <v>0</v>
      </c>
      <c r="AW51" s="179">
        <f t="shared" si="57"/>
        <v>0</v>
      </c>
      <c r="AX51" s="178">
        <f t="shared" si="2"/>
        <v>0</v>
      </c>
      <c r="AY51" s="178">
        <f t="shared" si="3"/>
        <v>0</v>
      </c>
      <c r="AZ51" s="179">
        <f t="shared" si="4"/>
        <v>0</v>
      </c>
      <c r="BA51" s="184">
        <f t="shared" si="5"/>
        <v>0</v>
      </c>
      <c r="BB51" s="178">
        <f t="shared" si="6"/>
        <v>0</v>
      </c>
      <c r="BC51" s="184">
        <f t="shared" si="7"/>
        <v>0</v>
      </c>
      <c r="BD51" s="178">
        <f t="shared" si="8"/>
        <v>0</v>
      </c>
      <c r="BE51" s="251">
        <f t="shared" si="10"/>
        <v>1</v>
      </c>
      <c r="BF51" s="252">
        <f t="shared" si="58"/>
        <v>100</v>
      </c>
      <c r="BH51" s="262">
        <f t="shared" si="52"/>
        <v>2.4999945000000001</v>
      </c>
      <c r="BI51" s="262">
        <f t="shared" si="53"/>
        <v>0</v>
      </c>
      <c r="BJ51" s="262">
        <f t="shared" si="54"/>
        <v>0</v>
      </c>
      <c r="BK51" s="263">
        <f t="shared" si="55"/>
        <v>0</v>
      </c>
      <c r="BL51" s="269">
        <f t="shared" si="56"/>
        <v>0</v>
      </c>
      <c r="BM51" s="264">
        <f t="shared" si="13"/>
        <v>2.4999945000000001</v>
      </c>
      <c r="BO51" s="732">
        <f t="shared" si="12"/>
        <v>24.999945000000004</v>
      </c>
    </row>
    <row r="52" spans="2:67" ht="15" customHeight="1" x14ac:dyDescent="0.25">
      <c r="B52" s="156">
        <f t="shared" si="44"/>
        <v>10</v>
      </c>
      <c r="C52" s="211"/>
      <c r="D52" s="212"/>
      <c r="E52" s="217" t="s">
        <v>100</v>
      </c>
      <c r="G52" s="493"/>
      <c r="H52" s="490"/>
      <c r="I52" s="471"/>
      <c r="J52" s="471"/>
      <c r="K52" s="472"/>
      <c r="L52" s="471"/>
      <c r="M52" s="471"/>
      <c r="N52" s="471"/>
      <c r="O52" s="472"/>
      <c r="P52" s="471"/>
      <c r="Q52" s="471"/>
      <c r="R52" s="472"/>
      <c r="S52" s="490"/>
      <c r="T52" s="471"/>
      <c r="U52" s="490"/>
      <c r="V52" s="472"/>
      <c r="X52" s="183">
        <f>'Q (t)'!G52</f>
        <v>0</v>
      </c>
      <c r="Y52" s="184">
        <f>'Q (t)'!H52</f>
        <v>0</v>
      </c>
      <c r="Z52" s="178">
        <f>'Q (t)'!I52</f>
        <v>0</v>
      </c>
      <c r="AA52" s="178">
        <f>'Q (t)'!J52</f>
        <v>0</v>
      </c>
      <c r="AB52" s="179">
        <f>'Q (t)'!K52</f>
        <v>0</v>
      </c>
      <c r="AC52" s="178">
        <f>'Q (t)'!L52</f>
        <v>0</v>
      </c>
      <c r="AD52" s="178">
        <f>'Q (t)'!M52</f>
        <v>0</v>
      </c>
      <c r="AE52" s="178">
        <f>'Q (t)'!N52</f>
        <v>0</v>
      </c>
      <c r="AF52" s="179">
        <f>'Q (t)'!O52</f>
        <v>0</v>
      </c>
      <c r="AG52" s="178">
        <f>'Q (t)'!P52</f>
        <v>0</v>
      </c>
      <c r="AH52" s="178">
        <f>'Q (t)'!Q52</f>
        <v>0</v>
      </c>
      <c r="AI52" s="179">
        <f>'Q (t)'!R52</f>
        <v>0</v>
      </c>
      <c r="AJ52" s="184">
        <f>'Q (t)'!S52</f>
        <v>0</v>
      </c>
      <c r="AK52" s="178">
        <f>'Q (t)'!T52</f>
        <v>0</v>
      </c>
      <c r="AL52" s="184">
        <f>'Q (t)'!U52</f>
        <v>0</v>
      </c>
      <c r="AM52" s="179">
        <f>'Q (t)'!V52</f>
        <v>0</v>
      </c>
      <c r="AO52" s="183">
        <f t="shared" si="9"/>
        <v>0</v>
      </c>
      <c r="AP52" s="184">
        <f t="shared" si="57"/>
        <v>0</v>
      </c>
      <c r="AQ52" s="178">
        <f t="shared" si="57"/>
        <v>0</v>
      </c>
      <c r="AR52" s="178">
        <f t="shared" si="57"/>
        <v>0</v>
      </c>
      <c r="AS52" s="179">
        <f t="shared" si="57"/>
        <v>0</v>
      </c>
      <c r="AT52" s="178">
        <f t="shared" si="57"/>
        <v>0</v>
      </c>
      <c r="AU52" s="178">
        <f t="shared" si="57"/>
        <v>0</v>
      </c>
      <c r="AV52" s="178">
        <f t="shared" si="57"/>
        <v>0</v>
      </c>
      <c r="AW52" s="179">
        <f t="shared" si="57"/>
        <v>0</v>
      </c>
      <c r="AX52" s="178">
        <f t="shared" si="2"/>
        <v>0</v>
      </c>
      <c r="AY52" s="178">
        <f t="shared" si="3"/>
        <v>0</v>
      </c>
      <c r="AZ52" s="179">
        <f t="shared" si="4"/>
        <v>0</v>
      </c>
      <c r="BA52" s="184">
        <f t="shared" si="5"/>
        <v>0</v>
      </c>
      <c r="BB52" s="178">
        <f t="shared" si="6"/>
        <v>0</v>
      </c>
      <c r="BC52" s="184">
        <f t="shared" si="7"/>
        <v>0</v>
      </c>
      <c r="BD52" s="178">
        <f t="shared" si="8"/>
        <v>0</v>
      </c>
      <c r="BE52" s="251">
        <f t="shared" si="10"/>
        <v>0</v>
      </c>
      <c r="BF52" s="252">
        <f t="shared" si="58"/>
        <v>0</v>
      </c>
      <c r="BH52" s="262">
        <f t="shared" si="52"/>
        <v>0</v>
      </c>
      <c r="BI52" s="262">
        <f t="shared" si="53"/>
        <v>0</v>
      </c>
      <c r="BJ52" s="262">
        <f t="shared" si="54"/>
        <v>0</v>
      </c>
      <c r="BK52" s="263">
        <f t="shared" si="55"/>
        <v>0</v>
      </c>
      <c r="BL52" s="269">
        <f t="shared" si="56"/>
        <v>0</v>
      </c>
      <c r="BM52" s="264">
        <f t="shared" si="13"/>
        <v>0</v>
      </c>
      <c r="BO52" s="732" t="str">
        <f t="shared" si="12"/>
        <v/>
      </c>
    </row>
    <row r="53" spans="2:67" ht="15" customHeight="1" x14ac:dyDescent="0.25">
      <c r="B53" s="156">
        <f t="shared" si="44"/>
        <v>11</v>
      </c>
      <c r="C53" s="180" t="s">
        <v>585</v>
      </c>
      <c r="D53" s="181"/>
      <c r="E53" s="210" t="s">
        <v>94</v>
      </c>
      <c r="G53" s="488">
        <f>('Cust Specific'!R10)</f>
        <v>41.095800000000004</v>
      </c>
      <c r="H53" s="490"/>
      <c r="I53" s="494">
        <f>'Cust Specific'!R13</f>
        <v>4.2099999999999999E-2</v>
      </c>
      <c r="J53" s="471"/>
      <c r="K53" s="495">
        <f>'Cust Specific'!R14</f>
        <v>2.63E-2</v>
      </c>
      <c r="L53" s="471"/>
      <c r="M53" s="471"/>
      <c r="N53" s="471"/>
      <c r="O53" s="472"/>
      <c r="P53" s="471"/>
      <c r="Q53" s="471"/>
      <c r="R53" s="472"/>
      <c r="S53" s="489">
        <f>'Cust Specific'!R11</f>
        <v>0.14499999999999999</v>
      </c>
      <c r="T53" s="494">
        <f>'Cust Specific'!R12</f>
        <v>0.1036</v>
      </c>
      <c r="U53" s="491"/>
      <c r="V53" s="492"/>
      <c r="X53" s="183">
        <f>'Q (t)'!G53</f>
        <v>0</v>
      </c>
      <c r="Y53" s="184">
        <f>'Q (t)'!H53</f>
        <v>0</v>
      </c>
      <c r="Z53" s="178">
        <f>'Q (t)'!I53</f>
        <v>0</v>
      </c>
      <c r="AA53" s="178">
        <f>'Q (t)'!J53</f>
        <v>0</v>
      </c>
      <c r="AB53" s="179">
        <f>'Q (t)'!K53</f>
        <v>0</v>
      </c>
      <c r="AC53" s="178">
        <f>'Q (t)'!L53</f>
        <v>0</v>
      </c>
      <c r="AD53" s="178">
        <f>'Q (t)'!M53</f>
        <v>0</v>
      </c>
      <c r="AE53" s="178">
        <f>'Q (t)'!N53</f>
        <v>0</v>
      </c>
      <c r="AF53" s="179">
        <f>'Q (t)'!O53</f>
        <v>0</v>
      </c>
      <c r="AG53" s="178">
        <f>'Q (t)'!P53</f>
        <v>0</v>
      </c>
      <c r="AH53" s="178">
        <f>'Q (t)'!Q53</f>
        <v>0</v>
      </c>
      <c r="AI53" s="179">
        <f>'Q (t)'!R53</f>
        <v>0</v>
      </c>
      <c r="AJ53" s="184">
        <f>'Q (t)'!S53</f>
        <v>0</v>
      </c>
      <c r="AK53" s="178">
        <f>'Q (t)'!T53</f>
        <v>0</v>
      </c>
      <c r="AL53" s="184">
        <f>'Q (t)'!U53</f>
        <v>0</v>
      </c>
      <c r="AM53" s="179">
        <f>'Q (t)'!V53</f>
        <v>0</v>
      </c>
      <c r="AO53" s="183">
        <f t="shared" si="9"/>
        <v>0</v>
      </c>
      <c r="AP53" s="184">
        <f t="shared" si="57"/>
        <v>0</v>
      </c>
      <c r="AQ53" s="178">
        <f t="shared" si="57"/>
        <v>0</v>
      </c>
      <c r="AR53" s="178">
        <f t="shared" si="57"/>
        <v>0</v>
      </c>
      <c r="AS53" s="179">
        <f t="shared" si="57"/>
        <v>0</v>
      </c>
      <c r="AT53" s="178">
        <f t="shared" si="57"/>
        <v>0</v>
      </c>
      <c r="AU53" s="178">
        <f t="shared" si="57"/>
        <v>0</v>
      </c>
      <c r="AV53" s="178">
        <f t="shared" si="57"/>
        <v>0</v>
      </c>
      <c r="AW53" s="179">
        <f t="shared" si="57"/>
        <v>0</v>
      </c>
      <c r="AX53" s="178">
        <f t="shared" si="2"/>
        <v>0</v>
      </c>
      <c r="AY53" s="178">
        <f t="shared" si="3"/>
        <v>0</v>
      </c>
      <c r="AZ53" s="179">
        <f t="shared" si="4"/>
        <v>0</v>
      </c>
      <c r="BA53" s="184">
        <f t="shared" si="5"/>
        <v>0</v>
      </c>
      <c r="BB53" s="178">
        <f t="shared" si="6"/>
        <v>0</v>
      </c>
      <c r="BC53" s="184">
        <f t="shared" si="7"/>
        <v>0</v>
      </c>
      <c r="BD53" s="178">
        <f t="shared" si="8"/>
        <v>0</v>
      </c>
      <c r="BE53" s="251">
        <f t="shared" si="10"/>
        <v>0</v>
      </c>
      <c r="BF53" s="252">
        <f t="shared" si="58"/>
        <v>0</v>
      </c>
      <c r="BH53" s="262">
        <f t="shared" si="52"/>
        <v>0</v>
      </c>
      <c r="BI53" s="262">
        <f t="shared" si="53"/>
        <v>0</v>
      </c>
      <c r="BJ53" s="262">
        <f t="shared" si="54"/>
        <v>0</v>
      </c>
      <c r="BK53" s="263">
        <f t="shared" si="55"/>
        <v>0</v>
      </c>
      <c r="BL53" s="269">
        <f t="shared" si="56"/>
        <v>0</v>
      </c>
      <c r="BM53" s="264">
        <f t="shared" si="13"/>
        <v>0</v>
      </c>
      <c r="BO53" s="732" t="str">
        <f t="shared" si="12"/>
        <v/>
      </c>
    </row>
    <row r="54" spans="2:67" ht="15" customHeight="1" x14ac:dyDescent="0.25">
      <c r="B54" s="156">
        <f t="shared" si="44"/>
        <v>12</v>
      </c>
      <c r="C54" s="180" t="s">
        <v>586</v>
      </c>
      <c r="D54" s="181"/>
      <c r="E54" s="210" t="s">
        <v>94</v>
      </c>
      <c r="G54" s="488">
        <f>('Cust Specific'!R18)</f>
        <v>34.246500000000005</v>
      </c>
      <c r="H54" s="490"/>
      <c r="I54" s="494">
        <f>'Cust Specific'!R21</f>
        <v>4.2099999999999999E-2</v>
      </c>
      <c r="J54" s="471"/>
      <c r="K54" s="495">
        <f>'Cust Specific'!R22</f>
        <v>2.63E-2</v>
      </c>
      <c r="L54" s="471"/>
      <c r="M54" s="471"/>
      <c r="N54" s="471"/>
      <c r="O54" s="472"/>
      <c r="P54" s="471"/>
      <c r="Q54" s="471"/>
      <c r="R54" s="472"/>
      <c r="S54" s="489">
        <f>'Cust Specific'!R19</f>
        <v>0.14499999999999999</v>
      </c>
      <c r="T54" s="494">
        <f>'Cust Specific'!R20</f>
        <v>0.1036</v>
      </c>
      <c r="U54" s="491"/>
      <c r="V54" s="492"/>
      <c r="X54" s="183">
        <f>'Q (t)'!G54</f>
        <v>0</v>
      </c>
      <c r="Y54" s="184">
        <f>'Q (t)'!H54</f>
        <v>0</v>
      </c>
      <c r="Z54" s="178">
        <f>'Q (t)'!I54</f>
        <v>0</v>
      </c>
      <c r="AA54" s="178">
        <f>'Q (t)'!J54</f>
        <v>0</v>
      </c>
      <c r="AB54" s="179">
        <f>'Q (t)'!K54</f>
        <v>0</v>
      </c>
      <c r="AC54" s="178">
        <f>'Q (t)'!L54</f>
        <v>0</v>
      </c>
      <c r="AD54" s="178">
        <f>'Q (t)'!M54</f>
        <v>0</v>
      </c>
      <c r="AE54" s="178">
        <f>'Q (t)'!N54</f>
        <v>0</v>
      </c>
      <c r="AF54" s="179">
        <f>'Q (t)'!O54</f>
        <v>0</v>
      </c>
      <c r="AG54" s="178">
        <f>'Q (t)'!P54</f>
        <v>0</v>
      </c>
      <c r="AH54" s="178">
        <f>'Q (t)'!Q54</f>
        <v>0</v>
      </c>
      <c r="AI54" s="179">
        <f>'Q (t)'!R54</f>
        <v>0</v>
      </c>
      <c r="AJ54" s="184">
        <f>'Q (t)'!S54</f>
        <v>0</v>
      </c>
      <c r="AK54" s="178">
        <f>'Q (t)'!T54</f>
        <v>0</v>
      </c>
      <c r="AL54" s="184">
        <f>'Q (t)'!U54</f>
        <v>0</v>
      </c>
      <c r="AM54" s="179">
        <f>'Q (t)'!V54</f>
        <v>0</v>
      </c>
      <c r="AO54" s="183">
        <f t="shared" si="9"/>
        <v>0</v>
      </c>
      <c r="AP54" s="184">
        <f t="shared" si="57"/>
        <v>0</v>
      </c>
      <c r="AQ54" s="178">
        <f t="shared" si="57"/>
        <v>0</v>
      </c>
      <c r="AR54" s="178">
        <f t="shared" si="57"/>
        <v>0</v>
      </c>
      <c r="AS54" s="179">
        <f t="shared" si="57"/>
        <v>0</v>
      </c>
      <c r="AT54" s="178">
        <f t="shared" si="57"/>
        <v>0</v>
      </c>
      <c r="AU54" s="178">
        <f t="shared" si="57"/>
        <v>0</v>
      </c>
      <c r="AV54" s="178">
        <f t="shared" si="57"/>
        <v>0</v>
      </c>
      <c r="AW54" s="179">
        <f t="shared" si="57"/>
        <v>0</v>
      </c>
      <c r="AX54" s="178">
        <f t="shared" si="2"/>
        <v>0</v>
      </c>
      <c r="AY54" s="178">
        <f t="shared" si="3"/>
        <v>0</v>
      </c>
      <c r="AZ54" s="179">
        <f t="shared" si="4"/>
        <v>0</v>
      </c>
      <c r="BA54" s="184">
        <f t="shared" si="5"/>
        <v>0</v>
      </c>
      <c r="BB54" s="178">
        <f t="shared" si="6"/>
        <v>0</v>
      </c>
      <c r="BC54" s="184">
        <f t="shared" si="7"/>
        <v>0</v>
      </c>
      <c r="BD54" s="178">
        <f t="shared" si="8"/>
        <v>0</v>
      </c>
      <c r="BE54" s="251">
        <f t="shared" si="10"/>
        <v>0</v>
      </c>
      <c r="BF54" s="252">
        <f t="shared" si="58"/>
        <v>0</v>
      </c>
      <c r="BH54" s="262">
        <f t="shared" si="52"/>
        <v>0</v>
      </c>
      <c r="BI54" s="262">
        <f t="shared" si="53"/>
        <v>0</v>
      </c>
      <c r="BJ54" s="262">
        <f t="shared" si="54"/>
        <v>0</v>
      </c>
      <c r="BK54" s="263">
        <f t="shared" si="55"/>
        <v>0</v>
      </c>
      <c r="BL54" s="269">
        <f t="shared" si="56"/>
        <v>0</v>
      </c>
      <c r="BM54" s="264">
        <f t="shared" si="13"/>
        <v>0</v>
      </c>
      <c r="BO54" s="732" t="str">
        <f t="shared" si="12"/>
        <v/>
      </c>
    </row>
    <row r="55" spans="2:67" ht="15" customHeight="1" x14ac:dyDescent="0.25">
      <c r="B55" s="156">
        <f t="shared" si="44"/>
        <v>13</v>
      </c>
      <c r="C55" s="180" t="s">
        <v>587</v>
      </c>
      <c r="D55" s="181"/>
      <c r="E55" s="210" t="s">
        <v>94</v>
      </c>
      <c r="G55" s="488">
        <f>('Cust Specific'!R26)</f>
        <v>27.397200000000002</v>
      </c>
      <c r="H55" s="490"/>
      <c r="I55" s="494">
        <f>'Cust Specific'!R29</f>
        <v>4.2099999999999999E-2</v>
      </c>
      <c r="J55" s="471"/>
      <c r="K55" s="495">
        <f>'Cust Specific'!R30</f>
        <v>2.63E-2</v>
      </c>
      <c r="L55" s="471"/>
      <c r="M55" s="471"/>
      <c r="N55" s="471"/>
      <c r="O55" s="472"/>
      <c r="P55" s="471"/>
      <c r="Q55" s="471"/>
      <c r="R55" s="472"/>
      <c r="S55" s="489">
        <f>'Cust Specific'!R27</f>
        <v>0.14499999999999999</v>
      </c>
      <c r="T55" s="494">
        <f>'Cust Specific'!R28</f>
        <v>0.1036</v>
      </c>
      <c r="U55" s="491"/>
      <c r="V55" s="492"/>
      <c r="X55" s="183">
        <f>'Q (t)'!G55</f>
        <v>0</v>
      </c>
      <c r="Y55" s="184">
        <f>'Q (t)'!H55</f>
        <v>0</v>
      </c>
      <c r="Z55" s="178">
        <f>'Q (t)'!I55</f>
        <v>0</v>
      </c>
      <c r="AA55" s="178">
        <f>'Q (t)'!J55</f>
        <v>0</v>
      </c>
      <c r="AB55" s="179">
        <f>'Q (t)'!K55</f>
        <v>0</v>
      </c>
      <c r="AC55" s="178">
        <f>'Q (t)'!L55</f>
        <v>0</v>
      </c>
      <c r="AD55" s="178">
        <f>'Q (t)'!M55</f>
        <v>0</v>
      </c>
      <c r="AE55" s="178">
        <f>'Q (t)'!N55</f>
        <v>0</v>
      </c>
      <c r="AF55" s="179">
        <f>'Q (t)'!O55</f>
        <v>0</v>
      </c>
      <c r="AG55" s="178">
        <f>'Q (t)'!P55</f>
        <v>0</v>
      </c>
      <c r="AH55" s="178">
        <f>'Q (t)'!Q55</f>
        <v>0</v>
      </c>
      <c r="AI55" s="179">
        <f>'Q (t)'!R55</f>
        <v>0</v>
      </c>
      <c r="AJ55" s="184">
        <f>'Q (t)'!S55</f>
        <v>0</v>
      </c>
      <c r="AK55" s="178">
        <f>'Q (t)'!T55</f>
        <v>0</v>
      </c>
      <c r="AL55" s="184">
        <f>'Q (t)'!U55</f>
        <v>0</v>
      </c>
      <c r="AM55" s="179">
        <f>'Q (t)'!V55</f>
        <v>0</v>
      </c>
      <c r="AO55" s="183">
        <f t="shared" si="9"/>
        <v>0</v>
      </c>
      <c r="AP55" s="184">
        <f t="shared" si="57"/>
        <v>0</v>
      </c>
      <c r="AQ55" s="178">
        <f t="shared" si="57"/>
        <v>0</v>
      </c>
      <c r="AR55" s="178">
        <f t="shared" si="57"/>
        <v>0</v>
      </c>
      <c r="AS55" s="179">
        <f t="shared" si="57"/>
        <v>0</v>
      </c>
      <c r="AT55" s="178">
        <f t="shared" si="57"/>
        <v>0</v>
      </c>
      <c r="AU55" s="178">
        <f t="shared" si="57"/>
        <v>0</v>
      </c>
      <c r="AV55" s="178">
        <f t="shared" si="57"/>
        <v>0</v>
      </c>
      <c r="AW55" s="179">
        <f t="shared" si="57"/>
        <v>0</v>
      </c>
      <c r="AX55" s="178">
        <f t="shared" si="2"/>
        <v>0</v>
      </c>
      <c r="AY55" s="178">
        <f t="shared" si="3"/>
        <v>0</v>
      </c>
      <c r="AZ55" s="179">
        <f t="shared" si="4"/>
        <v>0</v>
      </c>
      <c r="BA55" s="184">
        <f t="shared" si="5"/>
        <v>0</v>
      </c>
      <c r="BB55" s="178">
        <f t="shared" si="6"/>
        <v>0</v>
      </c>
      <c r="BC55" s="184">
        <f t="shared" si="7"/>
        <v>0</v>
      </c>
      <c r="BD55" s="178">
        <f t="shared" si="8"/>
        <v>0</v>
      </c>
      <c r="BE55" s="251">
        <f t="shared" si="10"/>
        <v>0</v>
      </c>
      <c r="BF55" s="252">
        <f t="shared" si="58"/>
        <v>0</v>
      </c>
      <c r="BH55" s="262">
        <f t="shared" si="52"/>
        <v>0</v>
      </c>
      <c r="BI55" s="262">
        <f t="shared" si="53"/>
        <v>0</v>
      </c>
      <c r="BJ55" s="262">
        <f t="shared" si="54"/>
        <v>0</v>
      </c>
      <c r="BK55" s="263">
        <f t="shared" si="55"/>
        <v>0</v>
      </c>
      <c r="BL55" s="269">
        <f t="shared" si="56"/>
        <v>0</v>
      </c>
      <c r="BM55" s="264">
        <f t="shared" si="13"/>
        <v>0</v>
      </c>
      <c r="BO55" s="732" t="str">
        <f t="shared" si="12"/>
        <v/>
      </c>
    </row>
    <row r="56" spans="2:67" ht="15" customHeight="1" x14ac:dyDescent="0.25">
      <c r="B56" s="156">
        <f t="shared" si="44"/>
        <v>14</v>
      </c>
      <c r="C56" s="180" t="s">
        <v>589</v>
      </c>
      <c r="D56" s="181"/>
      <c r="E56" s="210" t="s">
        <v>94</v>
      </c>
      <c r="G56" s="488">
        <f>('Cust Specific'!R34)</f>
        <v>13.698600000000001</v>
      </c>
      <c r="H56" s="490"/>
      <c r="I56" s="494">
        <f>'Cust Specific'!R37</f>
        <v>4.2099999999999999E-2</v>
      </c>
      <c r="J56" s="471"/>
      <c r="K56" s="495">
        <f>'Cust Specific'!R38</f>
        <v>2.63E-2</v>
      </c>
      <c r="L56" s="471"/>
      <c r="M56" s="471"/>
      <c r="N56" s="471"/>
      <c r="O56" s="472"/>
      <c r="P56" s="471"/>
      <c r="Q56" s="471"/>
      <c r="R56" s="472"/>
      <c r="S56" s="489">
        <f>'Cust Specific'!R35</f>
        <v>0.14499999999999999</v>
      </c>
      <c r="T56" s="494">
        <f>'Cust Specific'!R36</f>
        <v>0.1036</v>
      </c>
      <c r="U56" s="491"/>
      <c r="V56" s="492"/>
      <c r="X56" s="183">
        <f>'Q (t)'!G56</f>
        <v>0</v>
      </c>
      <c r="Y56" s="184">
        <f>'Q (t)'!H56</f>
        <v>0</v>
      </c>
      <c r="Z56" s="178">
        <f>'Q (t)'!I56</f>
        <v>0</v>
      </c>
      <c r="AA56" s="178">
        <f>'Q (t)'!J56</f>
        <v>0</v>
      </c>
      <c r="AB56" s="179">
        <f>'Q (t)'!K56</f>
        <v>0</v>
      </c>
      <c r="AC56" s="178">
        <f>'Q (t)'!L56</f>
        <v>0</v>
      </c>
      <c r="AD56" s="178">
        <f>'Q (t)'!M56</f>
        <v>0</v>
      </c>
      <c r="AE56" s="178">
        <f>'Q (t)'!N56</f>
        <v>0</v>
      </c>
      <c r="AF56" s="179">
        <f>'Q (t)'!O56</f>
        <v>0</v>
      </c>
      <c r="AG56" s="178">
        <f>'Q (t)'!P56</f>
        <v>0</v>
      </c>
      <c r="AH56" s="178">
        <f>'Q (t)'!Q56</f>
        <v>0</v>
      </c>
      <c r="AI56" s="179">
        <f>'Q (t)'!R56</f>
        <v>0</v>
      </c>
      <c r="AJ56" s="184">
        <f>'Q (t)'!S56</f>
        <v>0</v>
      </c>
      <c r="AK56" s="178">
        <f>'Q (t)'!T56</f>
        <v>0</v>
      </c>
      <c r="AL56" s="184">
        <f>'Q (t)'!U56</f>
        <v>0</v>
      </c>
      <c r="AM56" s="179">
        <f>'Q (t)'!V56</f>
        <v>0</v>
      </c>
      <c r="AO56" s="183">
        <f t="shared" si="9"/>
        <v>0</v>
      </c>
      <c r="AP56" s="184">
        <f t="shared" si="57"/>
        <v>0</v>
      </c>
      <c r="AQ56" s="178">
        <f t="shared" si="57"/>
        <v>0</v>
      </c>
      <c r="AR56" s="178">
        <f t="shared" si="57"/>
        <v>0</v>
      </c>
      <c r="AS56" s="179">
        <f t="shared" si="57"/>
        <v>0</v>
      </c>
      <c r="AT56" s="178">
        <f t="shared" si="57"/>
        <v>0</v>
      </c>
      <c r="AU56" s="178">
        <f t="shared" si="57"/>
        <v>0</v>
      </c>
      <c r="AV56" s="178">
        <f t="shared" si="57"/>
        <v>0</v>
      </c>
      <c r="AW56" s="179">
        <f t="shared" si="57"/>
        <v>0</v>
      </c>
      <c r="AX56" s="178">
        <f t="shared" si="2"/>
        <v>0</v>
      </c>
      <c r="AY56" s="178">
        <f t="shared" si="3"/>
        <v>0</v>
      </c>
      <c r="AZ56" s="179">
        <f t="shared" si="4"/>
        <v>0</v>
      </c>
      <c r="BA56" s="184">
        <f t="shared" si="5"/>
        <v>0</v>
      </c>
      <c r="BB56" s="178">
        <f t="shared" si="6"/>
        <v>0</v>
      </c>
      <c r="BC56" s="184">
        <f t="shared" si="7"/>
        <v>0</v>
      </c>
      <c r="BD56" s="178">
        <f t="shared" si="8"/>
        <v>0</v>
      </c>
      <c r="BE56" s="251">
        <f t="shared" si="10"/>
        <v>0</v>
      </c>
      <c r="BF56" s="252">
        <f t="shared" si="58"/>
        <v>0</v>
      </c>
      <c r="BH56" s="262">
        <f t="shared" si="52"/>
        <v>0</v>
      </c>
      <c r="BI56" s="262">
        <f t="shared" si="53"/>
        <v>0</v>
      </c>
      <c r="BJ56" s="262">
        <f t="shared" si="54"/>
        <v>0</v>
      </c>
      <c r="BK56" s="263">
        <f t="shared" si="55"/>
        <v>0</v>
      </c>
      <c r="BL56" s="269">
        <f t="shared" si="56"/>
        <v>0</v>
      </c>
      <c r="BM56" s="264">
        <f t="shared" si="13"/>
        <v>0</v>
      </c>
      <c r="BO56" s="732" t="str">
        <f t="shared" si="12"/>
        <v/>
      </c>
    </row>
    <row r="57" spans="2:67" ht="15" customHeight="1" x14ac:dyDescent="0.25">
      <c r="B57" s="156">
        <f t="shared" si="44"/>
        <v>15</v>
      </c>
      <c r="C57" s="180" t="s">
        <v>591</v>
      </c>
      <c r="D57" s="181"/>
      <c r="E57" s="210" t="s">
        <v>94</v>
      </c>
      <c r="G57" s="488">
        <f>('Cust Specific'!R42)</f>
        <v>13.698600000000001</v>
      </c>
      <c r="H57" s="490"/>
      <c r="I57" s="494">
        <f>'Cust Specific'!R45</f>
        <v>4.2099999999999999E-2</v>
      </c>
      <c r="J57" s="471"/>
      <c r="K57" s="495">
        <f>'Cust Specific'!R46</f>
        <v>2.63E-2</v>
      </c>
      <c r="L57" s="471"/>
      <c r="M57" s="471"/>
      <c r="N57" s="471"/>
      <c r="O57" s="472"/>
      <c r="P57" s="471"/>
      <c r="Q57" s="471"/>
      <c r="R57" s="472"/>
      <c r="S57" s="489">
        <f>'Cust Specific'!R43</f>
        <v>0.14499999999999999</v>
      </c>
      <c r="T57" s="494">
        <f>'Cust Specific'!R44</f>
        <v>0.1036</v>
      </c>
      <c r="U57" s="491"/>
      <c r="V57" s="492"/>
      <c r="X57" s="183">
        <f>'Q (t)'!G57</f>
        <v>365</v>
      </c>
      <c r="Y57" s="184">
        <f>'Q (t)'!H57</f>
        <v>0</v>
      </c>
      <c r="Z57" s="178">
        <f>'Q (t)'!I57</f>
        <v>4140</v>
      </c>
      <c r="AA57" s="178">
        <f>'Q (t)'!J57</f>
        <v>0</v>
      </c>
      <c r="AB57" s="179">
        <f>'Q (t)'!K57</f>
        <v>5830</v>
      </c>
      <c r="AC57" s="178">
        <f>'Q (t)'!L57</f>
        <v>0</v>
      </c>
      <c r="AD57" s="178">
        <f>'Q (t)'!M57</f>
        <v>0</v>
      </c>
      <c r="AE57" s="178">
        <f>'Q (t)'!N57</f>
        <v>0</v>
      </c>
      <c r="AF57" s="179">
        <f>'Q (t)'!O57</f>
        <v>0</v>
      </c>
      <c r="AG57" s="178">
        <f>'Q (t)'!P57</f>
        <v>0</v>
      </c>
      <c r="AH57" s="178">
        <f>'Q (t)'!Q57</f>
        <v>0</v>
      </c>
      <c r="AI57" s="179">
        <f>'Q (t)'!R57</f>
        <v>0</v>
      </c>
      <c r="AJ57" s="184">
        <f>'Q (t)'!S57</f>
        <v>738395</v>
      </c>
      <c r="AK57" s="178">
        <f>'Q (t)'!T57</f>
        <v>911040</v>
      </c>
      <c r="AL57" s="184">
        <f>'Q (t)'!U57</f>
        <v>0</v>
      </c>
      <c r="AM57" s="179">
        <f>'Q (t)'!V57</f>
        <v>0</v>
      </c>
      <c r="AO57" s="183">
        <f t="shared" si="9"/>
        <v>4.9999890000000002</v>
      </c>
      <c r="AP57" s="184">
        <f t="shared" si="57"/>
        <v>0</v>
      </c>
      <c r="AQ57" s="178">
        <f t="shared" si="57"/>
        <v>174.29399999999998</v>
      </c>
      <c r="AR57" s="178">
        <f t="shared" si="57"/>
        <v>0</v>
      </c>
      <c r="AS57" s="179">
        <f t="shared" si="57"/>
        <v>153.32900000000001</v>
      </c>
      <c r="AT57" s="178">
        <f t="shared" si="57"/>
        <v>0</v>
      </c>
      <c r="AU57" s="178">
        <f t="shared" si="57"/>
        <v>0</v>
      </c>
      <c r="AV57" s="178">
        <f t="shared" si="57"/>
        <v>0</v>
      </c>
      <c r="AW57" s="179">
        <f t="shared" si="57"/>
        <v>0</v>
      </c>
      <c r="AX57" s="178">
        <f t="shared" si="2"/>
        <v>0</v>
      </c>
      <c r="AY57" s="178">
        <f t="shared" si="3"/>
        <v>0</v>
      </c>
      <c r="AZ57" s="179">
        <f t="shared" si="4"/>
        <v>0</v>
      </c>
      <c r="BA57" s="184">
        <f t="shared" si="5"/>
        <v>107.067275</v>
      </c>
      <c r="BB57" s="178">
        <f t="shared" si="6"/>
        <v>94.383743999999993</v>
      </c>
      <c r="BC57" s="184">
        <f t="shared" si="7"/>
        <v>0</v>
      </c>
      <c r="BD57" s="178">
        <f t="shared" si="8"/>
        <v>0</v>
      </c>
      <c r="BE57" s="251">
        <f t="shared" si="10"/>
        <v>1</v>
      </c>
      <c r="BF57" s="252">
        <f t="shared" si="58"/>
        <v>9970</v>
      </c>
      <c r="BH57" s="262">
        <f t="shared" si="52"/>
        <v>4.9999890000000002</v>
      </c>
      <c r="BI57" s="262">
        <f t="shared" si="53"/>
        <v>327.62299999999999</v>
      </c>
      <c r="BJ57" s="262">
        <f t="shared" si="54"/>
        <v>0</v>
      </c>
      <c r="BK57" s="263">
        <f t="shared" si="55"/>
        <v>201.45101899999997</v>
      </c>
      <c r="BL57" s="269">
        <f t="shared" si="56"/>
        <v>0</v>
      </c>
      <c r="BM57" s="264">
        <f t="shared" si="13"/>
        <v>534.07400800000005</v>
      </c>
      <c r="BO57" s="732">
        <f t="shared" si="12"/>
        <v>53.568105115346043</v>
      </c>
    </row>
    <row r="58" spans="2:67" ht="15" customHeight="1" x14ac:dyDescent="0.25">
      <c r="B58" s="156">
        <f t="shared" si="44"/>
        <v>16</v>
      </c>
      <c r="C58" s="180" t="s">
        <v>679</v>
      </c>
      <c r="D58" s="181"/>
      <c r="E58" s="210" t="s">
        <v>94</v>
      </c>
      <c r="G58" s="488">
        <f>('Cust Specific'!R50)</f>
        <v>47.945100000000004</v>
      </c>
      <c r="H58" s="490"/>
      <c r="I58" s="494">
        <f>'Cust Specific'!R53</f>
        <v>4.2099999999999999E-2</v>
      </c>
      <c r="J58" s="471"/>
      <c r="K58" s="495">
        <f>'Cust Specific'!R54</f>
        <v>2.63E-2</v>
      </c>
      <c r="L58" s="471"/>
      <c r="M58" s="471"/>
      <c r="N58" s="471"/>
      <c r="O58" s="472"/>
      <c r="P58" s="471"/>
      <c r="Q58" s="471"/>
      <c r="R58" s="472"/>
      <c r="S58" s="489">
        <f>'Cust Specific'!R51</f>
        <v>0.14499999999999999</v>
      </c>
      <c r="T58" s="494">
        <f>'Cust Specific'!R52</f>
        <v>0.1036</v>
      </c>
      <c r="U58" s="491"/>
      <c r="V58" s="492"/>
      <c r="X58" s="183">
        <f>'Q (t)'!G58</f>
        <v>365</v>
      </c>
      <c r="Y58" s="184">
        <f>'Q (t)'!H58</f>
        <v>0</v>
      </c>
      <c r="Z58" s="178">
        <f>'Q (t)'!I58</f>
        <v>420</v>
      </c>
      <c r="AA58" s="178">
        <f>'Q (t)'!J58</f>
        <v>0</v>
      </c>
      <c r="AB58" s="179">
        <f>'Q (t)'!K58</f>
        <v>1020</v>
      </c>
      <c r="AC58" s="178">
        <f>'Q (t)'!L58</f>
        <v>0</v>
      </c>
      <c r="AD58" s="178">
        <f>'Q (t)'!M58</f>
        <v>0</v>
      </c>
      <c r="AE58" s="178">
        <f>'Q (t)'!N58</f>
        <v>0</v>
      </c>
      <c r="AF58" s="179">
        <f>'Q (t)'!O58</f>
        <v>0</v>
      </c>
      <c r="AG58" s="178">
        <f>'Q (t)'!P58</f>
        <v>0</v>
      </c>
      <c r="AH58" s="178">
        <f>'Q (t)'!Q58</f>
        <v>0</v>
      </c>
      <c r="AI58" s="179">
        <f>'Q (t)'!R58</f>
        <v>0</v>
      </c>
      <c r="AJ58" s="184">
        <f>'Q (t)'!S58</f>
        <v>287620</v>
      </c>
      <c r="AK58" s="178">
        <f>'Q (t)'!T58</f>
        <v>514650</v>
      </c>
      <c r="AL58" s="184">
        <f>'Q (t)'!U58</f>
        <v>0</v>
      </c>
      <c r="AM58" s="179">
        <f>'Q (t)'!V58</f>
        <v>0</v>
      </c>
      <c r="AO58" s="183">
        <f>G58*X58/1000</f>
        <v>17.499961500000001</v>
      </c>
      <c r="AP58" s="184">
        <f t="shared" ref="AP58:AW58" si="59">H58*Y58</f>
        <v>0</v>
      </c>
      <c r="AQ58" s="178">
        <f t="shared" si="59"/>
        <v>17.681999999999999</v>
      </c>
      <c r="AR58" s="178">
        <f t="shared" si="59"/>
        <v>0</v>
      </c>
      <c r="AS58" s="179">
        <f t="shared" si="59"/>
        <v>26.826000000000001</v>
      </c>
      <c r="AT58" s="178">
        <f t="shared" si="59"/>
        <v>0</v>
      </c>
      <c r="AU58" s="178">
        <f t="shared" si="59"/>
        <v>0</v>
      </c>
      <c r="AV58" s="178">
        <f t="shared" si="59"/>
        <v>0</v>
      </c>
      <c r="AW58" s="179">
        <f t="shared" si="59"/>
        <v>0</v>
      </c>
      <c r="AX58" s="178">
        <f t="shared" ref="AX58:BD58" si="60">P58*AG58/1000</f>
        <v>0</v>
      </c>
      <c r="AY58" s="178">
        <f t="shared" si="60"/>
        <v>0</v>
      </c>
      <c r="AZ58" s="179">
        <f t="shared" si="60"/>
        <v>0</v>
      </c>
      <c r="BA58" s="184">
        <f t="shared" si="60"/>
        <v>41.704899999999995</v>
      </c>
      <c r="BB58" s="178">
        <f t="shared" si="60"/>
        <v>53.317740000000001</v>
      </c>
      <c r="BC58" s="184">
        <f t="shared" si="60"/>
        <v>0</v>
      </c>
      <c r="BD58" s="178">
        <f t="shared" si="60"/>
        <v>0</v>
      </c>
      <c r="BE58" s="251">
        <f>X58/$BE$7</f>
        <v>1</v>
      </c>
      <c r="BF58" s="252">
        <f>SUM(Y58:AF58)</f>
        <v>1440</v>
      </c>
      <c r="BH58" s="262">
        <f>SUM(AO58)</f>
        <v>17.499961500000001</v>
      </c>
      <c r="BI58" s="262">
        <f>SUM(AP58:AS58)</f>
        <v>44.507999999999996</v>
      </c>
      <c r="BJ58" s="262">
        <f>SUM(AT58:AW58)</f>
        <v>0</v>
      </c>
      <c r="BK58" s="263">
        <f>SUM(AX58:BB58)</f>
        <v>95.022639999999996</v>
      </c>
      <c r="BL58" s="269">
        <f>SUM(BC58:BD58)</f>
        <v>0</v>
      </c>
      <c r="BM58" s="264">
        <f>SUM(BH58:BL58)</f>
        <v>157.03060149999999</v>
      </c>
      <c r="BO58" s="732">
        <f>IF(BF58=0,"",BM58*1000/BF58)</f>
        <v>109.04902881944443</v>
      </c>
    </row>
    <row r="59" spans="2:67" ht="15" customHeight="1" x14ac:dyDescent="0.25">
      <c r="B59" s="156">
        <f t="shared" si="44"/>
        <v>17</v>
      </c>
      <c r="C59" s="180" t="s">
        <v>590</v>
      </c>
      <c r="D59" s="181"/>
      <c r="E59" s="210" t="s">
        <v>94</v>
      </c>
      <c r="G59" s="488">
        <f>('Cust Specific'!R58)</f>
        <v>20.547900000000002</v>
      </c>
      <c r="H59" s="490"/>
      <c r="I59" s="494">
        <f>'Cust Specific'!R61</f>
        <v>4.2099999999999999E-2</v>
      </c>
      <c r="J59" s="471"/>
      <c r="K59" s="495">
        <f>'Cust Specific'!R62</f>
        <v>2.63E-2</v>
      </c>
      <c r="L59" s="471"/>
      <c r="M59" s="471"/>
      <c r="N59" s="471"/>
      <c r="O59" s="472"/>
      <c r="P59" s="471"/>
      <c r="Q59" s="471"/>
      <c r="R59" s="472"/>
      <c r="S59" s="489">
        <f>'Cust Specific'!R59</f>
        <v>0.14499999999999999</v>
      </c>
      <c r="T59" s="494">
        <f>'Cust Specific'!R60</f>
        <v>0.1036</v>
      </c>
      <c r="U59" s="491"/>
      <c r="V59" s="492"/>
      <c r="X59" s="183">
        <f>'Q (t)'!G59</f>
        <v>0</v>
      </c>
      <c r="Y59" s="184">
        <f>'Q (t)'!H59</f>
        <v>0</v>
      </c>
      <c r="Z59" s="178">
        <f>'Q (t)'!I59</f>
        <v>0</v>
      </c>
      <c r="AA59" s="178">
        <f>'Q (t)'!J59</f>
        <v>0</v>
      </c>
      <c r="AB59" s="179">
        <f>'Q (t)'!K59</f>
        <v>0</v>
      </c>
      <c r="AC59" s="178">
        <f>'Q (t)'!L59</f>
        <v>0</v>
      </c>
      <c r="AD59" s="178">
        <f>'Q (t)'!M59</f>
        <v>0</v>
      </c>
      <c r="AE59" s="178">
        <f>'Q (t)'!N59</f>
        <v>0</v>
      </c>
      <c r="AF59" s="179">
        <f>'Q (t)'!O59</f>
        <v>0</v>
      </c>
      <c r="AG59" s="178">
        <f>'Q (t)'!P59</f>
        <v>0</v>
      </c>
      <c r="AH59" s="178">
        <f>'Q (t)'!Q59</f>
        <v>0</v>
      </c>
      <c r="AI59" s="179">
        <f>'Q (t)'!R59</f>
        <v>0</v>
      </c>
      <c r="AJ59" s="184">
        <f>'Q (t)'!S59</f>
        <v>0</v>
      </c>
      <c r="AK59" s="178">
        <f>'Q (t)'!T59</f>
        <v>0</v>
      </c>
      <c r="AL59" s="184">
        <f>'Q (t)'!U59</f>
        <v>0</v>
      </c>
      <c r="AM59" s="179">
        <f>'Q (t)'!V59</f>
        <v>0</v>
      </c>
      <c r="AO59" s="183">
        <f t="shared" si="9"/>
        <v>0</v>
      </c>
      <c r="AP59" s="184">
        <f t="shared" si="57"/>
        <v>0</v>
      </c>
      <c r="AQ59" s="178">
        <f t="shared" si="57"/>
        <v>0</v>
      </c>
      <c r="AR59" s="178">
        <f t="shared" si="57"/>
        <v>0</v>
      </c>
      <c r="AS59" s="179">
        <f t="shared" si="57"/>
        <v>0</v>
      </c>
      <c r="AT59" s="178">
        <f t="shared" si="57"/>
        <v>0</v>
      </c>
      <c r="AU59" s="178">
        <f t="shared" si="57"/>
        <v>0</v>
      </c>
      <c r="AV59" s="178">
        <f t="shared" si="57"/>
        <v>0</v>
      </c>
      <c r="AW59" s="179">
        <f t="shared" si="57"/>
        <v>0</v>
      </c>
      <c r="AX59" s="178">
        <f t="shared" si="2"/>
        <v>0</v>
      </c>
      <c r="AY59" s="178">
        <f t="shared" si="3"/>
        <v>0</v>
      </c>
      <c r="AZ59" s="179">
        <f t="shared" si="4"/>
        <v>0</v>
      </c>
      <c r="BA59" s="184">
        <f t="shared" si="5"/>
        <v>0</v>
      </c>
      <c r="BB59" s="178">
        <f t="shared" si="6"/>
        <v>0</v>
      </c>
      <c r="BC59" s="184">
        <f t="shared" si="7"/>
        <v>0</v>
      </c>
      <c r="BD59" s="178">
        <f t="shared" si="8"/>
        <v>0</v>
      </c>
      <c r="BE59" s="251">
        <f t="shared" si="10"/>
        <v>0</v>
      </c>
      <c r="BF59" s="252">
        <f t="shared" si="58"/>
        <v>0</v>
      </c>
      <c r="BH59" s="262">
        <f t="shared" si="52"/>
        <v>0</v>
      </c>
      <c r="BI59" s="262">
        <f t="shared" si="53"/>
        <v>0</v>
      </c>
      <c r="BJ59" s="262">
        <f t="shared" si="54"/>
        <v>0</v>
      </c>
      <c r="BK59" s="263">
        <f t="shared" si="55"/>
        <v>0</v>
      </c>
      <c r="BL59" s="269">
        <f t="shared" si="56"/>
        <v>0</v>
      </c>
      <c r="BM59" s="264">
        <f t="shared" si="13"/>
        <v>0</v>
      </c>
      <c r="BO59" s="732" t="str">
        <f t="shared" si="12"/>
        <v/>
      </c>
    </row>
    <row r="60" spans="2:67" ht="15" customHeight="1" x14ac:dyDescent="0.25">
      <c r="B60" s="156">
        <f t="shared" si="44"/>
        <v>18</v>
      </c>
      <c r="C60" s="180" t="s">
        <v>592</v>
      </c>
      <c r="D60" s="181"/>
      <c r="E60" s="210" t="s">
        <v>94</v>
      </c>
      <c r="G60" s="488">
        <f>('Cust Specific'!R66)</f>
        <v>13.698600000000001</v>
      </c>
      <c r="H60" s="490"/>
      <c r="I60" s="494">
        <f>'Cust Specific'!R69</f>
        <v>4.2099999999999999E-2</v>
      </c>
      <c r="J60" s="471"/>
      <c r="K60" s="495">
        <f>'Cust Specific'!R70</f>
        <v>2.63E-2</v>
      </c>
      <c r="L60" s="471"/>
      <c r="M60" s="471"/>
      <c r="N60" s="471"/>
      <c r="O60" s="472"/>
      <c r="P60" s="471"/>
      <c r="Q60" s="471"/>
      <c r="R60" s="472"/>
      <c r="S60" s="489">
        <f>'Cust Specific'!R67</f>
        <v>0.14499999999999999</v>
      </c>
      <c r="T60" s="494">
        <f>'Cust Specific'!R68</f>
        <v>0.1036</v>
      </c>
      <c r="U60" s="491"/>
      <c r="V60" s="492"/>
      <c r="X60" s="183">
        <f>'Q (t)'!G60</f>
        <v>0</v>
      </c>
      <c r="Y60" s="184">
        <f>'Q (t)'!H60</f>
        <v>0</v>
      </c>
      <c r="Z60" s="178">
        <f>'Q (t)'!I60</f>
        <v>0</v>
      </c>
      <c r="AA60" s="178">
        <f>'Q (t)'!J60</f>
        <v>0</v>
      </c>
      <c r="AB60" s="179">
        <f>'Q (t)'!K60</f>
        <v>0</v>
      </c>
      <c r="AC60" s="178">
        <f>'Q (t)'!L60</f>
        <v>0</v>
      </c>
      <c r="AD60" s="178">
        <f>'Q (t)'!M60</f>
        <v>0</v>
      </c>
      <c r="AE60" s="178">
        <f>'Q (t)'!N60</f>
        <v>0</v>
      </c>
      <c r="AF60" s="179">
        <f>'Q (t)'!O60</f>
        <v>0</v>
      </c>
      <c r="AG60" s="178">
        <f>'Q (t)'!P60</f>
        <v>0</v>
      </c>
      <c r="AH60" s="178">
        <f>'Q (t)'!Q60</f>
        <v>0</v>
      </c>
      <c r="AI60" s="179">
        <f>'Q (t)'!R60</f>
        <v>0</v>
      </c>
      <c r="AJ60" s="184">
        <f>'Q (t)'!S60</f>
        <v>0</v>
      </c>
      <c r="AK60" s="178">
        <f>'Q (t)'!T60</f>
        <v>0</v>
      </c>
      <c r="AL60" s="184">
        <f>'Q (t)'!U60</f>
        <v>0</v>
      </c>
      <c r="AM60" s="179">
        <f>'Q (t)'!V60</f>
        <v>0</v>
      </c>
      <c r="AO60" s="183">
        <f t="shared" si="9"/>
        <v>0</v>
      </c>
      <c r="AP60" s="184">
        <f t="shared" si="57"/>
        <v>0</v>
      </c>
      <c r="AQ60" s="178">
        <f t="shared" si="57"/>
        <v>0</v>
      </c>
      <c r="AR60" s="178">
        <f t="shared" si="57"/>
        <v>0</v>
      </c>
      <c r="AS60" s="179">
        <f t="shared" si="57"/>
        <v>0</v>
      </c>
      <c r="AT60" s="178">
        <f t="shared" si="57"/>
        <v>0</v>
      </c>
      <c r="AU60" s="178">
        <f t="shared" si="57"/>
        <v>0</v>
      </c>
      <c r="AV60" s="178">
        <f t="shared" si="57"/>
        <v>0</v>
      </c>
      <c r="AW60" s="179">
        <f t="shared" si="57"/>
        <v>0</v>
      </c>
      <c r="AX60" s="178">
        <f t="shared" si="2"/>
        <v>0</v>
      </c>
      <c r="AY60" s="178">
        <f t="shared" si="3"/>
        <v>0</v>
      </c>
      <c r="AZ60" s="179">
        <f t="shared" si="4"/>
        <v>0</v>
      </c>
      <c r="BA60" s="184">
        <f t="shared" si="5"/>
        <v>0</v>
      </c>
      <c r="BB60" s="178">
        <f t="shared" si="6"/>
        <v>0</v>
      </c>
      <c r="BC60" s="184">
        <f t="shared" si="7"/>
        <v>0</v>
      </c>
      <c r="BD60" s="178">
        <f t="shared" si="8"/>
        <v>0</v>
      </c>
      <c r="BE60" s="251">
        <f t="shared" si="10"/>
        <v>0</v>
      </c>
      <c r="BF60" s="252">
        <f t="shared" si="58"/>
        <v>0</v>
      </c>
      <c r="BH60" s="262">
        <f t="shared" si="52"/>
        <v>0</v>
      </c>
      <c r="BI60" s="262">
        <f t="shared" si="53"/>
        <v>0</v>
      </c>
      <c r="BJ60" s="262">
        <f t="shared" si="54"/>
        <v>0</v>
      </c>
      <c r="BK60" s="263">
        <f t="shared" si="55"/>
        <v>0</v>
      </c>
      <c r="BL60" s="269">
        <f t="shared" si="56"/>
        <v>0</v>
      </c>
      <c r="BM60" s="264">
        <f t="shared" si="13"/>
        <v>0</v>
      </c>
      <c r="BO60" s="732" t="str">
        <f t="shared" si="12"/>
        <v/>
      </c>
    </row>
    <row r="61" spans="2:67" ht="15" customHeight="1" x14ac:dyDescent="0.25">
      <c r="B61" s="156">
        <f t="shared" si="44"/>
        <v>19</v>
      </c>
      <c r="C61" s="180" t="s">
        <v>593</v>
      </c>
      <c r="D61" s="181"/>
      <c r="E61" s="210" t="s">
        <v>94</v>
      </c>
      <c r="G61" s="488">
        <f>('Cust Specific'!R74)</f>
        <v>13.698600000000001</v>
      </c>
      <c r="H61" s="490"/>
      <c r="I61" s="494">
        <f>'Cust Specific'!R77</f>
        <v>4.2099999999999999E-2</v>
      </c>
      <c r="J61" s="471"/>
      <c r="K61" s="495">
        <f>'Cust Specific'!R78</f>
        <v>2.63E-2</v>
      </c>
      <c r="L61" s="471"/>
      <c r="M61" s="471"/>
      <c r="N61" s="471"/>
      <c r="O61" s="472"/>
      <c r="P61" s="471"/>
      <c r="Q61" s="471"/>
      <c r="R61" s="472"/>
      <c r="S61" s="489">
        <f>'Cust Specific'!R75</f>
        <v>0.14499999999999999</v>
      </c>
      <c r="T61" s="494">
        <f>'Cust Specific'!R76</f>
        <v>0.1036</v>
      </c>
      <c r="U61" s="491"/>
      <c r="V61" s="492"/>
      <c r="X61" s="183">
        <f>'Q (t)'!G61</f>
        <v>0</v>
      </c>
      <c r="Y61" s="184">
        <f>'Q (t)'!H61</f>
        <v>0</v>
      </c>
      <c r="Z61" s="178">
        <f>'Q (t)'!I61</f>
        <v>0</v>
      </c>
      <c r="AA61" s="178">
        <f>'Q (t)'!J61</f>
        <v>0</v>
      </c>
      <c r="AB61" s="179">
        <f>'Q (t)'!K61</f>
        <v>0</v>
      </c>
      <c r="AC61" s="178">
        <f>'Q (t)'!L61</f>
        <v>0</v>
      </c>
      <c r="AD61" s="178">
        <f>'Q (t)'!M61</f>
        <v>0</v>
      </c>
      <c r="AE61" s="178">
        <f>'Q (t)'!N61</f>
        <v>0</v>
      </c>
      <c r="AF61" s="179">
        <f>'Q (t)'!O61</f>
        <v>0</v>
      </c>
      <c r="AG61" s="178">
        <f>'Q (t)'!P61</f>
        <v>0</v>
      </c>
      <c r="AH61" s="178">
        <f>'Q (t)'!Q61</f>
        <v>0</v>
      </c>
      <c r="AI61" s="179">
        <f>'Q (t)'!R61</f>
        <v>0</v>
      </c>
      <c r="AJ61" s="184">
        <f>'Q (t)'!S61</f>
        <v>0</v>
      </c>
      <c r="AK61" s="178">
        <f>'Q (t)'!T61</f>
        <v>0</v>
      </c>
      <c r="AL61" s="184">
        <f>'Q (t)'!U61</f>
        <v>0</v>
      </c>
      <c r="AM61" s="179">
        <f>'Q (t)'!V61</f>
        <v>0</v>
      </c>
      <c r="AO61" s="183">
        <f t="shared" si="9"/>
        <v>0</v>
      </c>
      <c r="AP61" s="184">
        <f t="shared" si="57"/>
        <v>0</v>
      </c>
      <c r="AQ61" s="178">
        <f t="shared" si="57"/>
        <v>0</v>
      </c>
      <c r="AR61" s="178">
        <f t="shared" si="57"/>
        <v>0</v>
      </c>
      <c r="AS61" s="179">
        <f t="shared" si="57"/>
        <v>0</v>
      </c>
      <c r="AT61" s="178">
        <f t="shared" si="57"/>
        <v>0</v>
      </c>
      <c r="AU61" s="178">
        <f t="shared" si="57"/>
        <v>0</v>
      </c>
      <c r="AV61" s="178">
        <f t="shared" si="57"/>
        <v>0</v>
      </c>
      <c r="AW61" s="179">
        <f t="shared" si="57"/>
        <v>0</v>
      </c>
      <c r="AX61" s="178">
        <f t="shared" si="2"/>
        <v>0</v>
      </c>
      <c r="AY61" s="178">
        <f t="shared" si="3"/>
        <v>0</v>
      </c>
      <c r="AZ61" s="179">
        <f t="shared" si="4"/>
        <v>0</v>
      </c>
      <c r="BA61" s="184">
        <f t="shared" si="5"/>
        <v>0</v>
      </c>
      <c r="BB61" s="178">
        <f t="shared" si="6"/>
        <v>0</v>
      </c>
      <c r="BC61" s="184">
        <f t="shared" si="7"/>
        <v>0</v>
      </c>
      <c r="BD61" s="178">
        <f t="shared" si="8"/>
        <v>0</v>
      </c>
      <c r="BE61" s="251">
        <f t="shared" si="10"/>
        <v>0</v>
      </c>
      <c r="BF61" s="252">
        <f t="shared" si="58"/>
        <v>0</v>
      </c>
      <c r="BH61" s="262">
        <f t="shared" si="52"/>
        <v>0</v>
      </c>
      <c r="BI61" s="262">
        <f t="shared" si="53"/>
        <v>0</v>
      </c>
      <c r="BJ61" s="262">
        <f t="shared" si="54"/>
        <v>0</v>
      </c>
      <c r="BK61" s="263">
        <f t="shared" si="55"/>
        <v>0</v>
      </c>
      <c r="BL61" s="269">
        <f t="shared" si="56"/>
        <v>0</v>
      </c>
      <c r="BM61" s="264">
        <f t="shared" si="13"/>
        <v>0</v>
      </c>
      <c r="BO61" s="732" t="str">
        <f t="shared" si="12"/>
        <v/>
      </c>
    </row>
    <row r="62" spans="2:67" ht="15" customHeight="1" x14ac:dyDescent="0.25">
      <c r="B62" s="156">
        <f t="shared" si="44"/>
        <v>20</v>
      </c>
      <c r="C62" s="180" t="s">
        <v>594</v>
      </c>
      <c r="D62" s="181"/>
      <c r="E62" s="210" t="s">
        <v>94</v>
      </c>
      <c r="G62" s="488">
        <f>('Cust Specific'!R82)</f>
        <v>20.547900000000002</v>
      </c>
      <c r="H62" s="490"/>
      <c r="I62" s="494">
        <f>'Cust Specific'!R85</f>
        <v>4.2099999999999999E-2</v>
      </c>
      <c r="J62" s="471"/>
      <c r="K62" s="495">
        <f>'Cust Specific'!R86</f>
        <v>2.63E-2</v>
      </c>
      <c r="L62" s="471"/>
      <c r="M62" s="471"/>
      <c r="N62" s="471"/>
      <c r="O62" s="472"/>
      <c r="P62" s="471"/>
      <c r="Q62" s="471"/>
      <c r="R62" s="472"/>
      <c r="S62" s="489">
        <f>'Cust Specific'!R83</f>
        <v>0.14499999999999999</v>
      </c>
      <c r="T62" s="494">
        <f>'Cust Specific'!R84</f>
        <v>0.1036</v>
      </c>
      <c r="U62" s="491"/>
      <c r="V62" s="492"/>
      <c r="X62" s="183">
        <f>'Q (t)'!G62</f>
        <v>0</v>
      </c>
      <c r="Y62" s="184">
        <f>'Q (t)'!H62</f>
        <v>0</v>
      </c>
      <c r="Z62" s="178">
        <f>'Q (t)'!I62</f>
        <v>0</v>
      </c>
      <c r="AA62" s="178">
        <f>'Q (t)'!J62</f>
        <v>0</v>
      </c>
      <c r="AB62" s="179">
        <f>'Q (t)'!K62</f>
        <v>0</v>
      </c>
      <c r="AC62" s="178">
        <f>'Q (t)'!L62</f>
        <v>0</v>
      </c>
      <c r="AD62" s="178">
        <f>'Q (t)'!M62</f>
        <v>0</v>
      </c>
      <c r="AE62" s="178">
        <f>'Q (t)'!N62</f>
        <v>0</v>
      </c>
      <c r="AF62" s="179">
        <f>'Q (t)'!O62</f>
        <v>0</v>
      </c>
      <c r="AG62" s="178">
        <f>'Q (t)'!P62</f>
        <v>0</v>
      </c>
      <c r="AH62" s="178">
        <f>'Q (t)'!Q62</f>
        <v>0</v>
      </c>
      <c r="AI62" s="179">
        <f>'Q (t)'!R62</f>
        <v>0</v>
      </c>
      <c r="AJ62" s="184">
        <f>'Q (t)'!S62</f>
        <v>0</v>
      </c>
      <c r="AK62" s="178">
        <f>'Q (t)'!T62</f>
        <v>0</v>
      </c>
      <c r="AL62" s="184">
        <f>'Q (t)'!U62</f>
        <v>0</v>
      </c>
      <c r="AM62" s="179">
        <f>'Q (t)'!V62</f>
        <v>0</v>
      </c>
      <c r="AO62" s="183">
        <f t="shared" si="9"/>
        <v>0</v>
      </c>
      <c r="AP62" s="184">
        <f t="shared" si="57"/>
        <v>0</v>
      </c>
      <c r="AQ62" s="178">
        <f t="shared" si="57"/>
        <v>0</v>
      </c>
      <c r="AR62" s="178">
        <f t="shared" si="57"/>
        <v>0</v>
      </c>
      <c r="AS62" s="179">
        <f t="shared" si="57"/>
        <v>0</v>
      </c>
      <c r="AT62" s="178">
        <f t="shared" si="57"/>
        <v>0</v>
      </c>
      <c r="AU62" s="178">
        <f t="shared" si="57"/>
        <v>0</v>
      </c>
      <c r="AV62" s="178">
        <f t="shared" si="57"/>
        <v>0</v>
      </c>
      <c r="AW62" s="179">
        <f t="shared" si="57"/>
        <v>0</v>
      </c>
      <c r="AX62" s="178">
        <f t="shared" si="2"/>
        <v>0</v>
      </c>
      <c r="AY62" s="178">
        <f t="shared" si="3"/>
        <v>0</v>
      </c>
      <c r="AZ62" s="179">
        <f t="shared" si="4"/>
        <v>0</v>
      </c>
      <c r="BA62" s="184">
        <f t="shared" si="5"/>
        <v>0</v>
      </c>
      <c r="BB62" s="178">
        <f t="shared" si="6"/>
        <v>0</v>
      </c>
      <c r="BC62" s="184">
        <f t="shared" si="7"/>
        <v>0</v>
      </c>
      <c r="BD62" s="178">
        <f t="shared" si="8"/>
        <v>0</v>
      </c>
      <c r="BE62" s="251">
        <f t="shared" si="10"/>
        <v>0</v>
      </c>
      <c r="BF62" s="252">
        <f t="shared" si="58"/>
        <v>0</v>
      </c>
      <c r="BH62" s="262">
        <f t="shared" si="52"/>
        <v>0</v>
      </c>
      <c r="BI62" s="262">
        <f t="shared" si="53"/>
        <v>0</v>
      </c>
      <c r="BJ62" s="262">
        <f t="shared" si="54"/>
        <v>0</v>
      </c>
      <c r="BK62" s="263">
        <f t="shared" si="55"/>
        <v>0</v>
      </c>
      <c r="BL62" s="269">
        <f t="shared" si="56"/>
        <v>0</v>
      </c>
      <c r="BM62" s="264">
        <f t="shared" si="13"/>
        <v>0</v>
      </c>
      <c r="BO62" s="732" t="str">
        <f t="shared" si="12"/>
        <v/>
      </c>
    </row>
    <row r="63" spans="2:67" ht="15" customHeight="1" x14ac:dyDescent="0.25">
      <c r="B63" s="156">
        <f t="shared" si="44"/>
        <v>21</v>
      </c>
      <c r="C63" s="180" t="s">
        <v>595</v>
      </c>
      <c r="D63" s="181"/>
      <c r="E63" s="210" t="s">
        <v>94</v>
      </c>
      <c r="G63" s="488">
        <f>('Cust Specific'!R90)</f>
        <v>82.191600000000008</v>
      </c>
      <c r="H63" s="490"/>
      <c r="I63" s="494">
        <f>'Cust Specific'!R93</f>
        <v>4.2099999999999999E-2</v>
      </c>
      <c r="J63" s="471"/>
      <c r="K63" s="495">
        <f>'Cust Specific'!R94</f>
        <v>2.63E-2</v>
      </c>
      <c r="L63" s="471"/>
      <c r="M63" s="471"/>
      <c r="N63" s="471"/>
      <c r="O63" s="472"/>
      <c r="P63" s="471"/>
      <c r="Q63" s="471"/>
      <c r="R63" s="472"/>
      <c r="S63" s="489">
        <f>'Cust Specific'!R91</f>
        <v>0.14499999999999999</v>
      </c>
      <c r="T63" s="494">
        <f>'Cust Specific'!R92</f>
        <v>0.1036</v>
      </c>
      <c r="U63" s="491"/>
      <c r="V63" s="492"/>
      <c r="X63" s="183">
        <f>'Q (t)'!G63</f>
        <v>365</v>
      </c>
      <c r="Y63" s="184">
        <f>'Q (t)'!H63</f>
        <v>0</v>
      </c>
      <c r="Z63" s="178">
        <f>'Q (t)'!I63</f>
        <v>4100</v>
      </c>
      <c r="AA63" s="178">
        <f>'Q (t)'!J63</f>
        <v>0</v>
      </c>
      <c r="AB63" s="179">
        <f>'Q (t)'!K63</f>
        <v>5400</v>
      </c>
      <c r="AC63" s="178">
        <f>'Q (t)'!L63</f>
        <v>0</v>
      </c>
      <c r="AD63" s="178">
        <f>'Q (t)'!M63</f>
        <v>0</v>
      </c>
      <c r="AE63" s="178">
        <f>'Q (t)'!N63</f>
        <v>0</v>
      </c>
      <c r="AF63" s="179">
        <f>'Q (t)'!O63</f>
        <v>0</v>
      </c>
      <c r="AG63" s="178">
        <f>'Q (t)'!P63</f>
        <v>0</v>
      </c>
      <c r="AH63" s="178">
        <f>'Q (t)'!Q63</f>
        <v>0</v>
      </c>
      <c r="AI63" s="179">
        <f>'Q (t)'!R63</f>
        <v>0</v>
      </c>
      <c r="AJ63" s="184">
        <f>'Q (t)'!S63</f>
        <v>1069450</v>
      </c>
      <c r="AK63" s="178">
        <f>'Q (t)'!T63</f>
        <v>1800910</v>
      </c>
      <c r="AL63" s="184">
        <f>'Q (t)'!U63</f>
        <v>0</v>
      </c>
      <c r="AM63" s="179">
        <f>'Q (t)'!V63</f>
        <v>0</v>
      </c>
      <c r="AO63" s="183">
        <f t="shared" si="9"/>
        <v>29.999934000000003</v>
      </c>
      <c r="AP63" s="184">
        <f t="shared" si="57"/>
        <v>0</v>
      </c>
      <c r="AQ63" s="178">
        <f t="shared" si="57"/>
        <v>172.60999999999999</v>
      </c>
      <c r="AR63" s="178">
        <f t="shared" si="57"/>
        <v>0</v>
      </c>
      <c r="AS63" s="179">
        <f t="shared" si="57"/>
        <v>142.02000000000001</v>
      </c>
      <c r="AT63" s="178">
        <f t="shared" si="57"/>
        <v>0</v>
      </c>
      <c r="AU63" s="178">
        <f t="shared" si="57"/>
        <v>0</v>
      </c>
      <c r="AV63" s="178">
        <f t="shared" si="57"/>
        <v>0</v>
      </c>
      <c r="AW63" s="179">
        <f t="shared" si="57"/>
        <v>0</v>
      </c>
      <c r="AX63" s="178">
        <f t="shared" si="2"/>
        <v>0</v>
      </c>
      <c r="AY63" s="178">
        <f t="shared" si="3"/>
        <v>0</v>
      </c>
      <c r="AZ63" s="179">
        <f t="shared" si="4"/>
        <v>0</v>
      </c>
      <c r="BA63" s="184">
        <f t="shared" si="5"/>
        <v>155.07024999999999</v>
      </c>
      <c r="BB63" s="178">
        <f t="shared" si="6"/>
        <v>186.574276</v>
      </c>
      <c r="BC63" s="184">
        <f t="shared" si="7"/>
        <v>0</v>
      </c>
      <c r="BD63" s="178">
        <f t="shared" si="8"/>
        <v>0</v>
      </c>
      <c r="BE63" s="251">
        <f t="shared" si="10"/>
        <v>1</v>
      </c>
      <c r="BF63" s="252">
        <f t="shared" si="58"/>
        <v>9500</v>
      </c>
      <c r="BH63" s="262">
        <f t="shared" si="52"/>
        <v>29.999934000000003</v>
      </c>
      <c r="BI63" s="262">
        <f t="shared" si="53"/>
        <v>314.63</v>
      </c>
      <c r="BJ63" s="262">
        <f t="shared" si="54"/>
        <v>0</v>
      </c>
      <c r="BK63" s="263">
        <f t="shared" si="55"/>
        <v>341.64452599999998</v>
      </c>
      <c r="BL63" s="269">
        <f t="shared" si="56"/>
        <v>0</v>
      </c>
      <c r="BM63" s="264">
        <f t="shared" si="13"/>
        <v>686.27445999999998</v>
      </c>
      <c r="BO63" s="732">
        <f t="shared" si="12"/>
        <v>72.239416842105257</v>
      </c>
    </row>
    <row r="64" spans="2:67" ht="15" customHeight="1" x14ac:dyDescent="0.25">
      <c r="B64" s="156">
        <f t="shared" si="44"/>
        <v>22</v>
      </c>
      <c r="C64" s="180" t="s">
        <v>660</v>
      </c>
      <c r="D64" s="181"/>
      <c r="E64" s="210" t="s">
        <v>680</v>
      </c>
      <c r="G64" s="488">
        <f>('Cust Specific'!R98)</f>
        <v>27.397200000000002</v>
      </c>
      <c r="H64" s="490"/>
      <c r="I64" s="494">
        <f>'Cust Specific'!R101</f>
        <v>4.2099999999999999E-2</v>
      </c>
      <c r="J64" s="471"/>
      <c r="K64" s="495">
        <f>'Cust Specific'!R102</f>
        <v>2.63E-2</v>
      </c>
      <c r="L64" s="471"/>
      <c r="M64" s="471"/>
      <c r="N64" s="471"/>
      <c r="O64" s="472"/>
      <c r="P64" s="489">
        <f>'Cust Specific'!R99</f>
        <v>0.52569999999999995</v>
      </c>
      <c r="Q64" s="471"/>
      <c r="R64" s="472"/>
      <c r="S64" s="490"/>
      <c r="T64" s="494">
        <f>'Cust Specific'!R100</f>
        <v>0.1036</v>
      </c>
      <c r="U64" s="491"/>
      <c r="V64" s="492"/>
      <c r="X64" s="183">
        <f>'Q (t)'!G64</f>
        <v>365</v>
      </c>
      <c r="Y64" s="184">
        <f>'Q (t)'!H64</f>
        <v>0</v>
      </c>
      <c r="Z64" s="178">
        <f>'Q (t)'!I64</f>
        <v>1100</v>
      </c>
      <c r="AA64" s="178">
        <f>'Q (t)'!J64</f>
        <v>0</v>
      </c>
      <c r="AB64" s="179">
        <f>'Q (t)'!K64</f>
        <v>1600</v>
      </c>
      <c r="AC64" s="178">
        <f>'Q (t)'!L64</f>
        <v>0</v>
      </c>
      <c r="AD64" s="178">
        <f>'Q (t)'!M64</f>
        <v>0</v>
      </c>
      <c r="AE64" s="178">
        <f>'Q (t)'!N64</f>
        <v>0</v>
      </c>
      <c r="AF64" s="179">
        <f>'Q (t)'!O64</f>
        <v>0</v>
      </c>
      <c r="AG64" s="178">
        <f>'Q (t)'!P64</f>
        <v>109475</v>
      </c>
      <c r="AH64" s="178">
        <f>'Q (t)'!Q64</f>
        <v>0</v>
      </c>
      <c r="AI64" s="179">
        <f>'Q (t)'!R64</f>
        <v>0</v>
      </c>
      <c r="AJ64" s="184">
        <f>'Q (t)'!S64</f>
        <v>0</v>
      </c>
      <c r="AK64" s="178">
        <f>'Q (t)'!T64</f>
        <v>572320</v>
      </c>
      <c r="AL64" s="184">
        <f>'Q (t)'!U64</f>
        <v>0</v>
      </c>
      <c r="AM64" s="179">
        <f>'Q (t)'!V64</f>
        <v>0</v>
      </c>
      <c r="AO64" s="183">
        <f t="shared" si="9"/>
        <v>9.9999780000000005</v>
      </c>
      <c r="AP64" s="184">
        <f t="shared" ref="AP64:AW78" si="61">H64*Y64</f>
        <v>0</v>
      </c>
      <c r="AQ64" s="178">
        <f t="shared" si="61"/>
        <v>46.309999999999995</v>
      </c>
      <c r="AR64" s="178">
        <f t="shared" si="61"/>
        <v>0</v>
      </c>
      <c r="AS64" s="179">
        <f t="shared" si="61"/>
        <v>42.08</v>
      </c>
      <c r="AT64" s="178">
        <f t="shared" si="61"/>
        <v>0</v>
      </c>
      <c r="AU64" s="178">
        <f t="shared" si="61"/>
        <v>0</v>
      </c>
      <c r="AV64" s="178">
        <f t="shared" si="61"/>
        <v>0</v>
      </c>
      <c r="AW64" s="179">
        <f t="shared" si="61"/>
        <v>0</v>
      </c>
      <c r="AX64" s="178">
        <f t="shared" si="2"/>
        <v>57.55100749999999</v>
      </c>
      <c r="AY64" s="178">
        <f t="shared" si="3"/>
        <v>0</v>
      </c>
      <c r="AZ64" s="179">
        <f t="shared" si="4"/>
        <v>0</v>
      </c>
      <c r="BA64" s="184">
        <f t="shared" si="5"/>
        <v>0</v>
      </c>
      <c r="BB64" s="178">
        <f t="shared" si="6"/>
        <v>59.292352000000001</v>
      </c>
      <c r="BC64" s="184">
        <f t="shared" si="7"/>
        <v>0</v>
      </c>
      <c r="BD64" s="178">
        <f t="shared" si="8"/>
        <v>0</v>
      </c>
      <c r="BE64" s="251">
        <f t="shared" si="10"/>
        <v>1</v>
      </c>
      <c r="BF64" s="252">
        <f t="shared" si="58"/>
        <v>2700</v>
      </c>
      <c r="BH64" s="262">
        <f t="shared" si="52"/>
        <v>9.9999780000000005</v>
      </c>
      <c r="BI64" s="262">
        <f t="shared" si="53"/>
        <v>88.389999999999986</v>
      </c>
      <c r="BJ64" s="262">
        <f t="shared" si="54"/>
        <v>0</v>
      </c>
      <c r="BK64" s="263">
        <f t="shared" si="55"/>
        <v>116.84335949999999</v>
      </c>
      <c r="BL64" s="269">
        <f t="shared" si="56"/>
        <v>0</v>
      </c>
      <c r="BM64" s="264">
        <f t="shared" si="13"/>
        <v>215.23333749999998</v>
      </c>
      <c r="BO64" s="732">
        <f t="shared" si="12"/>
        <v>79.716050925925913</v>
      </c>
    </row>
    <row r="65" spans="2:67" ht="15" customHeight="1" x14ac:dyDescent="0.25">
      <c r="B65" s="156">
        <f t="shared" si="44"/>
        <v>23</v>
      </c>
      <c r="C65" s="211"/>
      <c r="D65" s="212"/>
      <c r="E65" s="213"/>
      <c r="G65" s="493"/>
      <c r="H65" s="490"/>
      <c r="I65" s="471"/>
      <c r="J65" s="471"/>
      <c r="K65" s="472"/>
      <c r="L65" s="471"/>
      <c r="M65" s="471"/>
      <c r="N65" s="471"/>
      <c r="O65" s="472"/>
      <c r="P65" s="471"/>
      <c r="Q65" s="471"/>
      <c r="R65" s="472"/>
      <c r="S65" s="490"/>
      <c r="T65" s="471"/>
      <c r="U65" s="490"/>
      <c r="V65" s="472"/>
      <c r="X65" s="183">
        <f>'Q (t)'!G65</f>
        <v>0</v>
      </c>
      <c r="Y65" s="184">
        <f>'Q (t)'!H65</f>
        <v>0</v>
      </c>
      <c r="Z65" s="178">
        <f>'Q (t)'!I65</f>
        <v>0</v>
      </c>
      <c r="AA65" s="178">
        <f>'Q (t)'!J65</f>
        <v>0</v>
      </c>
      <c r="AB65" s="179">
        <f>'Q (t)'!K65</f>
        <v>0</v>
      </c>
      <c r="AC65" s="178">
        <f>'Q (t)'!L65</f>
        <v>0</v>
      </c>
      <c r="AD65" s="178">
        <f>'Q (t)'!M65</f>
        <v>0</v>
      </c>
      <c r="AE65" s="178">
        <f>'Q (t)'!N65</f>
        <v>0</v>
      </c>
      <c r="AF65" s="179">
        <f>'Q (t)'!O65</f>
        <v>0</v>
      </c>
      <c r="AG65" s="178">
        <f>'Q (t)'!P65</f>
        <v>0</v>
      </c>
      <c r="AH65" s="178">
        <f>'Q (t)'!Q65</f>
        <v>0</v>
      </c>
      <c r="AI65" s="179">
        <f>'Q (t)'!R65</f>
        <v>0</v>
      </c>
      <c r="AJ65" s="184">
        <f>'Q (t)'!S65</f>
        <v>0</v>
      </c>
      <c r="AK65" s="178">
        <f>'Q (t)'!T65</f>
        <v>0</v>
      </c>
      <c r="AL65" s="184">
        <f>'Q (t)'!U65</f>
        <v>0</v>
      </c>
      <c r="AM65" s="179">
        <f>'Q (t)'!V65</f>
        <v>0</v>
      </c>
      <c r="AO65" s="183">
        <f t="shared" si="9"/>
        <v>0</v>
      </c>
      <c r="AP65" s="184">
        <f t="shared" si="61"/>
        <v>0</v>
      </c>
      <c r="AQ65" s="178">
        <f t="shared" si="61"/>
        <v>0</v>
      </c>
      <c r="AR65" s="178">
        <f t="shared" si="61"/>
        <v>0</v>
      </c>
      <c r="AS65" s="179">
        <f t="shared" si="61"/>
        <v>0</v>
      </c>
      <c r="AT65" s="178">
        <f t="shared" si="61"/>
        <v>0</v>
      </c>
      <c r="AU65" s="178">
        <f t="shared" si="61"/>
        <v>0</v>
      </c>
      <c r="AV65" s="178">
        <f t="shared" si="61"/>
        <v>0</v>
      </c>
      <c r="AW65" s="179">
        <f t="shared" si="61"/>
        <v>0</v>
      </c>
      <c r="AX65" s="178">
        <f t="shared" si="2"/>
        <v>0</v>
      </c>
      <c r="AY65" s="178">
        <f t="shared" si="3"/>
        <v>0</v>
      </c>
      <c r="AZ65" s="179">
        <f t="shared" si="4"/>
        <v>0</v>
      </c>
      <c r="BA65" s="184">
        <f t="shared" si="5"/>
        <v>0</v>
      </c>
      <c r="BB65" s="178">
        <f t="shared" si="6"/>
        <v>0</v>
      </c>
      <c r="BC65" s="184">
        <f t="shared" si="7"/>
        <v>0</v>
      </c>
      <c r="BD65" s="178">
        <f t="shared" si="8"/>
        <v>0</v>
      </c>
      <c r="BE65" s="251">
        <f t="shared" si="10"/>
        <v>0</v>
      </c>
      <c r="BF65" s="252">
        <f t="shared" si="58"/>
        <v>0</v>
      </c>
      <c r="BH65" s="262">
        <f t="shared" si="52"/>
        <v>0</v>
      </c>
      <c r="BI65" s="262">
        <f t="shared" si="53"/>
        <v>0</v>
      </c>
      <c r="BJ65" s="262">
        <f t="shared" si="54"/>
        <v>0</v>
      </c>
      <c r="BK65" s="263">
        <f t="shared" si="55"/>
        <v>0</v>
      </c>
      <c r="BL65" s="269">
        <f t="shared" si="56"/>
        <v>0</v>
      </c>
      <c r="BM65" s="264">
        <f t="shared" si="13"/>
        <v>0</v>
      </c>
      <c r="BO65" s="732" t="str">
        <f t="shared" si="12"/>
        <v/>
      </c>
    </row>
    <row r="66" spans="2:67" ht="15" customHeight="1" x14ac:dyDescent="0.25">
      <c r="B66" s="156">
        <f t="shared" si="44"/>
        <v>24</v>
      </c>
      <c r="C66" s="211"/>
      <c r="D66" s="212"/>
      <c r="E66" s="213"/>
      <c r="G66" s="493"/>
      <c r="H66" s="490"/>
      <c r="I66" s="471"/>
      <c r="J66" s="471"/>
      <c r="K66" s="472"/>
      <c r="L66" s="471"/>
      <c r="M66" s="471"/>
      <c r="N66" s="471"/>
      <c r="O66" s="472"/>
      <c r="P66" s="471"/>
      <c r="Q66" s="471"/>
      <c r="R66" s="472"/>
      <c r="S66" s="490"/>
      <c r="T66" s="471"/>
      <c r="U66" s="490"/>
      <c r="V66" s="472"/>
      <c r="X66" s="183">
        <f>'Q (t)'!G66</f>
        <v>0</v>
      </c>
      <c r="Y66" s="184">
        <f>'Q (t)'!H66</f>
        <v>0</v>
      </c>
      <c r="Z66" s="178">
        <f>'Q (t)'!I66</f>
        <v>0</v>
      </c>
      <c r="AA66" s="178">
        <f>'Q (t)'!J66</f>
        <v>0</v>
      </c>
      <c r="AB66" s="179">
        <f>'Q (t)'!K66</f>
        <v>0</v>
      </c>
      <c r="AC66" s="178">
        <f>'Q (t)'!L66</f>
        <v>0</v>
      </c>
      <c r="AD66" s="178">
        <f>'Q (t)'!M66</f>
        <v>0</v>
      </c>
      <c r="AE66" s="178">
        <f>'Q (t)'!N66</f>
        <v>0</v>
      </c>
      <c r="AF66" s="179">
        <f>'Q (t)'!O66</f>
        <v>0</v>
      </c>
      <c r="AG66" s="178">
        <f>'Q (t)'!P66</f>
        <v>0</v>
      </c>
      <c r="AH66" s="178">
        <f>'Q (t)'!Q66</f>
        <v>0</v>
      </c>
      <c r="AI66" s="179">
        <f>'Q (t)'!R66</f>
        <v>0</v>
      </c>
      <c r="AJ66" s="184">
        <f>'Q (t)'!S66</f>
        <v>0</v>
      </c>
      <c r="AK66" s="178">
        <f>'Q (t)'!T66</f>
        <v>0</v>
      </c>
      <c r="AL66" s="184">
        <f>'Q (t)'!U66</f>
        <v>0</v>
      </c>
      <c r="AM66" s="179">
        <f>'Q (t)'!V66</f>
        <v>0</v>
      </c>
      <c r="AO66" s="183">
        <f t="shared" si="9"/>
        <v>0</v>
      </c>
      <c r="AP66" s="184">
        <f t="shared" si="61"/>
        <v>0</v>
      </c>
      <c r="AQ66" s="178">
        <f t="shared" si="61"/>
        <v>0</v>
      </c>
      <c r="AR66" s="178">
        <f t="shared" si="61"/>
        <v>0</v>
      </c>
      <c r="AS66" s="179">
        <f t="shared" si="61"/>
        <v>0</v>
      </c>
      <c r="AT66" s="178">
        <f t="shared" si="61"/>
        <v>0</v>
      </c>
      <c r="AU66" s="178">
        <f t="shared" si="61"/>
        <v>0</v>
      </c>
      <c r="AV66" s="178">
        <f t="shared" si="61"/>
        <v>0</v>
      </c>
      <c r="AW66" s="179">
        <f t="shared" si="61"/>
        <v>0</v>
      </c>
      <c r="AX66" s="178">
        <f t="shared" si="2"/>
        <v>0</v>
      </c>
      <c r="AY66" s="178">
        <f t="shared" si="3"/>
        <v>0</v>
      </c>
      <c r="AZ66" s="179">
        <f t="shared" si="4"/>
        <v>0</v>
      </c>
      <c r="BA66" s="184">
        <f t="shared" si="5"/>
        <v>0</v>
      </c>
      <c r="BB66" s="178">
        <f t="shared" si="6"/>
        <v>0</v>
      </c>
      <c r="BC66" s="184">
        <f t="shared" si="7"/>
        <v>0</v>
      </c>
      <c r="BD66" s="178">
        <f t="shared" si="8"/>
        <v>0</v>
      </c>
      <c r="BE66" s="251">
        <f t="shared" si="10"/>
        <v>0</v>
      </c>
      <c r="BF66" s="252">
        <f t="shared" si="58"/>
        <v>0</v>
      </c>
      <c r="BH66" s="262">
        <f t="shared" si="52"/>
        <v>0</v>
      </c>
      <c r="BI66" s="262">
        <f t="shared" si="53"/>
        <v>0</v>
      </c>
      <c r="BJ66" s="262">
        <f t="shared" si="54"/>
        <v>0</v>
      </c>
      <c r="BK66" s="263">
        <f t="shared" si="55"/>
        <v>0</v>
      </c>
      <c r="BL66" s="269">
        <f t="shared" si="56"/>
        <v>0</v>
      </c>
      <c r="BM66" s="264">
        <f t="shared" si="13"/>
        <v>0</v>
      </c>
      <c r="BO66" s="732" t="str">
        <f t="shared" si="12"/>
        <v/>
      </c>
    </row>
    <row r="67" spans="2:67" ht="15" customHeight="1" x14ac:dyDescent="0.25">
      <c r="B67" s="162">
        <f t="shared" si="44"/>
        <v>25</v>
      </c>
      <c r="C67" s="214"/>
      <c r="D67" s="215"/>
      <c r="E67" s="216"/>
      <c r="G67" s="509"/>
      <c r="H67" s="502"/>
      <c r="I67" s="498"/>
      <c r="J67" s="498"/>
      <c r="K67" s="499"/>
      <c r="L67" s="498"/>
      <c r="M67" s="498"/>
      <c r="N67" s="498"/>
      <c r="O67" s="499"/>
      <c r="P67" s="498"/>
      <c r="Q67" s="498"/>
      <c r="R67" s="499"/>
      <c r="S67" s="502"/>
      <c r="T67" s="498"/>
      <c r="U67" s="502"/>
      <c r="V67" s="499"/>
      <c r="X67" s="190">
        <f>'Q (t)'!G67</f>
        <v>0</v>
      </c>
      <c r="Y67" s="197">
        <f>'Q (t)'!H67</f>
        <v>0</v>
      </c>
      <c r="Z67" s="192">
        <f>'Q (t)'!I67</f>
        <v>0</v>
      </c>
      <c r="AA67" s="192">
        <f>'Q (t)'!J67</f>
        <v>0</v>
      </c>
      <c r="AB67" s="193">
        <f>'Q (t)'!K67</f>
        <v>0</v>
      </c>
      <c r="AC67" s="192">
        <f>'Q (t)'!L67</f>
        <v>0</v>
      </c>
      <c r="AD67" s="192">
        <f>'Q (t)'!M67</f>
        <v>0</v>
      </c>
      <c r="AE67" s="192">
        <f>'Q (t)'!N67</f>
        <v>0</v>
      </c>
      <c r="AF67" s="193">
        <f>'Q (t)'!O67</f>
        <v>0</v>
      </c>
      <c r="AG67" s="192">
        <f>'Q (t)'!P67</f>
        <v>0</v>
      </c>
      <c r="AH67" s="192">
        <f>'Q (t)'!Q67</f>
        <v>0</v>
      </c>
      <c r="AI67" s="193">
        <f>'Q (t)'!R67</f>
        <v>0</v>
      </c>
      <c r="AJ67" s="197">
        <f>'Q (t)'!S67</f>
        <v>0</v>
      </c>
      <c r="AK67" s="192">
        <f>'Q (t)'!T67</f>
        <v>0</v>
      </c>
      <c r="AL67" s="197">
        <f>'Q (t)'!U67</f>
        <v>0</v>
      </c>
      <c r="AM67" s="193">
        <f>'Q (t)'!V67</f>
        <v>0</v>
      </c>
      <c r="AO67" s="190">
        <f t="shared" si="9"/>
        <v>0</v>
      </c>
      <c r="AP67" s="197">
        <f t="shared" si="61"/>
        <v>0</v>
      </c>
      <c r="AQ67" s="192">
        <f t="shared" si="61"/>
        <v>0</v>
      </c>
      <c r="AR67" s="192">
        <f t="shared" si="61"/>
        <v>0</v>
      </c>
      <c r="AS67" s="193">
        <f t="shared" si="61"/>
        <v>0</v>
      </c>
      <c r="AT67" s="192">
        <f t="shared" si="61"/>
        <v>0</v>
      </c>
      <c r="AU67" s="192">
        <f t="shared" si="61"/>
        <v>0</v>
      </c>
      <c r="AV67" s="192">
        <f t="shared" si="61"/>
        <v>0</v>
      </c>
      <c r="AW67" s="193">
        <f t="shared" si="61"/>
        <v>0</v>
      </c>
      <c r="AX67" s="192">
        <f t="shared" si="2"/>
        <v>0</v>
      </c>
      <c r="AY67" s="192">
        <f t="shared" si="3"/>
        <v>0</v>
      </c>
      <c r="AZ67" s="193">
        <f t="shared" si="4"/>
        <v>0</v>
      </c>
      <c r="BA67" s="197">
        <f t="shared" si="5"/>
        <v>0</v>
      </c>
      <c r="BB67" s="192">
        <f t="shared" si="6"/>
        <v>0</v>
      </c>
      <c r="BC67" s="197">
        <f t="shared" si="7"/>
        <v>0</v>
      </c>
      <c r="BD67" s="192">
        <f t="shared" si="8"/>
        <v>0</v>
      </c>
      <c r="BE67" s="253">
        <f t="shared" si="10"/>
        <v>0</v>
      </c>
      <c r="BF67" s="254">
        <f t="shared" si="58"/>
        <v>0</v>
      </c>
      <c r="BH67" s="262">
        <f t="shared" si="52"/>
        <v>0</v>
      </c>
      <c r="BI67" s="262">
        <f t="shared" si="53"/>
        <v>0</v>
      </c>
      <c r="BJ67" s="262">
        <f t="shared" si="54"/>
        <v>0</v>
      </c>
      <c r="BK67" s="263">
        <f t="shared" si="55"/>
        <v>0</v>
      </c>
      <c r="BL67" s="269">
        <f t="shared" si="56"/>
        <v>0</v>
      </c>
      <c r="BM67" s="264">
        <f t="shared" si="13"/>
        <v>0</v>
      </c>
      <c r="BO67" s="732" t="str">
        <f t="shared" si="12"/>
        <v/>
      </c>
    </row>
    <row r="68" spans="2:67" ht="15" customHeight="1" x14ac:dyDescent="0.25">
      <c r="B68" s="167" t="s">
        <v>101</v>
      </c>
      <c r="C68" s="151" t="s">
        <v>102</v>
      </c>
      <c r="D68" s="151"/>
      <c r="E68" s="204"/>
      <c r="G68" s="505"/>
      <c r="H68" s="506"/>
      <c r="I68" s="507"/>
      <c r="J68" s="507"/>
      <c r="K68" s="508"/>
      <c r="L68" s="507"/>
      <c r="M68" s="507"/>
      <c r="N68" s="507"/>
      <c r="O68" s="508"/>
      <c r="P68" s="507"/>
      <c r="Q68" s="507"/>
      <c r="R68" s="508"/>
      <c r="S68" s="506"/>
      <c r="T68" s="507"/>
      <c r="U68" s="506"/>
      <c r="V68" s="508"/>
      <c r="X68" s="205">
        <f>'Q (t)'!G68</f>
        <v>0</v>
      </c>
      <c r="Y68" s="206">
        <f>'Q (t)'!H68</f>
        <v>0</v>
      </c>
      <c r="Z68" s="207">
        <f>'Q (t)'!I68</f>
        <v>0</v>
      </c>
      <c r="AA68" s="207">
        <f>'Q (t)'!J68</f>
        <v>0</v>
      </c>
      <c r="AB68" s="208">
        <f>'Q (t)'!K68</f>
        <v>0</v>
      </c>
      <c r="AC68" s="207">
        <f>'Q (t)'!L68</f>
        <v>0</v>
      </c>
      <c r="AD68" s="207">
        <f>'Q (t)'!M68</f>
        <v>0</v>
      </c>
      <c r="AE68" s="207">
        <f>'Q (t)'!N68</f>
        <v>0</v>
      </c>
      <c r="AF68" s="208">
        <f>'Q (t)'!O68</f>
        <v>0</v>
      </c>
      <c r="AG68" s="207">
        <f>'Q (t)'!P68</f>
        <v>0</v>
      </c>
      <c r="AH68" s="207">
        <f>'Q (t)'!Q68</f>
        <v>0</v>
      </c>
      <c r="AI68" s="208">
        <f>'Q (t)'!R68</f>
        <v>0</v>
      </c>
      <c r="AJ68" s="206">
        <f>'Q (t)'!S68</f>
        <v>0</v>
      </c>
      <c r="AK68" s="207">
        <f>'Q (t)'!T68</f>
        <v>0</v>
      </c>
      <c r="AL68" s="206">
        <f>'Q (t)'!U68</f>
        <v>0</v>
      </c>
      <c r="AM68" s="208">
        <f>'Q (t)'!V68</f>
        <v>0</v>
      </c>
      <c r="AO68" s="205">
        <f t="shared" si="9"/>
        <v>0</v>
      </c>
      <c r="AP68" s="206">
        <f t="shared" si="61"/>
        <v>0</v>
      </c>
      <c r="AQ68" s="207">
        <f t="shared" si="61"/>
        <v>0</v>
      </c>
      <c r="AR68" s="207">
        <f t="shared" si="61"/>
        <v>0</v>
      </c>
      <c r="AS68" s="208">
        <f t="shared" si="61"/>
        <v>0</v>
      </c>
      <c r="AT68" s="207">
        <f t="shared" si="61"/>
        <v>0</v>
      </c>
      <c r="AU68" s="207">
        <f t="shared" si="61"/>
        <v>0</v>
      </c>
      <c r="AV68" s="207">
        <f t="shared" si="61"/>
        <v>0</v>
      </c>
      <c r="AW68" s="208">
        <f t="shared" si="61"/>
        <v>0</v>
      </c>
      <c r="AX68" s="207">
        <f t="shared" si="2"/>
        <v>0</v>
      </c>
      <c r="AY68" s="207">
        <f t="shared" si="3"/>
        <v>0</v>
      </c>
      <c r="AZ68" s="208">
        <f t="shared" si="4"/>
        <v>0</v>
      </c>
      <c r="BA68" s="206">
        <f t="shared" si="5"/>
        <v>0</v>
      </c>
      <c r="BB68" s="207">
        <f t="shared" si="6"/>
        <v>0</v>
      </c>
      <c r="BC68" s="206">
        <f t="shared" si="7"/>
        <v>0</v>
      </c>
      <c r="BD68" s="207">
        <f t="shared" si="8"/>
        <v>0</v>
      </c>
      <c r="BE68" s="249">
        <f t="shared" si="10"/>
        <v>0</v>
      </c>
      <c r="BF68" s="250">
        <f t="shared" si="58"/>
        <v>0</v>
      </c>
      <c r="BH68" s="260">
        <f>SUBTOTAL(9,BH69:BH91)</f>
        <v>2528.3342314999982</v>
      </c>
      <c r="BI68" s="260">
        <f>SUBTOTAL(9,BI69:BI91)</f>
        <v>14830.549999999997</v>
      </c>
      <c r="BJ68" s="260">
        <f>SUBTOTAL(9,BJ69:BJ91)</f>
        <v>0</v>
      </c>
      <c r="BK68" s="260">
        <f>SUBTOTAL(9,BK69:BK91)</f>
        <v>16151.855109099995</v>
      </c>
      <c r="BL68" s="260">
        <f>SUBTOTAL(9,BL69:BL91)</f>
        <v>0</v>
      </c>
      <c r="BM68" s="264">
        <f t="shared" si="13"/>
        <v>33510.73934059999</v>
      </c>
      <c r="BO68" s="732" t="str">
        <f t="shared" si="12"/>
        <v/>
      </c>
    </row>
    <row r="69" spans="2:67" ht="15" customHeight="1" x14ac:dyDescent="0.25">
      <c r="B69" s="156"/>
      <c r="C69" s="126" t="s">
        <v>103</v>
      </c>
      <c r="D69" s="202"/>
      <c r="E69" s="202"/>
      <c r="G69" s="493"/>
      <c r="H69" s="490"/>
      <c r="I69" s="471"/>
      <c r="J69" s="471"/>
      <c r="K69" s="472"/>
      <c r="L69" s="471"/>
      <c r="M69" s="471"/>
      <c r="N69" s="471"/>
      <c r="O69" s="472"/>
      <c r="P69" s="471"/>
      <c r="Q69" s="471"/>
      <c r="R69" s="472"/>
      <c r="S69" s="490"/>
      <c r="T69" s="471"/>
      <c r="U69" s="490"/>
      <c r="V69" s="472"/>
      <c r="X69" s="183">
        <f>'Q (t)'!G69</f>
        <v>0</v>
      </c>
      <c r="Y69" s="184">
        <f>'Q (t)'!H69</f>
        <v>0</v>
      </c>
      <c r="Z69" s="178">
        <f>'Q (t)'!I69</f>
        <v>0</v>
      </c>
      <c r="AA69" s="178">
        <f>'Q (t)'!J69</f>
        <v>0</v>
      </c>
      <c r="AB69" s="179">
        <f>'Q (t)'!K69</f>
        <v>0</v>
      </c>
      <c r="AC69" s="178">
        <f>'Q (t)'!L69</f>
        <v>0</v>
      </c>
      <c r="AD69" s="178">
        <f>'Q (t)'!M69</f>
        <v>0</v>
      </c>
      <c r="AE69" s="178">
        <f>'Q (t)'!N69</f>
        <v>0</v>
      </c>
      <c r="AF69" s="179">
        <f>'Q (t)'!O69</f>
        <v>0</v>
      </c>
      <c r="AG69" s="178">
        <f>'Q (t)'!P69</f>
        <v>0</v>
      </c>
      <c r="AH69" s="178">
        <f>'Q (t)'!Q69</f>
        <v>0</v>
      </c>
      <c r="AI69" s="179">
        <f>'Q (t)'!R69</f>
        <v>0</v>
      </c>
      <c r="AJ69" s="184">
        <f>'Q (t)'!S69</f>
        <v>0</v>
      </c>
      <c r="AK69" s="178">
        <f>'Q (t)'!T69</f>
        <v>0</v>
      </c>
      <c r="AL69" s="184">
        <f>'Q (t)'!U69</f>
        <v>0</v>
      </c>
      <c r="AM69" s="179">
        <f>'Q (t)'!V69</f>
        <v>0</v>
      </c>
      <c r="AO69" s="183">
        <f t="shared" si="9"/>
        <v>0</v>
      </c>
      <c r="AP69" s="184">
        <f t="shared" si="61"/>
        <v>0</v>
      </c>
      <c r="AQ69" s="178">
        <f t="shared" si="61"/>
        <v>0</v>
      </c>
      <c r="AR69" s="178">
        <f t="shared" si="61"/>
        <v>0</v>
      </c>
      <c r="AS69" s="179">
        <f t="shared" si="61"/>
        <v>0</v>
      </c>
      <c r="AT69" s="178">
        <f t="shared" si="61"/>
        <v>0</v>
      </c>
      <c r="AU69" s="178">
        <f t="shared" si="61"/>
        <v>0</v>
      </c>
      <c r="AV69" s="178">
        <f t="shared" si="61"/>
        <v>0</v>
      </c>
      <c r="AW69" s="179">
        <f t="shared" si="61"/>
        <v>0</v>
      </c>
      <c r="AX69" s="178">
        <f t="shared" si="2"/>
        <v>0</v>
      </c>
      <c r="AY69" s="178">
        <f t="shared" si="3"/>
        <v>0</v>
      </c>
      <c r="AZ69" s="179">
        <f t="shared" si="4"/>
        <v>0</v>
      </c>
      <c r="BA69" s="184">
        <f t="shared" si="5"/>
        <v>0</v>
      </c>
      <c r="BB69" s="178">
        <f t="shared" si="6"/>
        <v>0</v>
      </c>
      <c r="BC69" s="184">
        <f t="shared" si="7"/>
        <v>0</v>
      </c>
      <c r="BD69" s="178">
        <f t="shared" si="8"/>
        <v>0</v>
      </c>
      <c r="BE69" s="251">
        <f t="shared" si="10"/>
        <v>0</v>
      </c>
      <c r="BF69" s="252">
        <f t="shared" si="58"/>
        <v>0</v>
      </c>
      <c r="BH69" s="259">
        <f>SUBTOTAL(9,BH70:BH75)</f>
        <v>2235.5002429999995</v>
      </c>
      <c r="BI69" s="259">
        <f>SUBTOTAL(9,BI70:BI75)</f>
        <v>11829.259999999998</v>
      </c>
      <c r="BJ69" s="259">
        <f>SUBTOTAL(9,BJ70:BJ75)</f>
        <v>0</v>
      </c>
      <c r="BK69" s="259">
        <f>SUBTOTAL(9,BK70:BK75)</f>
        <v>13326.742151599998</v>
      </c>
      <c r="BL69" s="259">
        <f>SUBTOTAL(9,BL70:BL75)</f>
        <v>0</v>
      </c>
      <c r="BM69" s="264">
        <f t="shared" si="13"/>
        <v>27391.502394599993</v>
      </c>
      <c r="BO69" s="732" t="str">
        <f t="shared" si="12"/>
        <v/>
      </c>
    </row>
    <row r="70" spans="2:67" ht="15" customHeight="1" x14ac:dyDescent="0.25">
      <c r="B70" s="156">
        <v>1</v>
      </c>
      <c r="C70" s="180" t="s">
        <v>605</v>
      </c>
      <c r="D70" s="181" t="s">
        <v>606</v>
      </c>
      <c r="E70" s="210" t="s">
        <v>104</v>
      </c>
      <c r="G70" s="488">
        <v>41.0959</v>
      </c>
      <c r="H70" s="490"/>
      <c r="I70" s="494">
        <f>0.024-0.0001</f>
        <v>2.3900000000000001E-2</v>
      </c>
      <c r="J70" s="471"/>
      <c r="K70" s="495">
        <f>0.015-0.0001</f>
        <v>1.49E-2</v>
      </c>
      <c r="L70" s="471"/>
      <c r="M70" s="471"/>
      <c r="N70" s="471"/>
      <c r="O70" s="472"/>
      <c r="P70" s="471"/>
      <c r="Q70" s="471"/>
      <c r="R70" s="472"/>
      <c r="S70" s="489">
        <v>0.1065</v>
      </c>
      <c r="T70" s="494">
        <v>0.1036</v>
      </c>
      <c r="U70" s="491"/>
      <c r="V70" s="492"/>
      <c r="X70" s="183">
        <f>'Q (t)'!G70</f>
        <v>50370</v>
      </c>
      <c r="Y70" s="184">
        <f>'Q (t)'!H70</f>
        <v>0</v>
      </c>
      <c r="Z70" s="178">
        <f>'Q (t)'!I70</f>
        <v>265600</v>
      </c>
      <c r="AA70" s="178">
        <f>'Q (t)'!J70</f>
        <v>0</v>
      </c>
      <c r="AB70" s="179">
        <f>'Q (t)'!K70</f>
        <v>284700</v>
      </c>
      <c r="AC70" s="178">
        <f>'Q (t)'!L70</f>
        <v>0</v>
      </c>
      <c r="AD70" s="178">
        <f>'Q (t)'!M70</f>
        <v>0</v>
      </c>
      <c r="AE70" s="178">
        <f>'Q (t)'!N70</f>
        <v>0</v>
      </c>
      <c r="AF70" s="179">
        <f>'Q (t)'!O70</f>
        <v>0</v>
      </c>
      <c r="AG70" s="178">
        <f>'Q (t)'!P70</f>
        <v>0</v>
      </c>
      <c r="AH70" s="178">
        <f>'Q (t)'!Q70</f>
        <v>0</v>
      </c>
      <c r="AI70" s="179">
        <f>'Q (t)'!R70</f>
        <v>0</v>
      </c>
      <c r="AJ70" s="184">
        <f>'Q (t)'!S70</f>
        <v>50549580</v>
      </c>
      <c r="AK70" s="178">
        <f>'Q (t)'!T70</f>
        <v>65300325</v>
      </c>
      <c r="AL70" s="184">
        <f>'Q (t)'!U70</f>
        <v>0</v>
      </c>
      <c r="AM70" s="179">
        <f>'Q (t)'!V70</f>
        <v>0</v>
      </c>
      <c r="AO70" s="183">
        <f t="shared" si="9"/>
        <v>2070.0004829999998</v>
      </c>
      <c r="AP70" s="184">
        <f t="shared" si="61"/>
        <v>0</v>
      </c>
      <c r="AQ70" s="178">
        <f t="shared" si="61"/>
        <v>6347.84</v>
      </c>
      <c r="AR70" s="178">
        <f t="shared" si="61"/>
        <v>0</v>
      </c>
      <c r="AS70" s="179">
        <f t="shared" si="61"/>
        <v>4242.03</v>
      </c>
      <c r="AT70" s="178">
        <f t="shared" si="61"/>
        <v>0</v>
      </c>
      <c r="AU70" s="178">
        <f t="shared" si="61"/>
        <v>0</v>
      </c>
      <c r="AV70" s="178">
        <f t="shared" si="61"/>
        <v>0</v>
      </c>
      <c r="AW70" s="179">
        <f t="shared" si="61"/>
        <v>0</v>
      </c>
      <c r="AX70" s="178">
        <f t="shared" si="2"/>
        <v>0</v>
      </c>
      <c r="AY70" s="178">
        <f t="shared" si="3"/>
        <v>0</v>
      </c>
      <c r="AZ70" s="179">
        <f t="shared" si="4"/>
        <v>0</v>
      </c>
      <c r="BA70" s="184">
        <f t="shared" si="5"/>
        <v>5383.5302699999993</v>
      </c>
      <c r="BB70" s="178">
        <f t="shared" si="6"/>
        <v>6765.1136699999997</v>
      </c>
      <c r="BC70" s="184">
        <f t="shared" si="7"/>
        <v>0</v>
      </c>
      <c r="BD70" s="178">
        <f t="shared" si="8"/>
        <v>0</v>
      </c>
      <c r="BE70" s="251">
        <f t="shared" si="10"/>
        <v>138</v>
      </c>
      <c r="BF70" s="252">
        <f t="shared" si="58"/>
        <v>550300</v>
      </c>
      <c r="BH70" s="262">
        <f t="shared" ref="BH70:BH90" si="62">SUM(AO70)</f>
        <v>2070.0004829999998</v>
      </c>
      <c r="BI70" s="262">
        <f t="shared" ref="BI70:BI90" si="63">SUM(AP70:AS70)</f>
        <v>10589.869999999999</v>
      </c>
      <c r="BJ70" s="262">
        <f t="shared" ref="BJ70:BJ90" si="64">SUM(AT70:AW70)</f>
        <v>0</v>
      </c>
      <c r="BK70" s="263">
        <f t="shared" ref="BK70:BK90" si="65">SUM(AX70:BB70)</f>
        <v>12148.643939999998</v>
      </c>
      <c r="BL70" s="269">
        <f t="shared" ref="BL70:BL90" si="66">SUM(BC70:BD70)</f>
        <v>0</v>
      </c>
      <c r="BM70" s="264">
        <f t="shared" si="13"/>
        <v>24808.514422999997</v>
      </c>
      <c r="BO70" s="732">
        <f t="shared" si="12"/>
        <v>45.08179978738869</v>
      </c>
    </row>
    <row r="71" spans="2:67" ht="15" customHeight="1" x14ac:dyDescent="0.25">
      <c r="B71" s="156">
        <f t="shared" si="44"/>
        <v>2</v>
      </c>
      <c r="C71" s="180" t="s">
        <v>607</v>
      </c>
      <c r="D71" s="181" t="s">
        <v>608</v>
      </c>
      <c r="E71" s="210" t="s">
        <v>105</v>
      </c>
      <c r="G71" s="488">
        <v>41.0959</v>
      </c>
      <c r="H71" s="490"/>
      <c r="I71" s="494">
        <f>0.024-0.0001</f>
        <v>2.3900000000000001E-2</v>
      </c>
      <c r="J71" s="471"/>
      <c r="K71" s="495">
        <f>0.015-0.0001</f>
        <v>1.49E-2</v>
      </c>
      <c r="L71" s="471"/>
      <c r="M71" s="471"/>
      <c r="N71" s="471"/>
      <c r="O71" s="472"/>
      <c r="P71" s="494">
        <v>0.38619999999999999</v>
      </c>
      <c r="Q71" s="471"/>
      <c r="R71" s="472"/>
      <c r="S71" s="490"/>
      <c r="T71" s="494">
        <v>0.1036</v>
      </c>
      <c r="U71" s="491"/>
      <c r="V71" s="492"/>
      <c r="X71" s="183">
        <f>'Q (t)'!G71</f>
        <v>2190</v>
      </c>
      <c r="Y71" s="184">
        <f>'Q (t)'!H71</f>
        <v>0</v>
      </c>
      <c r="Z71" s="178">
        <f>'Q (t)'!I71</f>
        <v>7600</v>
      </c>
      <c r="AA71" s="178">
        <f>'Q (t)'!J71</f>
        <v>0</v>
      </c>
      <c r="AB71" s="179">
        <f>'Q (t)'!K71</f>
        <v>10800</v>
      </c>
      <c r="AC71" s="178">
        <f>'Q (t)'!L71</f>
        <v>0</v>
      </c>
      <c r="AD71" s="178">
        <f>'Q (t)'!M71</f>
        <v>0</v>
      </c>
      <c r="AE71" s="178">
        <f>'Q (t)'!N71</f>
        <v>0</v>
      </c>
      <c r="AF71" s="179">
        <f>'Q (t)'!O71</f>
        <v>0</v>
      </c>
      <c r="AG71" s="178">
        <f>'Q (t)'!P71</f>
        <v>546922</v>
      </c>
      <c r="AH71" s="178">
        <f>'Q (t)'!Q71</f>
        <v>0</v>
      </c>
      <c r="AI71" s="179">
        <f>'Q (t)'!R71</f>
        <v>0</v>
      </c>
      <c r="AJ71" s="184">
        <f>'Q (t)'!S71</f>
        <v>0</v>
      </c>
      <c r="AK71" s="178">
        <f>'Q (t)'!T71</f>
        <v>3293760</v>
      </c>
      <c r="AL71" s="184">
        <f>'Q (t)'!U71</f>
        <v>0</v>
      </c>
      <c r="AM71" s="179">
        <f>'Q (t)'!V71</f>
        <v>0</v>
      </c>
      <c r="AO71" s="183">
        <f t="shared" si="9"/>
        <v>90.000021000000004</v>
      </c>
      <c r="AP71" s="184">
        <f t="shared" si="61"/>
        <v>0</v>
      </c>
      <c r="AQ71" s="178">
        <f t="shared" si="61"/>
        <v>181.64000000000001</v>
      </c>
      <c r="AR71" s="178">
        <f t="shared" si="61"/>
        <v>0</v>
      </c>
      <c r="AS71" s="179">
        <f t="shared" si="61"/>
        <v>160.91999999999999</v>
      </c>
      <c r="AT71" s="178">
        <f t="shared" si="61"/>
        <v>0</v>
      </c>
      <c r="AU71" s="178">
        <f t="shared" si="61"/>
        <v>0</v>
      </c>
      <c r="AV71" s="178">
        <f t="shared" si="61"/>
        <v>0</v>
      </c>
      <c r="AW71" s="179">
        <f t="shared" si="61"/>
        <v>0</v>
      </c>
      <c r="AX71" s="178">
        <f t="shared" si="2"/>
        <v>211.22127639999999</v>
      </c>
      <c r="AY71" s="178">
        <f t="shared" si="3"/>
        <v>0</v>
      </c>
      <c r="AZ71" s="179">
        <f t="shared" si="4"/>
        <v>0</v>
      </c>
      <c r="BA71" s="184">
        <f t="shared" si="5"/>
        <v>0</v>
      </c>
      <c r="BB71" s="178">
        <f t="shared" si="6"/>
        <v>341.23353599999996</v>
      </c>
      <c r="BC71" s="184">
        <f t="shared" si="7"/>
        <v>0</v>
      </c>
      <c r="BD71" s="178">
        <f t="shared" si="8"/>
        <v>0</v>
      </c>
      <c r="BE71" s="251">
        <f t="shared" si="10"/>
        <v>6</v>
      </c>
      <c r="BF71" s="252">
        <f t="shared" si="58"/>
        <v>18400</v>
      </c>
      <c r="BH71" s="262">
        <f t="shared" si="62"/>
        <v>90.000021000000004</v>
      </c>
      <c r="BI71" s="262">
        <f t="shared" si="63"/>
        <v>342.56</v>
      </c>
      <c r="BJ71" s="262">
        <f t="shared" si="64"/>
        <v>0</v>
      </c>
      <c r="BK71" s="263">
        <f t="shared" si="65"/>
        <v>552.45481239999992</v>
      </c>
      <c r="BL71" s="269">
        <f t="shared" si="66"/>
        <v>0</v>
      </c>
      <c r="BM71" s="264">
        <f t="shared" si="13"/>
        <v>985.01483339999993</v>
      </c>
      <c r="BO71" s="732">
        <f t="shared" si="12"/>
        <v>53.533414858695643</v>
      </c>
    </row>
    <row r="72" spans="2:67" ht="15" customHeight="1" x14ac:dyDescent="0.25">
      <c r="B72" s="156">
        <f t="shared" si="44"/>
        <v>3</v>
      </c>
      <c r="C72" s="180" t="s">
        <v>609</v>
      </c>
      <c r="D72" s="181" t="s">
        <v>610</v>
      </c>
      <c r="E72" s="210" t="s">
        <v>106</v>
      </c>
      <c r="G72" s="488"/>
      <c r="H72" s="490"/>
      <c r="I72" s="494"/>
      <c r="J72" s="471"/>
      <c r="K72" s="495"/>
      <c r="L72" s="471"/>
      <c r="M72" s="471"/>
      <c r="N72" s="471"/>
      <c r="O72" s="472"/>
      <c r="P72" s="471"/>
      <c r="Q72" s="471"/>
      <c r="R72" s="472"/>
      <c r="S72" s="490"/>
      <c r="T72" s="471"/>
      <c r="U72" s="491"/>
      <c r="V72" s="492"/>
      <c r="X72" s="183">
        <f>'Q (t)'!G72</f>
        <v>0</v>
      </c>
      <c r="Y72" s="184">
        <f>'Q (t)'!H72</f>
        <v>0</v>
      </c>
      <c r="Z72" s="178">
        <f>'Q (t)'!I72</f>
        <v>0</v>
      </c>
      <c r="AA72" s="178">
        <f>'Q (t)'!J72</f>
        <v>0</v>
      </c>
      <c r="AB72" s="179">
        <f>'Q (t)'!K72</f>
        <v>0</v>
      </c>
      <c r="AC72" s="178">
        <f>'Q (t)'!L72</f>
        <v>0</v>
      </c>
      <c r="AD72" s="178">
        <f>'Q (t)'!M72</f>
        <v>0</v>
      </c>
      <c r="AE72" s="178">
        <f>'Q (t)'!N72</f>
        <v>0</v>
      </c>
      <c r="AF72" s="179">
        <f>'Q (t)'!O72</f>
        <v>0</v>
      </c>
      <c r="AG72" s="178">
        <f>'Q (t)'!P72</f>
        <v>0</v>
      </c>
      <c r="AH72" s="178">
        <f>'Q (t)'!Q72</f>
        <v>0</v>
      </c>
      <c r="AI72" s="179">
        <f>'Q (t)'!R72</f>
        <v>0</v>
      </c>
      <c r="AJ72" s="184">
        <f>'Q (t)'!S72</f>
        <v>0</v>
      </c>
      <c r="AK72" s="178">
        <f>'Q (t)'!T72</f>
        <v>0</v>
      </c>
      <c r="AL72" s="184">
        <f>'Q (t)'!U72</f>
        <v>0</v>
      </c>
      <c r="AM72" s="179">
        <f>'Q (t)'!V72</f>
        <v>0</v>
      </c>
      <c r="AO72" s="183">
        <f t="shared" si="9"/>
        <v>0</v>
      </c>
      <c r="AP72" s="184">
        <f t="shared" si="61"/>
        <v>0</v>
      </c>
      <c r="AQ72" s="178">
        <f t="shared" si="61"/>
        <v>0</v>
      </c>
      <c r="AR72" s="178">
        <f t="shared" si="61"/>
        <v>0</v>
      </c>
      <c r="AS72" s="179">
        <f t="shared" si="61"/>
        <v>0</v>
      </c>
      <c r="AT72" s="178">
        <f t="shared" si="61"/>
        <v>0</v>
      </c>
      <c r="AU72" s="178">
        <f t="shared" si="61"/>
        <v>0</v>
      </c>
      <c r="AV72" s="178">
        <f t="shared" si="61"/>
        <v>0</v>
      </c>
      <c r="AW72" s="179">
        <f t="shared" si="61"/>
        <v>0</v>
      </c>
      <c r="AX72" s="178">
        <f t="shared" si="2"/>
        <v>0</v>
      </c>
      <c r="AY72" s="178">
        <f t="shared" si="3"/>
        <v>0</v>
      </c>
      <c r="AZ72" s="179">
        <f t="shared" si="4"/>
        <v>0</v>
      </c>
      <c r="BA72" s="184">
        <f t="shared" si="5"/>
        <v>0</v>
      </c>
      <c r="BB72" s="178">
        <f t="shared" si="6"/>
        <v>0</v>
      </c>
      <c r="BC72" s="184">
        <f t="shared" si="7"/>
        <v>0</v>
      </c>
      <c r="BD72" s="178">
        <f t="shared" si="8"/>
        <v>0</v>
      </c>
      <c r="BE72" s="251">
        <f t="shared" si="10"/>
        <v>0</v>
      </c>
      <c r="BF72" s="252">
        <f t="shared" si="58"/>
        <v>0</v>
      </c>
      <c r="BH72" s="262">
        <f t="shared" si="62"/>
        <v>0</v>
      </c>
      <c r="BI72" s="262">
        <f t="shared" si="63"/>
        <v>0</v>
      </c>
      <c r="BJ72" s="262">
        <f t="shared" si="64"/>
        <v>0</v>
      </c>
      <c r="BK72" s="263">
        <f t="shared" si="65"/>
        <v>0</v>
      </c>
      <c r="BL72" s="269">
        <f t="shared" si="66"/>
        <v>0</v>
      </c>
      <c r="BM72" s="264">
        <f t="shared" si="13"/>
        <v>0</v>
      </c>
      <c r="BO72" s="732" t="str">
        <f t="shared" si="12"/>
        <v/>
      </c>
    </row>
    <row r="73" spans="2:67" ht="15" customHeight="1" x14ac:dyDescent="0.25">
      <c r="B73" s="156">
        <f t="shared" si="44"/>
        <v>4</v>
      </c>
      <c r="C73" s="180" t="s">
        <v>107</v>
      </c>
      <c r="D73" s="181" t="s">
        <v>107</v>
      </c>
      <c r="E73" s="210" t="s">
        <v>108</v>
      </c>
      <c r="G73" s="488">
        <v>2.7397</v>
      </c>
      <c r="H73" s="489">
        <v>5.1499999999999997E-2</v>
      </c>
      <c r="I73" s="471"/>
      <c r="J73" s="471"/>
      <c r="K73" s="472"/>
      <c r="L73" s="471"/>
      <c r="M73" s="471"/>
      <c r="N73" s="471"/>
      <c r="O73" s="472"/>
      <c r="P73" s="471"/>
      <c r="Q73" s="494">
        <v>0.30940000000000001</v>
      </c>
      <c r="R73" s="495">
        <v>0.15310000000000001</v>
      </c>
      <c r="S73" s="490"/>
      <c r="T73" s="471"/>
      <c r="U73" s="491"/>
      <c r="V73" s="492"/>
      <c r="X73" s="183">
        <f>'Q (t)'!G73</f>
        <v>4745</v>
      </c>
      <c r="Y73" s="184">
        <f>'Q (t)'!H73</f>
        <v>12500</v>
      </c>
      <c r="Z73" s="178">
        <f>'Q (t)'!I73</f>
        <v>0</v>
      </c>
      <c r="AA73" s="178">
        <f>'Q (t)'!J73</f>
        <v>0</v>
      </c>
      <c r="AB73" s="179">
        <f>'Q (t)'!K73</f>
        <v>0</v>
      </c>
      <c r="AC73" s="178">
        <f>'Q (t)'!L73</f>
        <v>0</v>
      </c>
      <c r="AD73" s="178">
        <f>'Q (t)'!M73</f>
        <v>0</v>
      </c>
      <c r="AE73" s="178">
        <f>'Q (t)'!N73</f>
        <v>0</v>
      </c>
      <c r="AF73" s="179">
        <f>'Q (t)'!O73</f>
        <v>0</v>
      </c>
      <c r="AG73" s="178">
        <f>'Q (t)'!P73</f>
        <v>0</v>
      </c>
      <c r="AH73" s="178">
        <f>'Q (t)'!Q73</f>
        <v>449678</v>
      </c>
      <c r="AI73" s="179">
        <f>'Q (t)'!R73</f>
        <v>1623520</v>
      </c>
      <c r="AJ73" s="184">
        <f>'Q (t)'!S73</f>
        <v>0</v>
      </c>
      <c r="AK73" s="178">
        <f>'Q (t)'!T73</f>
        <v>0</v>
      </c>
      <c r="AL73" s="184">
        <f>'Q (t)'!U73</f>
        <v>0</v>
      </c>
      <c r="AM73" s="179">
        <f>'Q (t)'!V73</f>
        <v>0</v>
      </c>
      <c r="AO73" s="183">
        <f t="shared" si="9"/>
        <v>12.999876500000001</v>
      </c>
      <c r="AP73" s="184">
        <f t="shared" si="61"/>
        <v>643.75</v>
      </c>
      <c r="AQ73" s="178">
        <f t="shared" si="61"/>
        <v>0</v>
      </c>
      <c r="AR73" s="178">
        <f t="shared" si="61"/>
        <v>0</v>
      </c>
      <c r="AS73" s="179">
        <f t="shared" si="61"/>
        <v>0</v>
      </c>
      <c r="AT73" s="178">
        <f t="shared" si="61"/>
        <v>0</v>
      </c>
      <c r="AU73" s="178">
        <f t="shared" si="61"/>
        <v>0</v>
      </c>
      <c r="AV73" s="178">
        <f t="shared" si="61"/>
        <v>0</v>
      </c>
      <c r="AW73" s="179">
        <f t="shared" si="61"/>
        <v>0</v>
      </c>
      <c r="AX73" s="178">
        <f t="shared" si="2"/>
        <v>0</v>
      </c>
      <c r="AY73" s="178">
        <f t="shared" si="3"/>
        <v>139.13037320000001</v>
      </c>
      <c r="AZ73" s="179">
        <f t="shared" si="4"/>
        <v>248.560912</v>
      </c>
      <c r="BA73" s="184">
        <f t="shared" si="5"/>
        <v>0</v>
      </c>
      <c r="BB73" s="178">
        <f t="shared" si="6"/>
        <v>0</v>
      </c>
      <c r="BC73" s="184">
        <f t="shared" si="7"/>
        <v>0</v>
      </c>
      <c r="BD73" s="178">
        <f t="shared" si="8"/>
        <v>0</v>
      </c>
      <c r="BE73" s="251">
        <f t="shared" si="10"/>
        <v>13</v>
      </c>
      <c r="BF73" s="252">
        <f t="shared" si="58"/>
        <v>12500</v>
      </c>
      <c r="BH73" s="262">
        <f t="shared" si="62"/>
        <v>12.999876500000001</v>
      </c>
      <c r="BI73" s="262">
        <f t="shared" si="63"/>
        <v>643.75</v>
      </c>
      <c r="BJ73" s="262">
        <f t="shared" si="64"/>
        <v>0</v>
      </c>
      <c r="BK73" s="263">
        <f t="shared" si="65"/>
        <v>387.69128520000004</v>
      </c>
      <c r="BL73" s="269">
        <f t="shared" si="66"/>
        <v>0</v>
      </c>
      <c r="BM73" s="264">
        <f t="shared" si="13"/>
        <v>1044.4411617000001</v>
      </c>
      <c r="BO73" s="732">
        <f t="shared" si="12"/>
        <v>83.555292936000001</v>
      </c>
    </row>
    <row r="74" spans="2:67" ht="15" customHeight="1" x14ac:dyDescent="0.25">
      <c r="B74" s="156">
        <f t="shared" si="44"/>
        <v>5</v>
      </c>
      <c r="C74" s="180" t="s">
        <v>611</v>
      </c>
      <c r="D74" s="181" t="s">
        <v>612</v>
      </c>
      <c r="E74" s="210" t="s">
        <v>109</v>
      </c>
      <c r="G74" s="488">
        <v>6.8493000000000004</v>
      </c>
      <c r="H74" s="490"/>
      <c r="I74" s="494">
        <v>4.2099999999999999E-2</v>
      </c>
      <c r="J74" s="471"/>
      <c r="K74" s="495">
        <v>2.63E-2</v>
      </c>
      <c r="L74" s="471"/>
      <c r="M74" s="471"/>
      <c r="N74" s="471"/>
      <c r="O74" s="472"/>
      <c r="P74" s="471"/>
      <c r="Q74" s="471"/>
      <c r="R74" s="472"/>
      <c r="S74" s="489">
        <f>S47</f>
        <v>0.14499999999999999</v>
      </c>
      <c r="T74" s="494">
        <v>0.1036</v>
      </c>
      <c r="U74" s="491"/>
      <c r="V74" s="492"/>
      <c r="X74" s="183">
        <f>'Q (t)'!G74</f>
        <v>9125</v>
      </c>
      <c r="Y74" s="184">
        <f>'Q (t)'!H74</f>
        <v>0</v>
      </c>
      <c r="Z74" s="178">
        <f>'Q (t)'!I74</f>
        <v>3700</v>
      </c>
      <c r="AA74" s="178">
        <f>'Q (t)'!J74</f>
        <v>0</v>
      </c>
      <c r="AB74" s="179">
        <f>'Q (t)'!K74</f>
        <v>3700</v>
      </c>
      <c r="AC74" s="178">
        <f>'Q (t)'!L74</f>
        <v>0</v>
      </c>
      <c r="AD74" s="178">
        <f>'Q (t)'!M74</f>
        <v>0</v>
      </c>
      <c r="AE74" s="178">
        <f>'Q (t)'!N74</f>
        <v>0</v>
      </c>
      <c r="AF74" s="179">
        <f>'Q (t)'!O74</f>
        <v>0</v>
      </c>
      <c r="AG74" s="178">
        <f>'Q (t)'!P74</f>
        <v>0</v>
      </c>
      <c r="AH74" s="178">
        <f>'Q (t)'!Q74</f>
        <v>0</v>
      </c>
      <c r="AI74" s="179">
        <f>'Q (t)'!R74</f>
        <v>0</v>
      </c>
      <c r="AJ74" s="184">
        <f>'Q (t)'!S74</f>
        <v>662840</v>
      </c>
      <c r="AK74" s="178">
        <f>'Q (t)'!T74</f>
        <v>1369115</v>
      </c>
      <c r="AL74" s="184">
        <f>'Q (t)'!U74</f>
        <v>0</v>
      </c>
      <c r="AM74" s="179">
        <f>'Q (t)'!V74</f>
        <v>0</v>
      </c>
      <c r="AO74" s="183">
        <f t="shared" si="9"/>
        <v>62.499862500000006</v>
      </c>
      <c r="AP74" s="184">
        <f t="shared" si="61"/>
        <v>0</v>
      </c>
      <c r="AQ74" s="178">
        <f t="shared" si="61"/>
        <v>155.76999999999998</v>
      </c>
      <c r="AR74" s="178">
        <f t="shared" si="61"/>
        <v>0</v>
      </c>
      <c r="AS74" s="179">
        <f t="shared" si="61"/>
        <v>97.31</v>
      </c>
      <c r="AT74" s="178">
        <f t="shared" si="61"/>
        <v>0</v>
      </c>
      <c r="AU74" s="178">
        <f t="shared" si="61"/>
        <v>0</v>
      </c>
      <c r="AV74" s="178">
        <f t="shared" si="61"/>
        <v>0</v>
      </c>
      <c r="AW74" s="179">
        <f t="shared" si="61"/>
        <v>0</v>
      </c>
      <c r="AX74" s="178">
        <f t="shared" si="2"/>
        <v>0</v>
      </c>
      <c r="AY74" s="178">
        <f t="shared" si="3"/>
        <v>0</v>
      </c>
      <c r="AZ74" s="179">
        <f t="shared" si="4"/>
        <v>0</v>
      </c>
      <c r="BA74" s="184">
        <f t="shared" si="5"/>
        <v>96.111799999999988</v>
      </c>
      <c r="BB74" s="178">
        <f t="shared" si="6"/>
        <v>141.84031399999998</v>
      </c>
      <c r="BC74" s="184">
        <f t="shared" si="7"/>
        <v>0</v>
      </c>
      <c r="BD74" s="178">
        <f t="shared" si="8"/>
        <v>0</v>
      </c>
      <c r="BE74" s="251">
        <f t="shared" si="10"/>
        <v>25</v>
      </c>
      <c r="BF74" s="252">
        <f t="shared" si="58"/>
        <v>7400</v>
      </c>
      <c r="BH74" s="262">
        <f t="shared" si="62"/>
        <v>62.499862500000006</v>
      </c>
      <c r="BI74" s="262">
        <f t="shared" si="63"/>
        <v>253.07999999999998</v>
      </c>
      <c r="BJ74" s="262">
        <f t="shared" si="64"/>
        <v>0</v>
      </c>
      <c r="BK74" s="263">
        <f t="shared" si="65"/>
        <v>237.95211399999997</v>
      </c>
      <c r="BL74" s="269">
        <f t="shared" si="66"/>
        <v>0</v>
      </c>
      <c r="BM74" s="264">
        <f t="shared" si="13"/>
        <v>553.53197649999993</v>
      </c>
      <c r="BO74" s="732">
        <f t="shared" si="12"/>
        <v>74.801618445945934</v>
      </c>
    </row>
    <row r="75" spans="2:67" ht="15" customHeight="1" x14ac:dyDescent="0.25">
      <c r="B75" s="156">
        <f t="shared" si="44"/>
        <v>6</v>
      </c>
      <c r="C75" s="180" t="s">
        <v>613</v>
      </c>
      <c r="D75" s="181" t="s">
        <v>614</v>
      </c>
      <c r="E75" s="210" t="s">
        <v>110</v>
      </c>
      <c r="G75" s="488">
        <v>0</v>
      </c>
      <c r="H75" s="490"/>
      <c r="I75" s="494">
        <v>0</v>
      </c>
      <c r="J75" s="471"/>
      <c r="K75" s="495">
        <v>0</v>
      </c>
      <c r="L75" s="471"/>
      <c r="M75" s="471"/>
      <c r="N75" s="471"/>
      <c r="O75" s="472"/>
      <c r="P75" s="471"/>
      <c r="Q75" s="471"/>
      <c r="R75" s="472"/>
      <c r="S75" s="489">
        <v>0.1065</v>
      </c>
      <c r="T75" s="494">
        <v>0.1036</v>
      </c>
      <c r="U75" s="491"/>
      <c r="V75" s="492"/>
      <c r="X75" s="183">
        <f>'Q (t)'!G75</f>
        <v>0</v>
      </c>
      <c r="Y75" s="184">
        <f>'Q (t)'!H75</f>
        <v>0</v>
      </c>
      <c r="Z75" s="178">
        <f>'Q (t)'!I75</f>
        <v>0</v>
      </c>
      <c r="AA75" s="178">
        <f>'Q (t)'!J75</f>
        <v>0</v>
      </c>
      <c r="AB75" s="179">
        <f>'Q (t)'!K75</f>
        <v>0</v>
      </c>
      <c r="AC75" s="178">
        <f>'Q (t)'!L75</f>
        <v>0</v>
      </c>
      <c r="AD75" s="178">
        <f>'Q (t)'!M75</f>
        <v>0</v>
      </c>
      <c r="AE75" s="178">
        <f>'Q (t)'!N75</f>
        <v>0</v>
      </c>
      <c r="AF75" s="179">
        <f>'Q (t)'!O75</f>
        <v>0</v>
      </c>
      <c r="AG75" s="178">
        <f>'Q (t)'!P75</f>
        <v>0</v>
      </c>
      <c r="AH75" s="178">
        <f>'Q (t)'!Q75</f>
        <v>0</v>
      </c>
      <c r="AI75" s="179">
        <f>'Q (t)'!R75</f>
        <v>0</v>
      </c>
      <c r="AJ75" s="184">
        <f>'Q (t)'!S75</f>
        <v>0</v>
      </c>
      <c r="AK75" s="178">
        <f>'Q (t)'!T75</f>
        <v>0</v>
      </c>
      <c r="AL75" s="184">
        <f>'Q (t)'!U75</f>
        <v>0</v>
      </c>
      <c r="AM75" s="179">
        <f>'Q (t)'!V75</f>
        <v>0</v>
      </c>
      <c r="AO75" s="183">
        <f t="shared" si="9"/>
        <v>0</v>
      </c>
      <c r="AP75" s="184">
        <f t="shared" si="61"/>
        <v>0</v>
      </c>
      <c r="AQ75" s="178">
        <f t="shared" si="61"/>
        <v>0</v>
      </c>
      <c r="AR75" s="178">
        <f t="shared" si="61"/>
        <v>0</v>
      </c>
      <c r="AS75" s="179">
        <f t="shared" si="61"/>
        <v>0</v>
      </c>
      <c r="AT75" s="178">
        <f t="shared" si="61"/>
        <v>0</v>
      </c>
      <c r="AU75" s="178">
        <f t="shared" si="61"/>
        <v>0</v>
      </c>
      <c r="AV75" s="178">
        <f t="shared" si="61"/>
        <v>0</v>
      </c>
      <c r="AW75" s="179">
        <f t="shared" si="61"/>
        <v>0</v>
      </c>
      <c r="AX75" s="178">
        <f t="shared" si="2"/>
        <v>0</v>
      </c>
      <c r="AY75" s="178">
        <f t="shared" si="3"/>
        <v>0</v>
      </c>
      <c r="AZ75" s="179">
        <f t="shared" si="4"/>
        <v>0</v>
      </c>
      <c r="BA75" s="184">
        <f t="shared" si="5"/>
        <v>0</v>
      </c>
      <c r="BB75" s="178">
        <f t="shared" si="6"/>
        <v>0</v>
      </c>
      <c r="BC75" s="184">
        <f t="shared" si="7"/>
        <v>0</v>
      </c>
      <c r="BD75" s="178">
        <f t="shared" si="8"/>
        <v>0</v>
      </c>
      <c r="BE75" s="251">
        <f t="shared" si="10"/>
        <v>0</v>
      </c>
      <c r="BF75" s="252">
        <f t="shared" si="58"/>
        <v>0</v>
      </c>
      <c r="BH75" s="262">
        <f t="shared" si="62"/>
        <v>0</v>
      </c>
      <c r="BI75" s="262">
        <f t="shared" si="63"/>
        <v>0</v>
      </c>
      <c r="BJ75" s="262">
        <f t="shared" si="64"/>
        <v>0</v>
      </c>
      <c r="BK75" s="263">
        <f t="shared" si="65"/>
        <v>0</v>
      </c>
      <c r="BL75" s="269">
        <f t="shared" si="66"/>
        <v>0</v>
      </c>
      <c r="BM75" s="264">
        <f t="shared" si="13"/>
        <v>0</v>
      </c>
      <c r="BO75" s="732" t="str">
        <f t="shared" si="12"/>
        <v/>
      </c>
    </row>
    <row r="76" spans="2:67" ht="15" customHeight="1" x14ac:dyDescent="0.25">
      <c r="B76" s="156">
        <f t="shared" si="44"/>
        <v>7</v>
      </c>
      <c r="C76" s="211"/>
      <c r="D76" s="212"/>
      <c r="E76" s="217" t="s">
        <v>111</v>
      </c>
      <c r="G76" s="493"/>
      <c r="H76" s="490"/>
      <c r="I76" s="471"/>
      <c r="J76" s="471"/>
      <c r="K76" s="472"/>
      <c r="L76" s="471"/>
      <c r="M76" s="471"/>
      <c r="N76" s="471"/>
      <c r="O76" s="472"/>
      <c r="P76" s="471"/>
      <c r="Q76" s="471"/>
      <c r="R76" s="472"/>
      <c r="S76" s="490"/>
      <c r="T76" s="471"/>
      <c r="U76" s="491"/>
      <c r="V76" s="492"/>
      <c r="X76" s="183">
        <f>'Q (t)'!G76</f>
        <v>0</v>
      </c>
      <c r="Y76" s="184">
        <f>'Q (t)'!H76</f>
        <v>0</v>
      </c>
      <c r="Z76" s="178">
        <f>'Q (t)'!I76</f>
        <v>0</v>
      </c>
      <c r="AA76" s="178">
        <f>'Q (t)'!J76</f>
        <v>0</v>
      </c>
      <c r="AB76" s="179">
        <f>'Q (t)'!K76</f>
        <v>0</v>
      </c>
      <c r="AC76" s="178">
        <f>'Q (t)'!L76</f>
        <v>0</v>
      </c>
      <c r="AD76" s="178">
        <f>'Q (t)'!M76</f>
        <v>0</v>
      </c>
      <c r="AE76" s="178">
        <f>'Q (t)'!N76</f>
        <v>0</v>
      </c>
      <c r="AF76" s="179">
        <f>'Q (t)'!O76</f>
        <v>0</v>
      </c>
      <c r="AG76" s="178">
        <f>'Q (t)'!P76</f>
        <v>0</v>
      </c>
      <c r="AH76" s="178">
        <f>'Q (t)'!Q76</f>
        <v>0</v>
      </c>
      <c r="AI76" s="179">
        <f>'Q (t)'!R76</f>
        <v>0</v>
      </c>
      <c r="AJ76" s="184">
        <f>'Q (t)'!S76</f>
        <v>0</v>
      </c>
      <c r="AK76" s="178">
        <f>'Q (t)'!T76</f>
        <v>0</v>
      </c>
      <c r="AL76" s="184">
        <f>'Q (t)'!U76</f>
        <v>0</v>
      </c>
      <c r="AM76" s="179">
        <f>'Q (t)'!V76</f>
        <v>0</v>
      </c>
      <c r="AO76" s="183">
        <f t="shared" si="9"/>
        <v>0</v>
      </c>
      <c r="AP76" s="184">
        <f t="shared" si="61"/>
        <v>0</v>
      </c>
      <c r="AQ76" s="178">
        <f t="shared" si="61"/>
        <v>0</v>
      </c>
      <c r="AR76" s="178">
        <f t="shared" si="61"/>
        <v>0</v>
      </c>
      <c r="AS76" s="179">
        <f t="shared" si="61"/>
        <v>0</v>
      </c>
      <c r="AT76" s="178">
        <f t="shared" si="61"/>
        <v>0</v>
      </c>
      <c r="AU76" s="178">
        <f t="shared" si="61"/>
        <v>0</v>
      </c>
      <c r="AV76" s="178">
        <f t="shared" si="61"/>
        <v>0</v>
      </c>
      <c r="AW76" s="179">
        <f t="shared" si="61"/>
        <v>0</v>
      </c>
      <c r="AX76" s="178">
        <f t="shared" si="2"/>
        <v>0</v>
      </c>
      <c r="AY76" s="178">
        <f t="shared" si="3"/>
        <v>0</v>
      </c>
      <c r="AZ76" s="179">
        <f t="shared" si="4"/>
        <v>0</v>
      </c>
      <c r="BA76" s="184">
        <f t="shared" si="5"/>
        <v>0</v>
      </c>
      <c r="BB76" s="178">
        <f t="shared" si="6"/>
        <v>0</v>
      </c>
      <c r="BC76" s="184">
        <f t="shared" si="7"/>
        <v>0</v>
      </c>
      <c r="BD76" s="178">
        <f t="shared" si="8"/>
        <v>0</v>
      </c>
      <c r="BE76" s="251">
        <f t="shared" si="10"/>
        <v>0</v>
      </c>
      <c r="BF76" s="252">
        <f t="shared" si="58"/>
        <v>0</v>
      </c>
      <c r="BH76" s="262">
        <f t="shared" si="62"/>
        <v>0</v>
      </c>
      <c r="BI76" s="262">
        <f t="shared" si="63"/>
        <v>0</v>
      </c>
      <c r="BJ76" s="262">
        <f t="shared" si="64"/>
        <v>0</v>
      </c>
      <c r="BK76" s="263">
        <f t="shared" si="65"/>
        <v>0</v>
      </c>
      <c r="BL76" s="269">
        <f t="shared" si="66"/>
        <v>0</v>
      </c>
      <c r="BM76" s="264">
        <f t="shared" si="13"/>
        <v>0</v>
      </c>
      <c r="BO76" s="732" t="str">
        <f t="shared" si="12"/>
        <v/>
      </c>
    </row>
    <row r="77" spans="2:67" ht="15" customHeight="1" x14ac:dyDescent="0.25">
      <c r="B77" s="156">
        <f t="shared" si="44"/>
        <v>8</v>
      </c>
      <c r="C77" s="180" t="s">
        <v>571</v>
      </c>
      <c r="D77" s="181"/>
      <c r="E77" s="210" t="s">
        <v>104</v>
      </c>
      <c r="G77" s="488">
        <f>'Cust Specific'!R110</f>
        <v>41.0959</v>
      </c>
      <c r="H77" s="490"/>
      <c r="I77" s="494">
        <f>'Cust Specific'!R113</f>
        <v>2.3900000000000001E-2</v>
      </c>
      <c r="J77" s="471"/>
      <c r="K77" s="495">
        <f>'Cust Specific'!R114</f>
        <v>1.49E-2</v>
      </c>
      <c r="L77" s="471"/>
      <c r="M77" s="471"/>
      <c r="N77" s="471"/>
      <c r="O77" s="472"/>
      <c r="P77" s="471"/>
      <c r="Q77" s="471"/>
      <c r="R77" s="472"/>
      <c r="S77" s="489">
        <f>'Cust Specific'!R111</f>
        <v>0.1065</v>
      </c>
      <c r="T77" s="494">
        <f>'Cust Specific'!R112</f>
        <v>0.1036</v>
      </c>
      <c r="U77" s="491"/>
      <c r="V77" s="492"/>
      <c r="X77" s="183">
        <f>'Q (t)'!G77</f>
        <v>365</v>
      </c>
      <c r="Y77" s="184">
        <f>'Q (t)'!H77</f>
        <v>0</v>
      </c>
      <c r="Z77" s="178">
        <f>'Q (t)'!I77</f>
        <v>12700</v>
      </c>
      <c r="AA77" s="178">
        <f>'Q (t)'!J77</f>
        <v>0</v>
      </c>
      <c r="AB77" s="179">
        <f>'Q (t)'!K77</f>
        <v>12500</v>
      </c>
      <c r="AC77" s="178">
        <f>'Q (t)'!L77</f>
        <v>0</v>
      </c>
      <c r="AD77" s="178">
        <f>'Q (t)'!M77</f>
        <v>0</v>
      </c>
      <c r="AE77" s="178">
        <f>'Q (t)'!N77</f>
        <v>0</v>
      </c>
      <c r="AF77" s="179">
        <f>'Q (t)'!O77</f>
        <v>0</v>
      </c>
      <c r="AG77" s="178">
        <f>'Q (t)'!P77</f>
        <v>0</v>
      </c>
      <c r="AH77" s="178">
        <f>'Q (t)'!Q77</f>
        <v>0</v>
      </c>
      <c r="AI77" s="179">
        <f>'Q (t)'!R77</f>
        <v>0</v>
      </c>
      <c r="AJ77" s="184">
        <f>'Q (t)'!S77</f>
        <v>1564390</v>
      </c>
      <c r="AK77" s="178">
        <f>'Q (t)'!T77</f>
        <v>2384180</v>
      </c>
      <c r="AL77" s="184">
        <f>'Q (t)'!U77</f>
        <v>0</v>
      </c>
      <c r="AM77" s="179">
        <f>'Q (t)'!V77</f>
        <v>0</v>
      </c>
      <c r="AO77" s="183">
        <f t="shared" si="9"/>
        <v>15.0000035</v>
      </c>
      <c r="AP77" s="184">
        <f t="shared" si="61"/>
        <v>0</v>
      </c>
      <c r="AQ77" s="178">
        <f t="shared" si="61"/>
        <v>303.53000000000003</v>
      </c>
      <c r="AR77" s="178">
        <f t="shared" si="61"/>
        <v>0</v>
      </c>
      <c r="AS77" s="179">
        <f t="shared" si="61"/>
        <v>186.25</v>
      </c>
      <c r="AT77" s="178">
        <f t="shared" si="61"/>
        <v>0</v>
      </c>
      <c r="AU77" s="178">
        <f t="shared" si="61"/>
        <v>0</v>
      </c>
      <c r="AV77" s="178">
        <f t="shared" si="61"/>
        <v>0</v>
      </c>
      <c r="AW77" s="179">
        <f t="shared" si="61"/>
        <v>0</v>
      </c>
      <c r="AX77" s="178">
        <f t="shared" ref="AX77:AX126" si="67">P77*AG77/1000</f>
        <v>0</v>
      </c>
      <c r="AY77" s="178">
        <f t="shared" ref="AY77:AY126" si="68">Q77*AH77/1000</f>
        <v>0</v>
      </c>
      <c r="AZ77" s="179">
        <f t="shared" ref="AZ77:AZ126" si="69">R77*AI77/1000</f>
        <v>0</v>
      </c>
      <c r="BA77" s="184">
        <f t="shared" ref="BA77:BA126" si="70">S77*AJ77/1000</f>
        <v>166.60753500000001</v>
      </c>
      <c r="BB77" s="178">
        <f t="shared" ref="BB77:BB126" si="71">T77*AK77/1000</f>
        <v>247.00104799999997</v>
      </c>
      <c r="BC77" s="184">
        <f t="shared" ref="BC77:BC126" si="72">U77*AL77/1000</f>
        <v>0</v>
      </c>
      <c r="BD77" s="178">
        <f t="shared" ref="BD77:BD126" si="73">V77*AM77/1000</f>
        <v>0</v>
      </c>
      <c r="BE77" s="251">
        <f t="shared" si="10"/>
        <v>1</v>
      </c>
      <c r="BF77" s="252">
        <f t="shared" si="58"/>
        <v>25200</v>
      </c>
      <c r="BH77" s="262">
        <f t="shared" si="62"/>
        <v>15.0000035</v>
      </c>
      <c r="BI77" s="262">
        <f t="shared" si="63"/>
        <v>489.78000000000003</v>
      </c>
      <c r="BJ77" s="262">
        <f t="shared" si="64"/>
        <v>0</v>
      </c>
      <c r="BK77" s="263">
        <f t="shared" si="65"/>
        <v>413.60858299999995</v>
      </c>
      <c r="BL77" s="269">
        <f t="shared" si="66"/>
        <v>0</v>
      </c>
      <c r="BM77" s="264">
        <f t="shared" si="13"/>
        <v>918.38858649999997</v>
      </c>
      <c r="BO77" s="732">
        <f t="shared" si="12"/>
        <v>36.443991527777776</v>
      </c>
    </row>
    <row r="78" spans="2:67" ht="15" customHeight="1" x14ac:dyDescent="0.25">
      <c r="B78" s="156">
        <f t="shared" si="44"/>
        <v>9</v>
      </c>
      <c r="C78" s="180" t="s">
        <v>572</v>
      </c>
      <c r="D78" s="181"/>
      <c r="E78" s="210" t="s">
        <v>104</v>
      </c>
      <c r="G78" s="488">
        <f>('Cust Specific'!R118)</f>
        <v>41.0959</v>
      </c>
      <c r="H78" s="490"/>
      <c r="I78" s="494">
        <f>'Cust Specific'!R121</f>
        <v>2.3900000000000001E-2</v>
      </c>
      <c r="J78" s="471"/>
      <c r="K78" s="495">
        <f>'Cust Specific'!R122</f>
        <v>1.49E-2</v>
      </c>
      <c r="L78" s="471"/>
      <c r="M78" s="471"/>
      <c r="N78" s="471"/>
      <c r="O78" s="472"/>
      <c r="P78" s="471"/>
      <c r="Q78" s="471"/>
      <c r="R78" s="472"/>
      <c r="S78" s="489">
        <f>'Cust Specific'!R119</f>
        <v>0.1065</v>
      </c>
      <c r="T78" s="494">
        <f>'Cust Specific'!R120</f>
        <v>0.1036</v>
      </c>
      <c r="U78" s="491"/>
      <c r="V78" s="492"/>
      <c r="X78" s="183">
        <f>'Q (t)'!G78</f>
        <v>365</v>
      </c>
      <c r="Y78" s="184">
        <f>'Q (t)'!H78</f>
        <v>0</v>
      </c>
      <c r="Z78" s="178">
        <f>'Q (t)'!I78</f>
        <v>7300</v>
      </c>
      <c r="AA78" s="178">
        <f>'Q (t)'!J78</f>
        <v>0</v>
      </c>
      <c r="AB78" s="179">
        <f>'Q (t)'!K78</f>
        <v>5700</v>
      </c>
      <c r="AC78" s="178">
        <f>'Q (t)'!L78</f>
        <v>0</v>
      </c>
      <c r="AD78" s="178">
        <f>'Q (t)'!M78</f>
        <v>0</v>
      </c>
      <c r="AE78" s="178">
        <f>'Q (t)'!N78</f>
        <v>0</v>
      </c>
      <c r="AF78" s="179">
        <f>'Q (t)'!O78</f>
        <v>0</v>
      </c>
      <c r="AG78" s="178">
        <f>'Q (t)'!P78</f>
        <v>0</v>
      </c>
      <c r="AH78" s="178">
        <f>'Q (t)'!Q78</f>
        <v>0</v>
      </c>
      <c r="AI78" s="179">
        <f>'Q (t)'!R78</f>
        <v>0</v>
      </c>
      <c r="AJ78" s="184">
        <f>'Q (t)'!S78</f>
        <v>1600890</v>
      </c>
      <c r="AK78" s="178">
        <f>'Q (t)'!T78</f>
        <v>1700170</v>
      </c>
      <c r="AL78" s="184">
        <f>'Q (t)'!U78</f>
        <v>0</v>
      </c>
      <c r="AM78" s="179">
        <f>'Q (t)'!V78</f>
        <v>0</v>
      </c>
      <c r="AO78" s="183">
        <f t="shared" ref="AO78:AO126" si="74">G78*X78/1000</f>
        <v>15.0000035</v>
      </c>
      <c r="AP78" s="184">
        <f t="shared" si="61"/>
        <v>0</v>
      </c>
      <c r="AQ78" s="178">
        <f t="shared" si="61"/>
        <v>174.47</v>
      </c>
      <c r="AR78" s="178">
        <f t="shared" si="61"/>
        <v>0</v>
      </c>
      <c r="AS78" s="179">
        <f t="shared" si="61"/>
        <v>84.93</v>
      </c>
      <c r="AT78" s="178">
        <f t="shared" si="61"/>
        <v>0</v>
      </c>
      <c r="AU78" s="178">
        <f t="shared" si="61"/>
        <v>0</v>
      </c>
      <c r="AV78" s="178">
        <f t="shared" si="61"/>
        <v>0</v>
      </c>
      <c r="AW78" s="179">
        <f t="shared" si="61"/>
        <v>0</v>
      </c>
      <c r="AX78" s="178">
        <f t="shared" si="67"/>
        <v>0</v>
      </c>
      <c r="AY78" s="178">
        <f t="shared" si="68"/>
        <v>0</v>
      </c>
      <c r="AZ78" s="179">
        <f t="shared" si="69"/>
        <v>0</v>
      </c>
      <c r="BA78" s="184">
        <f t="shared" si="70"/>
        <v>170.49478500000001</v>
      </c>
      <c r="BB78" s="178">
        <f t="shared" si="71"/>
        <v>176.13761199999999</v>
      </c>
      <c r="BC78" s="184">
        <f t="shared" si="72"/>
        <v>0</v>
      </c>
      <c r="BD78" s="178">
        <f t="shared" si="73"/>
        <v>0</v>
      </c>
      <c r="BE78" s="251">
        <f t="shared" ref="BE78:BE126" si="75">X78/$BE$7</f>
        <v>1</v>
      </c>
      <c r="BF78" s="252">
        <f t="shared" ref="BF78:BF108" si="76">SUM(Y78:AF78)</f>
        <v>13000</v>
      </c>
      <c r="BH78" s="262">
        <f t="shared" si="62"/>
        <v>15.0000035</v>
      </c>
      <c r="BI78" s="262">
        <f t="shared" si="63"/>
        <v>259.39999999999998</v>
      </c>
      <c r="BJ78" s="262">
        <f t="shared" si="64"/>
        <v>0</v>
      </c>
      <c r="BK78" s="263">
        <f t="shared" si="65"/>
        <v>346.63239699999997</v>
      </c>
      <c r="BL78" s="269">
        <f t="shared" si="66"/>
        <v>0</v>
      </c>
      <c r="BM78" s="264">
        <f t="shared" ref="BM78:BM126" si="77">SUM(BH78:BL78)</f>
        <v>621.03240049999999</v>
      </c>
      <c r="BO78" s="732">
        <f t="shared" ref="BO78:BO126" si="78">IF(BF78=0,"",BM78*1000/BF78)</f>
        <v>47.771723115384617</v>
      </c>
    </row>
    <row r="79" spans="2:67" ht="15" customHeight="1" x14ac:dyDescent="0.25">
      <c r="B79" s="156">
        <f t="shared" si="44"/>
        <v>10</v>
      </c>
      <c r="C79" s="180" t="s">
        <v>584</v>
      </c>
      <c r="D79" s="181"/>
      <c r="E79" s="210" t="s">
        <v>104</v>
      </c>
      <c r="G79" s="488">
        <f>('Cust Specific'!R126)</f>
        <v>123.2877</v>
      </c>
      <c r="H79" s="490"/>
      <c r="I79" s="494">
        <f>'Cust Specific'!R129</f>
        <v>2.3900000000000001E-2</v>
      </c>
      <c r="J79" s="471"/>
      <c r="K79" s="495">
        <f>'Cust Specific'!R130</f>
        <v>1.49E-2</v>
      </c>
      <c r="L79" s="471"/>
      <c r="M79" s="471"/>
      <c r="N79" s="471"/>
      <c r="O79" s="472"/>
      <c r="P79" s="471"/>
      <c r="Q79" s="471"/>
      <c r="R79" s="472"/>
      <c r="S79" s="489">
        <f>'Cust Specific'!R127</f>
        <v>0.1065</v>
      </c>
      <c r="T79" s="494">
        <f>'Cust Specific'!R128</f>
        <v>0.1036</v>
      </c>
      <c r="U79" s="491"/>
      <c r="V79" s="492"/>
      <c r="X79" s="183">
        <f>'Q (t)'!G79</f>
        <v>365</v>
      </c>
      <c r="Y79" s="184">
        <f>'Q (t)'!H79</f>
        <v>0</v>
      </c>
      <c r="Z79" s="178">
        <f>'Q (t)'!I79</f>
        <v>5000</v>
      </c>
      <c r="AA79" s="178">
        <f>'Q (t)'!J79</f>
        <v>0</v>
      </c>
      <c r="AB79" s="179">
        <f>'Q (t)'!K79</f>
        <v>16000</v>
      </c>
      <c r="AC79" s="178">
        <f>'Q (t)'!L79</f>
        <v>0</v>
      </c>
      <c r="AD79" s="178">
        <f>'Q (t)'!M79</f>
        <v>0</v>
      </c>
      <c r="AE79" s="178">
        <f>'Q (t)'!N79</f>
        <v>0</v>
      </c>
      <c r="AF79" s="179">
        <f>'Q (t)'!O79</f>
        <v>0</v>
      </c>
      <c r="AG79" s="178">
        <f>'Q (t)'!P79</f>
        <v>0</v>
      </c>
      <c r="AH79" s="178">
        <f>'Q (t)'!Q79</f>
        <v>0</v>
      </c>
      <c r="AI79" s="179">
        <f>'Q (t)'!R79</f>
        <v>0</v>
      </c>
      <c r="AJ79" s="184">
        <f>'Q (t)'!S79</f>
        <v>0</v>
      </c>
      <c r="AK79" s="178">
        <f>'Q (t)'!T79</f>
        <v>2117000</v>
      </c>
      <c r="AL79" s="184">
        <f>'Q (t)'!U79</f>
        <v>0</v>
      </c>
      <c r="AM79" s="179">
        <f>'Q (t)'!V79</f>
        <v>0</v>
      </c>
      <c r="AO79" s="183">
        <f t="shared" si="74"/>
        <v>45.000010500000002</v>
      </c>
      <c r="AP79" s="184">
        <f t="shared" ref="AP79:AW81" si="79">H79*Y79</f>
        <v>0</v>
      </c>
      <c r="AQ79" s="178">
        <f t="shared" si="79"/>
        <v>119.5</v>
      </c>
      <c r="AR79" s="178">
        <f t="shared" si="79"/>
        <v>0</v>
      </c>
      <c r="AS79" s="179">
        <f t="shared" si="79"/>
        <v>238.4</v>
      </c>
      <c r="AT79" s="178">
        <f t="shared" si="79"/>
        <v>0</v>
      </c>
      <c r="AU79" s="178">
        <f t="shared" si="79"/>
        <v>0</v>
      </c>
      <c r="AV79" s="178">
        <f t="shared" si="79"/>
        <v>0</v>
      </c>
      <c r="AW79" s="179">
        <f t="shared" si="79"/>
        <v>0</v>
      </c>
      <c r="AX79" s="178">
        <f t="shared" si="67"/>
        <v>0</v>
      </c>
      <c r="AY79" s="178">
        <f t="shared" si="68"/>
        <v>0</v>
      </c>
      <c r="AZ79" s="179">
        <f t="shared" si="69"/>
        <v>0</v>
      </c>
      <c r="BA79" s="184">
        <f t="shared" si="70"/>
        <v>0</v>
      </c>
      <c r="BB79" s="178">
        <f t="shared" si="71"/>
        <v>219.32119999999998</v>
      </c>
      <c r="BC79" s="184">
        <f t="shared" si="72"/>
        <v>0</v>
      </c>
      <c r="BD79" s="178">
        <f t="shared" si="73"/>
        <v>0</v>
      </c>
      <c r="BE79" s="251">
        <f t="shared" ref="BE79:BE81" si="80">X79/$BE$7</f>
        <v>1</v>
      </c>
      <c r="BF79" s="252">
        <f t="shared" si="76"/>
        <v>21000</v>
      </c>
      <c r="BH79" s="262">
        <f t="shared" si="62"/>
        <v>45.000010500000002</v>
      </c>
      <c r="BI79" s="262">
        <f t="shared" si="63"/>
        <v>357.9</v>
      </c>
      <c r="BJ79" s="262">
        <f t="shared" si="64"/>
        <v>0</v>
      </c>
      <c r="BK79" s="263">
        <f t="shared" si="65"/>
        <v>219.32119999999998</v>
      </c>
      <c r="BL79" s="269">
        <f t="shared" si="66"/>
        <v>0</v>
      </c>
      <c r="BM79" s="264">
        <f t="shared" ref="BM79:BM81" si="81">SUM(BH79:BL79)</f>
        <v>622.22121049999998</v>
      </c>
      <c r="BO79" s="732">
        <f t="shared" si="78"/>
        <v>29.62958145238095</v>
      </c>
    </row>
    <row r="80" spans="2:67" ht="15" customHeight="1" x14ac:dyDescent="0.25">
      <c r="B80" s="156">
        <f t="shared" si="44"/>
        <v>11</v>
      </c>
      <c r="C80" s="180" t="s">
        <v>573</v>
      </c>
      <c r="D80" s="181"/>
      <c r="E80" s="210" t="s">
        <v>104</v>
      </c>
      <c r="G80" s="488">
        <f>('Cust Specific'!R134)</f>
        <v>41.0959</v>
      </c>
      <c r="H80" s="490"/>
      <c r="I80" s="494">
        <f>'Cust Specific'!R137</f>
        <v>2.3900000000000001E-2</v>
      </c>
      <c r="J80" s="471"/>
      <c r="K80" s="495">
        <f>'Cust Specific'!R138</f>
        <v>1.49E-2</v>
      </c>
      <c r="L80" s="471"/>
      <c r="M80" s="471"/>
      <c r="N80" s="471"/>
      <c r="O80" s="472"/>
      <c r="P80" s="471"/>
      <c r="Q80" s="471"/>
      <c r="R80" s="472"/>
      <c r="S80" s="489">
        <f>'Cust Specific'!R135</f>
        <v>0.1065</v>
      </c>
      <c r="T80" s="494">
        <f>'Cust Specific'!R136</f>
        <v>0.1036</v>
      </c>
      <c r="U80" s="491"/>
      <c r="V80" s="492"/>
      <c r="X80" s="183">
        <f>'Q (t)'!G80</f>
        <v>365</v>
      </c>
      <c r="Y80" s="184">
        <f>'Q (t)'!H80</f>
        <v>0</v>
      </c>
      <c r="Z80" s="178">
        <f>'Q (t)'!I80</f>
        <v>10700</v>
      </c>
      <c r="AA80" s="178">
        <f>'Q (t)'!J80</f>
        <v>0</v>
      </c>
      <c r="AB80" s="179">
        <f>'Q (t)'!K80</f>
        <v>8500</v>
      </c>
      <c r="AC80" s="178">
        <f>'Q (t)'!L80</f>
        <v>0</v>
      </c>
      <c r="AD80" s="178">
        <f>'Q (t)'!M80</f>
        <v>0</v>
      </c>
      <c r="AE80" s="178">
        <f>'Q (t)'!N80</f>
        <v>0</v>
      </c>
      <c r="AF80" s="179">
        <f>'Q (t)'!O80</f>
        <v>0</v>
      </c>
      <c r="AG80" s="178">
        <f>'Q (t)'!P80</f>
        <v>0</v>
      </c>
      <c r="AH80" s="178">
        <f>'Q (t)'!Q80</f>
        <v>0</v>
      </c>
      <c r="AI80" s="179">
        <f>'Q (t)'!R80</f>
        <v>0</v>
      </c>
      <c r="AJ80" s="184">
        <f>'Q (t)'!S80</f>
        <v>1764410</v>
      </c>
      <c r="AK80" s="178">
        <f>'Q (t)'!T80</f>
        <v>2027210</v>
      </c>
      <c r="AL80" s="184">
        <f>'Q (t)'!U80</f>
        <v>0</v>
      </c>
      <c r="AM80" s="179">
        <f>'Q (t)'!V80</f>
        <v>0</v>
      </c>
      <c r="AO80" s="183">
        <f t="shared" si="74"/>
        <v>15.0000035</v>
      </c>
      <c r="AP80" s="184">
        <f t="shared" si="79"/>
        <v>0</v>
      </c>
      <c r="AQ80" s="178">
        <f t="shared" si="79"/>
        <v>255.73000000000002</v>
      </c>
      <c r="AR80" s="178">
        <f t="shared" si="79"/>
        <v>0</v>
      </c>
      <c r="AS80" s="179">
        <f t="shared" si="79"/>
        <v>126.65</v>
      </c>
      <c r="AT80" s="178">
        <f t="shared" si="79"/>
        <v>0</v>
      </c>
      <c r="AU80" s="178">
        <f t="shared" si="79"/>
        <v>0</v>
      </c>
      <c r="AV80" s="178">
        <f t="shared" si="79"/>
        <v>0</v>
      </c>
      <c r="AW80" s="179">
        <f t="shared" si="79"/>
        <v>0</v>
      </c>
      <c r="AX80" s="178">
        <f t="shared" si="67"/>
        <v>0</v>
      </c>
      <c r="AY80" s="178">
        <f t="shared" si="68"/>
        <v>0</v>
      </c>
      <c r="AZ80" s="179">
        <f t="shared" si="69"/>
        <v>0</v>
      </c>
      <c r="BA80" s="184">
        <f t="shared" si="70"/>
        <v>187.90966500000002</v>
      </c>
      <c r="BB80" s="178">
        <f t="shared" si="71"/>
        <v>210.018956</v>
      </c>
      <c r="BC80" s="184">
        <f t="shared" si="72"/>
        <v>0</v>
      </c>
      <c r="BD80" s="178">
        <f t="shared" si="73"/>
        <v>0</v>
      </c>
      <c r="BE80" s="251">
        <f t="shared" si="80"/>
        <v>1</v>
      </c>
      <c r="BF80" s="252">
        <f t="shared" si="76"/>
        <v>19200</v>
      </c>
      <c r="BH80" s="262">
        <f t="shared" si="62"/>
        <v>15.0000035</v>
      </c>
      <c r="BI80" s="262">
        <f t="shared" si="63"/>
        <v>382.38</v>
      </c>
      <c r="BJ80" s="262">
        <f t="shared" si="64"/>
        <v>0</v>
      </c>
      <c r="BK80" s="263">
        <f t="shared" si="65"/>
        <v>397.92862100000002</v>
      </c>
      <c r="BL80" s="269">
        <f t="shared" si="66"/>
        <v>0</v>
      </c>
      <c r="BM80" s="264">
        <f t="shared" si="81"/>
        <v>795.30862449999995</v>
      </c>
      <c r="BO80" s="732">
        <f t="shared" si="78"/>
        <v>41.422324192708331</v>
      </c>
    </row>
    <row r="81" spans="2:67" ht="15" customHeight="1" x14ac:dyDescent="0.25">
      <c r="B81" s="156">
        <f t="shared" si="44"/>
        <v>12</v>
      </c>
      <c r="C81" s="180" t="s">
        <v>574</v>
      </c>
      <c r="D81" s="181"/>
      <c r="E81" s="210" t="s">
        <v>104</v>
      </c>
      <c r="G81" s="488">
        <f>('Cust Specific'!R142)</f>
        <v>41.0959</v>
      </c>
      <c r="H81" s="490"/>
      <c r="I81" s="494">
        <f>'Cust Specific'!R145</f>
        <v>2.3900000000000001E-2</v>
      </c>
      <c r="J81" s="471"/>
      <c r="K81" s="495">
        <f>'Cust Specific'!R146</f>
        <v>1.49E-2</v>
      </c>
      <c r="L81" s="471"/>
      <c r="M81" s="471"/>
      <c r="N81" s="471"/>
      <c r="O81" s="472"/>
      <c r="P81" s="471"/>
      <c r="Q81" s="471"/>
      <c r="R81" s="472"/>
      <c r="S81" s="489">
        <f>'Cust Specific'!R143</f>
        <v>0.1065</v>
      </c>
      <c r="T81" s="494">
        <f>'Cust Specific'!R144</f>
        <v>0.1036</v>
      </c>
      <c r="U81" s="491"/>
      <c r="V81" s="492"/>
      <c r="X81" s="183">
        <f>'Q (t)'!G81</f>
        <v>365</v>
      </c>
      <c r="Y81" s="184">
        <f>'Q (t)'!H81</f>
        <v>0</v>
      </c>
      <c r="Z81" s="178">
        <f>'Q (t)'!I81</f>
        <v>6600</v>
      </c>
      <c r="AA81" s="178">
        <f>'Q (t)'!J81</f>
        <v>0</v>
      </c>
      <c r="AB81" s="179">
        <f>'Q (t)'!K81</f>
        <v>4500</v>
      </c>
      <c r="AC81" s="178">
        <f>'Q (t)'!L81</f>
        <v>0</v>
      </c>
      <c r="AD81" s="178">
        <f>'Q (t)'!M81</f>
        <v>0</v>
      </c>
      <c r="AE81" s="178">
        <f>'Q (t)'!N81</f>
        <v>0</v>
      </c>
      <c r="AF81" s="179">
        <f>'Q (t)'!O81</f>
        <v>0</v>
      </c>
      <c r="AG81" s="178">
        <f>'Q (t)'!P81</f>
        <v>0</v>
      </c>
      <c r="AH81" s="178">
        <f>'Q (t)'!Q81</f>
        <v>0</v>
      </c>
      <c r="AI81" s="179">
        <f>'Q (t)'!R81</f>
        <v>0</v>
      </c>
      <c r="AJ81" s="184">
        <f>'Q (t)'!S81</f>
        <v>1330425</v>
      </c>
      <c r="AK81" s="178">
        <f>'Q (t)'!T81</f>
        <v>1372400</v>
      </c>
      <c r="AL81" s="184">
        <f>'Q (t)'!U81</f>
        <v>0</v>
      </c>
      <c r="AM81" s="179">
        <f>'Q (t)'!V81</f>
        <v>0</v>
      </c>
      <c r="AO81" s="183">
        <f t="shared" si="74"/>
        <v>15.0000035</v>
      </c>
      <c r="AP81" s="184">
        <f t="shared" si="79"/>
        <v>0</v>
      </c>
      <c r="AQ81" s="178">
        <f t="shared" si="79"/>
        <v>157.74</v>
      </c>
      <c r="AR81" s="178">
        <f t="shared" si="79"/>
        <v>0</v>
      </c>
      <c r="AS81" s="179">
        <f t="shared" si="79"/>
        <v>67.05</v>
      </c>
      <c r="AT81" s="178">
        <f t="shared" si="79"/>
        <v>0</v>
      </c>
      <c r="AU81" s="178">
        <f t="shared" si="79"/>
        <v>0</v>
      </c>
      <c r="AV81" s="178">
        <f t="shared" si="79"/>
        <v>0</v>
      </c>
      <c r="AW81" s="179">
        <f t="shared" si="79"/>
        <v>0</v>
      </c>
      <c r="AX81" s="178">
        <f t="shared" si="67"/>
        <v>0</v>
      </c>
      <c r="AY81" s="178">
        <f t="shared" si="68"/>
        <v>0</v>
      </c>
      <c r="AZ81" s="179">
        <f t="shared" si="69"/>
        <v>0</v>
      </c>
      <c r="BA81" s="184">
        <f t="shared" si="70"/>
        <v>141.69026249999999</v>
      </c>
      <c r="BB81" s="178">
        <f t="shared" si="71"/>
        <v>142.18063999999998</v>
      </c>
      <c r="BC81" s="184">
        <f t="shared" si="72"/>
        <v>0</v>
      </c>
      <c r="BD81" s="178">
        <f t="shared" si="73"/>
        <v>0</v>
      </c>
      <c r="BE81" s="251">
        <f t="shared" si="80"/>
        <v>1</v>
      </c>
      <c r="BF81" s="252">
        <f t="shared" si="76"/>
        <v>11100</v>
      </c>
      <c r="BH81" s="262">
        <f t="shared" si="62"/>
        <v>15.0000035</v>
      </c>
      <c r="BI81" s="262">
        <f t="shared" si="63"/>
        <v>224.79000000000002</v>
      </c>
      <c r="BJ81" s="262">
        <f t="shared" si="64"/>
        <v>0</v>
      </c>
      <c r="BK81" s="263">
        <f t="shared" si="65"/>
        <v>283.87090249999994</v>
      </c>
      <c r="BL81" s="269">
        <f t="shared" si="66"/>
        <v>0</v>
      </c>
      <c r="BM81" s="264">
        <f t="shared" si="81"/>
        <v>523.66090599999995</v>
      </c>
      <c r="BO81" s="732">
        <f t="shared" si="78"/>
        <v>47.176658198198197</v>
      </c>
    </row>
    <row r="82" spans="2:67" ht="15" customHeight="1" x14ac:dyDescent="0.25">
      <c r="B82" s="156">
        <f t="shared" si="44"/>
        <v>13</v>
      </c>
      <c r="C82" s="180" t="s">
        <v>575</v>
      </c>
      <c r="D82" s="181"/>
      <c r="E82" s="210" t="s">
        <v>104</v>
      </c>
      <c r="G82" s="488">
        <f>('Cust Specific'!R150)</f>
        <v>41.0959</v>
      </c>
      <c r="H82" s="490"/>
      <c r="I82" s="494">
        <f>'Cust Specific'!R153</f>
        <v>2.3900000000000001E-2</v>
      </c>
      <c r="J82" s="471"/>
      <c r="K82" s="495">
        <f>'Cust Specific'!R154</f>
        <v>1.49E-2</v>
      </c>
      <c r="L82" s="471"/>
      <c r="M82" s="471"/>
      <c r="N82" s="471"/>
      <c r="O82" s="472"/>
      <c r="P82" s="471"/>
      <c r="Q82" s="471"/>
      <c r="R82" s="472"/>
      <c r="S82" s="489">
        <f>'Cust Specific'!R151</f>
        <v>0.1065</v>
      </c>
      <c r="T82" s="494">
        <f>'Cust Specific'!R152</f>
        <v>0.1036</v>
      </c>
      <c r="U82" s="491"/>
      <c r="V82" s="492"/>
      <c r="X82" s="183">
        <f>'Q (t)'!G82</f>
        <v>365</v>
      </c>
      <c r="Y82" s="184">
        <f>'Q (t)'!H82</f>
        <v>0</v>
      </c>
      <c r="Z82" s="178">
        <f>'Q (t)'!I82</f>
        <v>6300</v>
      </c>
      <c r="AA82" s="178">
        <f>'Q (t)'!J82</f>
        <v>0</v>
      </c>
      <c r="AB82" s="179">
        <f>'Q (t)'!K82</f>
        <v>5100</v>
      </c>
      <c r="AC82" s="178">
        <f>'Q (t)'!L82</f>
        <v>0</v>
      </c>
      <c r="AD82" s="178">
        <f>'Q (t)'!M82</f>
        <v>0</v>
      </c>
      <c r="AE82" s="178">
        <f>'Q (t)'!N82</f>
        <v>0</v>
      </c>
      <c r="AF82" s="179">
        <f>'Q (t)'!O82</f>
        <v>0</v>
      </c>
      <c r="AG82" s="178">
        <f>'Q (t)'!P82</f>
        <v>0</v>
      </c>
      <c r="AH82" s="178">
        <f>'Q (t)'!Q82</f>
        <v>0</v>
      </c>
      <c r="AI82" s="179">
        <f>'Q (t)'!R82</f>
        <v>0</v>
      </c>
      <c r="AJ82" s="184">
        <f>'Q (t)'!S82</f>
        <v>1231875</v>
      </c>
      <c r="AK82" s="178">
        <f>'Q (t)'!T82</f>
        <v>1259250</v>
      </c>
      <c r="AL82" s="184">
        <f>'Q (t)'!U82</f>
        <v>0</v>
      </c>
      <c r="AM82" s="179">
        <f>'Q (t)'!V82</f>
        <v>0</v>
      </c>
      <c r="AO82" s="183">
        <f t="shared" si="74"/>
        <v>15.0000035</v>
      </c>
      <c r="AP82" s="184">
        <f t="shared" ref="AP82:AW94" si="82">H82*Y82</f>
        <v>0</v>
      </c>
      <c r="AQ82" s="178">
        <f t="shared" si="82"/>
        <v>150.57</v>
      </c>
      <c r="AR82" s="178">
        <f t="shared" si="82"/>
        <v>0</v>
      </c>
      <c r="AS82" s="179">
        <f t="shared" si="82"/>
        <v>75.989999999999995</v>
      </c>
      <c r="AT82" s="178">
        <f t="shared" si="82"/>
        <v>0</v>
      </c>
      <c r="AU82" s="178">
        <f t="shared" si="82"/>
        <v>0</v>
      </c>
      <c r="AV82" s="178">
        <f t="shared" si="82"/>
        <v>0</v>
      </c>
      <c r="AW82" s="179">
        <f t="shared" si="82"/>
        <v>0</v>
      </c>
      <c r="AX82" s="178">
        <f t="shared" si="67"/>
        <v>0</v>
      </c>
      <c r="AY82" s="178">
        <f t="shared" si="68"/>
        <v>0</v>
      </c>
      <c r="AZ82" s="179">
        <f t="shared" si="69"/>
        <v>0</v>
      </c>
      <c r="BA82" s="184">
        <f t="shared" si="70"/>
        <v>131.19468749999999</v>
      </c>
      <c r="BB82" s="178">
        <f t="shared" si="71"/>
        <v>130.45830000000001</v>
      </c>
      <c r="BC82" s="184">
        <f t="shared" si="72"/>
        <v>0</v>
      </c>
      <c r="BD82" s="178">
        <f t="shared" si="73"/>
        <v>0</v>
      </c>
      <c r="BE82" s="251">
        <f t="shared" si="75"/>
        <v>1</v>
      </c>
      <c r="BF82" s="252">
        <f t="shared" si="76"/>
        <v>11400</v>
      </c>
      <c r="BH82" s="262">
        <f t="shared" si="62"/>
        <v>15.0000035</v>
      </c>
      <c r="BI82" s="262">
        <f t="shared" si="63"/>
        <v>226.56</v>
      </c>
      <c r="BJ82" s="262">
        <f t="shared" si="64"/>
        <v>0</v>
      </c>
      <c r="BK82" s="263">
        <f t="shared" si="65"/>
        <v>261.65298749999999</v>
      </c>
      <c r="BL82" s="269">
        <f t="shared" si="66"/>
        <v>0</v>
      </c>
      <c r="BM82" s="264">
        <f t="shared" si="77"/>
        <v>503.21299099999999</v>
      </c>
      <c r="BO82" s="732">
        <f t="shared" si="78"/>
        <v>44.141490438596492</v>
      </c>
    </row>
    <row r="83" spans="2:67" ht="15" customHeight="1" x14ac:dyDescent="0.25">
      <c r="B83" s="156">
        <f t="shared" si="44"/>
        <v>14</v>
      </c>
      <c r="C83" s="180" t="s">
        <v>576</v>
      </c>
      <c r="D83" s="181"/>
      <c r="E83" s="210" t="s">
        <v>104</v>
      </c>
      <c r="G83" s="488">
        <f>('Cust Specific'!R158)</f>
        <v>41.0959</v>
      </c>
      <c r="H83" s="490"/>
      <c r="I83" s="494">
        <f>'Cust Specific'!R161</f>
        <v>2.3900000000000001E-2</v>
      </c>
      <c r="J83" s="471"/>
      <c r="K83" s="495">
        <f>'Cust Specific'!R162</f>
        <v>1.49E-2</v>
      </c>
      <c r="L83" s="471"/>
      <c r="M83" s="471"/>
      <c r="N83" s="471"/>
      <c r="O83" s="472"/>
      <c r="P83" s="471"/>
      <c r="Q83" s="471"/>
      <c r="R83" s="472"/>
      <c r="S83" s="489">
        <f>'Cust Specific'!R159</f>
        <v>0.1065</v>
      </c>
      <c r="T83" s="494">
        <f>'Cust Specific'!R160</f>
        <v>0.1036</v>
      </c>
      <c r="U83" s="491"/>
      <c r="V83" s="492"/>
      <c r="X83" s="183">
        <f>'Q (t)'!G83</f>
        <v>365</v>
      </c>
      <c r="Y83" s="184">
        <f>'Q (t)'!H83</f>
        <v>0</v>
      </c>
      <c r="Z83" s="178">
        <f>'Q (t)'!I83</f>
        <v>11600</v>
      </c>
      <c r="AA83" s="178">
        <f>'Q (t)'!J83</f>
        <v>0</v>
      </c>
      <c r="AB83" s="179">
        <f>'Q (t)'!K83</f>
        <v>11600</v>
      </c>
      <c r="AC83" s="178">
        <f>'Q (t)'!L83</f>
        <v>0</v>
      </c>
      <c r="AD83" s="178">
        <f>'Q (t)'!M83</f>
        <v>0</v>
      </c>
      <c r="AE83" s="178">
        <f>'Q (t)'!N83</f>
        <v>0</v>
      </c>
      <c r="AF83" s="179">
        <f>'Q (t)'!O83</f>
        <v>0</v>
      </c>
      <c r="AG83" s="178">
        <f>'Q (t)'!P83</f>
        <v>0</v>
      </c>
      <c r="AH83" s="178">
        <f>'Q (t)'!Q83</f>
        <v>0</v>
      </c>
      <c r="AI83" s="179">
        <f>'Q (t)'!R83</f>
        <v>0</v>
      </c>
      <c r="AJ83" s="184">
        <f>'Q (t)'!S83</f>
        <v>1614030</v>
      </c>
      <c r="AK83" s="178">
        <f>'Q (t)'!T83</f>
        <v>1665860</v>
      </c>
      <c r="AL83" s="184">
        <f>'Q (t)'!U83</f>
        <v>0</v>
      </c>
      <c r="AM83" s="179">
        <f>'Q (t)'!V83</f>
        <v>0</v>
      </c>
      <c r="AO83" s="183">
        <f t="shared" si="74"/>
        <v>15.0000035</v>
      </c>
      <c r="AP83" s="184">
        <f t="shared" si="82"/>
        <v>0</v>
      </c>
      <c r="AQ83" s="178">
        <f t="shared" si="82"/>
        <v>277.24</v>
      </c>
      <c r="AR83" s="178">
        <f t="shared" si="82"/>
        <v>0</v>
      </c>
      <c r="AS83" s="179">
        <f t="shared" si="82"/>
        <v>172.84</v>
      </c>
      <c r="AT83" s="178">
        <f t="shared" si="82"/>
        <v>0</v>
      </c>
      <c r="AU83" s="178">
        <f t="shared" si="82"/>
        <v>0</v>
      </c>
      <c r="AV83" s="178">
        <f t="shared" si="82"/>
        <v>0</v>
      </c>
      <c r="AW83" s="179">
        <f t="shared" si="82"/>
        <v>0</v>
      </c>
      <c r="AX83" s="178">
        <f t="shared" si="67"/>
        <v>0</v>
      </c>
      <c r="AY83" s="178">
        <f t="shared" si="68"/>
        <v>0</v>
      </c>
      <c r="AZ83" s="179">
        <f t="shared" si="69"/>
        <v>0</v>
      </c>
      <c r="BA83" s="184">
        <f t="shared" si="70"/>
        <v>171.894195</v>
      </c>
      <c r="BB83" s="178">
        <f t="shared" si="71"/>
        <v>172.58309599999998</v>
      </c>
      <c r="BC83" s="184">
        <f t="shared" si="72"/>
        <v>0</v>
      </c>
      <c r="BD83" s="178">
        <f t="shared" si="73"/>
        <v>0</v>
      </c>
      <c r="BE83" s="251">
        <f t="shared" si="75"/>
        <v>1</v>
      </c>
      <c r="BF83" s="252">
        <f t="shared" si="76"/>
        <v>23200</v>
      </c>
      <c r="BH83" s="262">
        <f t="shared" si="62"/>
        <v>15.0000035</v>
      </c>
      <c r="BI83" s="262">
        <f t="shared" si="63"/>
        <v>450.08000000000004</v>
      </c>
      <c r="BJ83" s="262">
        <f t="shared" si="64"/>
        <v>0</v>
      </c>
      <c r="BK83" s="263">
        <f t="shared" si="65"/>
        <v>344.47729099999998</v>
      </c>
      <c r="BL83" s="269">
        <f t="shared" si="66"/>
        <v>0</v>
      </c>
      <c r="BM83" s="264">
        <f t="shared" si="77"/>
        <v>809.55729450000001</v>
      </c>
      <c r="BO83" s="732">
        <f t="shared" si="78"/>
        <v>34.894710969827585</v>
      </c>
    </row>
    <row r="84" spans="2:67" ht="15" customHeight="1" x14ac:dyDescent="0.25">
      <c r="B84" s="156">
        <f t="shared" si="44"/>
        <v>15</v>
      </c>
      <c r="C84" s="180" t="s">
        <v>659</v>
      </c>
      <c r="D84" s="181"/>
      <c r="E84" s="210" t="s">
        <v>104</v>
      </c>
      <c r="G84" s="488">
        <f>'Cust Specific'!R166</f>
        <v>391.32590000000005</v>
      </c>
      <c r="H84" s="490"/>
      <c r="I84" s="494">
        <f>'Cust Specific'!R169</f>
        <v>2.3900000000000001E-2</v>
      </c>
      <c r="J84" s="471"/>
      <c r="K84" s="495">
        <f>'Cust Specific'!R170</f>
        <v>1.49E-2</v>
      </c>
      <c r="L84" s="471"/>
      <c r="M84" s="471"/>
      <c r="N84" s="471"/>
      <c r="O84" s="472"/>
      <c r="P84" s="471"/>
      <c r="Q84" s="471"/>
      <c r="R84" s="472"/>
      <c r="S84" s="489">
        <f>'Cust Specific'!R167</f>
        <v>0.1065</v>
      </c>
      <c r="T84" s="494">
        <f>'Cust Specific'!R168</f>
        <v>0.1036</v>
      </c>
      <c r="U84" s="491"/>
      <c r="V84" s="492"/>
      <c r="X84" s="183">
        <f>'Q (t)'!G84</f>
        <v>365</v>
      </c>
      <c r="Y84" s="184">
        <f>'Q (t)'!H84</f>
        <v>0</v>
      </c>
      <c r="Z84" s="178">
        <f>'Q (t)'!I84</f>
        <v>10400</v>
      </c>
      <c r="AA84" s="178">
        <f>'Q (t)'!J84</f>
        <v>0</v>
      </c>
      <c r="AB84" s="179">
        <f>'Q (t)'!K84</f>
        <v>9600</v>
      </c>
      <c r="AC84" s="178">
        <f>'Q (t)'!L84</f>
        <v>0</v>
      </c>
      <c r="AD84" s="178">
        <f>'Q (t)'!M84</f>
        <v>0</v>
      </c>
      <c r="AE84" s="178">
        <f>'Q (t)'!N84</f>
        <v>0</v>
      </c>
      <c r="AF84" s="179">
        <f>'Q (t)'!O84</f>
        <v>0</v>
      </c>
      <c r="AG84" s="178">
        <f>'Q (t)'!P84</f>
        <v>0</v>
      </c>
      <c r="AH84" s="178">
        <f>'Q (t)'!Q84</f>
        <v>0</v>
      </c>
      <c r="AI84" s="179">
        <f>'Q (t)'!R84</f>
        <v>0</v>
      </c>
      <c r="AJ84" s="184">
        <f>'Q (t)'!S84</f>
        <v>1488105</v>
      </c>
      <c r="AK84" s="178">
        <f>'Q (t)'!T84</f>
        <v>1766235</v>
      </c>
      <c r="AL84" s="184">
        <f>'Q (t)'!U84</f>
        <v>0</v>
      </c>
      <c r="AM84" s="179">
        <f>'Q (t)'!V84</f>
        <v>0</v>
      </c>
      <c r="AO84" s="183">
        <f t="shared" ref="AO84" si="83">G84*X84/1000</f>
        <v>142.83395350000001</v>
      </c>
      <c r="AP84" s="184">
        <f t="shared" ref="AP84" si="84">H84*Y84</f>
        <v>0</v>
      </c>
      <c r="AQ84" s="178">
        <f t="shared" ref="AQ84" si="85">I84*Z84</f>
        <v>248.56</v>
      </c>
      <c r="AR84" s="178">
        <f t="shared" ref="AR84" si="86">J84*AA84</f>
        <v>0</v>
      </c>
      <c r="AS84" s="179">
        <f t="shared" ref="AS84" si="87">K84*AB84</f>
        <v>143.04</v>
      </c>
      <c r="AT84" s="178">
        <f t="shared" ref="AT84" si="88">L84*AC84</f>
        <v>0</v>
      </c>
      <c r="AU84" s="178">
        <f t="shared" ref="AU84" si="89">M84*AD84</f>
        <v>0</v>
      </c>
      <c r="AV84" s="178">
        <f t="shared" ref="AV84" si="90">N84*AE84</f>
        <v>0</v>
      </c>
      <c r="AW84" s="179">
        <f t="shared" ref="AW84" si="91">O84*AF84</f>
        <v>0</v>
      </c>
      <c r="AX84" s="178">
        <f t="shared" ref="AX84" si="92">P84*AG84/1000</f>
        <v>0</v>
      </c>
      <c r="AY84" s="178">
        <f t="shared" ref="AY84" si="93">Q84*AH84/1000</f>
        <v>0</v>
      </c>
      <c r="AZ84" s="179">
        <f t="shared" ref="AZ84" si="94">R84*AI84/1000</f>
        <v>0</v>
      </c>
      <c r="BA84" s="184">
        <f t="shared" ref="BA84" si="95">S84*AJ84/1000</f>
        <v>158.4831825</v>
      </c>
      <c r="BB84" s="178">
        <f t="shared" ref="BB84" si="96">T84*AK84/1000</f>
        <v>182.98194599999999</v>
      </c>
      <c r="BC84" s="184">
        <f t="shared" ref="BC84" si="97">U84*AL84/1000</f>
        <v>0</v>
      </c>
      <c r="BD84" s="178">
        <f t="shared" ref="BD84" si="98">V84*AM84/1000</f>
        <v>0</v>
      </c>
      <c r="BE84" s="251">
        <f t="shared" ref="BE84" si="99">X84/$BE$7</f>
        <v>1</v>
      </c>
      <c r="BF84" s="252">
        <f t="shared" ref="BF84" si="100">SUM(Y84:AF84)</f>
        <v>20000</v>
      </c>
      <c r="BH84" s="262">
        <f>SUM(AO84)</f>
        <v>142.83395350000001</v>
      </c>
      <c r="BI84" s="262">
        <f t="shared" ref="BI84" si="101">SUM(AP84:AS84)</f>
        <v>391.6</v>
      </c>
      <c r="BJ84" s="262">
        <f t="shared" ref="BJ84" si="102">SUM(AT84:AW84)</f>
        <v>0</v>
      </c>
      <c r="BK84" s="263">
        <f t="shared" ref="BK84" si="103">SUM(AX84:BB84)</f>
        <v>341.46512849999999</v>
      </c>
      <c r="BL84" s="269">
        <f t="shared" ref="BL84" si="104">SUM(BC84:BD84)</f>
        <v>0</v>
      </c>
      <c r="BM84" s="264">
        <f t="shared" ref="BM84" si="105">SUM(BH84:BL84)</f>
        <v>875.89908200000002</v>
      </c>
      <c r="BO84" s="732">
        <f t="shared" ref="BO84" si="106">IF(BF84=0,"",BM84*1000/BF84)</f>
        <v>43.794954100000005</v>
      </c>
    </row>
    <row r="85" spans="2:67" ht="15" customHeight="1" x14ac:dyDescent="0.25">
      <c r="B85" s="156">
        <f t="shared" si="44"/>
        <v>16</v>
      </c>
      <c r="C85" s="180" t="s">
        <v>577</v>
      </c>
      <c r="D85" s="181"/>
      <c r="E85" s="210" t="s">
        <v>104</v>
      </c>
      <c r="G85" s="488">
        <f>('Cust Specific'!R174)</f>
        <v>41.0959</v>
      </c>
      <c r="H85" s="490"/>
      <c r="I85" s="494">
        <f>'Cust Specific'!R177</f>
        <v>2.3900000000000001E-2</v>
      </c>
      <c r="J85" s="471"/>
      <c r="K85" s="495">
        <f>'Cust Specific'!R178</f>
        <v>1.49E-2</v>
      </c>
      <c r="L85" s="471"/>
      <c r="M85" s="471"/>
      <c r="N85" s="471"/>
      <c r="O85" s="472"/>
      <c r="P85" s="471"/>
      <c r="Q85" s="471"/>
      <c r="R85" s="472"/>
      <c r="S85" s="489">
        <f>'Cust Specific'!R175</f>
        <v>0.1065</v>
      </c>
      <c r="T85" s="494">
        <f>'Cust Specific'!R176</f>
        <v>0.1036</v>
      </c>
      <c r="U85" s="491"/>
      <c r="V85" s="492"/>
      <c r="X85" s="183">
        <f>'Q (t)'!G85</f>
        <v>365</v>
      </c>
      <c r="Y85" s="184">
        <f>'Q (t)'!H85</f>
        <v>0</v>
      </c>
      <c r="Z85" s="178">
        <f>'Q (t)'!I85</f>
        <v>6100</v>
      </c>
      <c r="AA85" s="178">
        <f>'Q (t)'!J85</f>
        <v>0</v>
      </c>
      <c r="AB85" s="179">
        <f>'Q (t)'!K85</f>
        <v>4900</v>
      </c>
      <c r="AC85" s="178">
        <f>'Q (t)'!L85</f>
        <v>0</v>
      </c>
      <c r="AD85" s="178">
        <f>'Q (t)'!M85</f>
        <v>0</v>
      </c>
      <c r="AE85" s="178">
        <f>'Q (t)'!N85</f>
        <v>0</v>
      </c>
      <c r="AF85" s="179">
        <f>'Q (t)'!O85</f>
        <v>0</v>
      </c>
      <c r="AG85" s="178">
        <f>'Q (t)'!P85</f>
        <v>0</v>
      </c>
      <c r="AH85" s="178">
        <f>'Q (t)'!Q85</f>
        <v>0</v>
      </c>
      <c r="AI85" s="179">
        <f>'Q (t)'!R85</f>
        <v>0</v>
      </c>
      <c r="AJ85" s="184">
        <f>'Q (t)'!S85</f>
        <v>968710</v>
      </c>
      <c r="AK85" s="178">
        <f>'Q (t)'!T85</f>
        <v>1090620</v>
      </c>
      <c r="AL85" s="184">
        <f>'Q (t)'!U85</f>
        <v>0</v>
      </c>
      <c r="AM85" s="179">
        <f>'Q (t)'!V85</f>
        <v>0</v>
      </c>
      <c r="AO85" s="183">
        <f t="shared" si="74"/>
        <v>15.0000035</v>
      </c>
      <c r="AP85" s="184">
        <f t="shared" si="82"/>
        <v>0</v>
      </c>
      <c r="AQ85" s="178">
        <f t="shared" si="82"/>
        <v>145.79000000000002</v>
      </c>
      <c r="AR85" s="178">
        <f t="shared" si="82"/>
        <v>0</v>
      </c>
      <c r="AS85" s="179">
        <f t="shared" si="82"/>
        <v>73.010000000000005</v>
      </c>
      <c r="AT85" s="178">
        <f t="shared" si="82"/>
        <v>0</v>
      </c>
      <c r="AU85" s="178">
        <f t="shared" si="82"/>
        <v>0</v>
      </c>
      <c r="AV85" s="178">
        <f t="shared" si="82"/>
        <v>0</v>
      </c>
      <c r="AW85" s="179">
        <f t="shared" si="82"/>
        <v>0</v>
      </c>
      <c r="AX85" s="178">
        <f t="shared" si="67"/>
        <v>0</v>
      </c>
      <c r="AY85" s="178">
        <f t="shared" si="68"/>
        <v>0</v>
      </c>
      <c r="AZ85" s="179">
        <f t="shared" si="69"/>
        <v>0</v>
      </c>
      <c r="BA85" s="184">
        <f t="shared" si="70"/>
        <v>103.16761499999998</v>
      </c>
      <c r="BB85" s="178">
        <f t="shared" si="71"/>
        <v>112.98823200000001</v>
      </c>
      <c r="BC85" s="184">
        <f t="shared" si="72"/>
        <v>0</v>
      </c>
      <c r="BD85" s="178">
        <f t="shared" si="73"/>
        <v>0</v>
      </c>
      <c r="BE85" s="251">
        <f t="shared" si="75"/>
        <v>1</v>
      </c>
      <c r="BF85" s="252">
        <f t="shared" si="76"/>
        <v>11000</v>
      </c>
      <c r="BH85" s="262">
        <f t="shared" si="62"/>
        <v>15.0000035</v>
      </c>
      <c r="BI85" s="262">
        <f t="shared" si="63"/>
        <v>218.8</v>
      </c>
      <c r="BJ85" s="262">
        <f t="shared" si="64"/>
        <v>0</v>
      </c>
      <c r="BK85" s="263">
        <f t="shared" si="65"/>
        <v>216.15584699999999</v>
      </c>
      <c r="BL85" s="269">
        <f t="shared" si="66"/>
        <v>0</v>
      </c>
      <c r="BM85" s="264">
        <f t="shared" si="77"/>
        <v>449.9558505</v>
      </c>
      <c r="BO85" s="732">
        <f t="shared" si="78"/>
        <v>40.905077318181817</v>
      </c>
    </row>
    <row r="86" spans="2:67" ht="15" customHeight="1" x14ac:dyDescent="0.25">
      <c r="B86" s="156">
        <f t="shared" si="44"/>
        <v>17</v>
      </c>
      <c r="C86" s="211"/>
      <c r="D86" s="212"/>
      <c r="E86" s="217"/>
      <c r="G86" s="493"/>
      <c r="H86" s="490"/>
      <c r="I86" s="471"/>
      <c r="J86" s="471"/>
      <c r="K86" s="472"/>
      <c r="L86" s="471"/>
      <c r="M86" s="471"/>
      <c r="N86" s="471"/>
      <c r="O86" s="472"/>
      <c r="P86" s="471"/>
      <c r="Q86" s="471"/>
      <c r="R86" s="472"/>
      <c r="S86" s="490"/>
      <c r="T86" s="471"/>
      <c r="U86" s="490"/>
      <c r="V86" s="472"/>
      <c r="X86" s="183">
        <f>'Q (t)'!G86</f>
        <v>0</v>
      </c>
      <c r="Y86" s="184">
        <f>'Q (t)'!H86</f>
        <v>0</v>
      </c>
      <c r="Z86" s="178">
        <f>'Q (t)'!I86</f>
        <v>0</v>
      </c>
      <c r="AA86" s="178">
        <f>'Q (t)'!J86</f>
        <v>0</v>
      </c>
      <c r="AB86" s="179">
        <f>'Q (t)'!K86</f>
        <v>0</v>
      </c>
      <c r="AC86" s="178">
        <f>'Q (t)'!L86</f>
        <v>0</v>
      </c>
      <c r="AD86" s="178">
        <f>'Q (t)'!M86</f>
        <v>0</v>
      </c>
      <c r="AE86" s="178">
        <f>'Q (t)'!N86</f>
        <v>0</v>
      </c>
      <c r="AF86" s="179">
        <f>'Q (t)'!O86</f>
        <v>0</v>
      </c>
      <c r="AG86" s="178">
        <f>'Q (t)'!P86</f>
        <v>0</v>
      </c>
      <c r="AH86" s="178">
        <f>'Q (t)'!Q86</f>
        <v>0</v>
      </c>
      <c r="AI86" s="179">
        <f>'Q (t)'!R86</f>
        <v>0</v>
      </c>
      <c r="AJ86" s="184">
        <f>'Q (t)'!S86</f>
        <v>0</v>
      </c>
      <c r="AK86" s="178">
        <f>'Q (t)'!T86</f>
        <v>0</v>
      </c>
      <c r="AL86" s="184">
        <f>'Q (t)'!U86</f>
        <v>0</v>
      </c>
      <c r="AM86" s="179">
        <f>'Q (t)'!V86</f>
        <v>0</v>
      </c>
      <c r="AO86" s="183">
        <f t="shared" si="74"/>
        <v>0</v>
      </c>
      <c r="AP86" s="184">
        <f t="shared" si="82"/>
        <v>0</v>
      </c>
      <c r="AQ86" s="178">
        <f t="shared" si="82"/>
        <v>0</v>
      </c>
      <c r="AR86" s="178">
        <f t="shared" si="82"/>
        <v>0</v>
      </c>
      <c r="AS86" s="179">
        <f t="shared" si="82"/>
        <v>0</v>
      </c>
      <c r="AT86" s="178">
        <f t="shared" si="82"/>
        <v>0</v>
      </c>
      <c r="AU86" s="178">
        <f t="shared" si="82"/>
        <v>0</v>
      </c>
      <c r="AV86" s="178">
        <f t="shared" si="82"/>
        <v>0</v>
      </c>
      <c r="AW86" s="179">
        <f t="shared" si="82"/>
        <v>0</v>
      </c>
      <c r="AX86" s="178">
        <f t="shared" si="67"/>
        <v>0</v>
      </c>
      <c r="AY86" s="178">
        <f t="shared" si="68"/>
        <v>0</v>
      </c>
      <c r="AZ86" s="179">
        <f t="shared" si="69"/>
        <v>0</v>
      </c>
      <c r="BA86" s="184">
        <f t="shared" si="70"/>
        <v>0</v>
      </c>
      <c r="BB86" s="178">
        <f t="shared" si="71"/>
        <v>0</v>
      </c>
      <c r="BC86" s="184">
        <f t="shared" si="72"/>
        <v>0</v>
      </c>
      <c r="BD86" s="178">
        <f t="shared" si="73"/>
        <v>0</v>
      </c>
      <c r="BE86" s="251">
        <f t="shared" si="75"/>
        <v>0</v>
      </c>
      <c r="BF86" s="252">
        <f t="shared" si="76"/>
        <v>0</v>
      </c>
      <c r="BH86" s="262">
        <f t="shared" si="62"/>
        <v>0</v>
      </c>
      <c r="BI86" s="262">
        <f t="shared" si="63"/>
        <v>0</v>
      </c>
      <c r="BJ86" s="262">
        <f t="shared" si="64"/>
        <v>0</v>
      </c>
      <c r="BK86" s="263">
        <f t="shared" si="65"/>
        <v>0</v>
      </c>
      <c r="BL86" s="269">
        <f t="shared" si="66"/>
        <v>0</v>
      </c>
      <c r="BM86" s="264">
        <f t="shared" si="77"/>
        <v>0</v>
      </c>
      <c r="BO86" s="732" t="str">
        <f t="shared" si="78"/>
        <v/>
      </c>
    </row>
    <row r="87" spans="2:67" ht="15" customHeight="1" x14ac:dyDescent="0.25">
      <c r="B87" s="156">
        <f>B86+1</f>
        <v>18</v>
      </c>
      <c r="C87" s="211"/>
      <c r="D87" s="212"/>
      <c r="E87" s="217"/>
      <c r="G87" s="493"/>
      <c r="H87" s="490"/>
      <c r="I87" s="471"/>
      <c r="J87" s="471"/>
      <c r="K87" s="472"/>
      <c r="L87" s="471"/>
      <c r="M87" s="471"/>
      <c r="N87" s="471"/>
      <c r="O87" s="472"/>
      <c r="P87" s="471"/>
      <c r="Q87" s="471"/>
      <c r="R87" s="472"/>
      <c r="S87" s="490"/>
      <c r="T87" s="471"/>
      <c r="U87" s="490"/>
      <c r="V87" s="472"/>
      <c r="X87" s="183">
        <f>'Q (t)'!G87</f>
        <v>0</v>
      </c>
      <c r="Y87" s="184">
        <f>'Q (t)'!H87</f>
        <v>0</v>
      </c>
      <c r="Z87" s="178">
        <f>'Q (t)'!I87</f>
        <v>0</v>
      </c>
      <c r="AA87" s="178">
        <f>'Q (t)'!J87</f>
        <v>0</v>
      </c>
      <c r="AB87" s="179">
        <f>'Q (t)'!K87</f>
        <v>0</v>
      </c>
      <c r="AC87" s="178">
        <f>'Q (t)'!L87</f>
        <v>0</v>
      </c>
      <c r="AD87" s="178">
        <f>'Q (t)'!M87</f>
        <v>0</v>
      </c>
      <c r="AE87" s="178">
        <f>'Q (t)'!N87</f>
        <v>0</v>
      </c>
      <c r="AF87" s="179">
        <f>'Q (t)'!O87</f>
        <v>0</v>
      </c>
      <c r="AG87" s="178">
        <f>'Q (t)'!P87</f>
        <v>0</v>
      </c>
      <c r="AH87" s="178">
        <f>'Q (t)'!Q87</f>
        <v>0</v>
      </c>
      <c r="AI87" s="179">
        <f>'Q (t)'!R87</f>
        <v>0</v>
      </c>
      <c r="AJ87" s="184">
        <f>'Q (t)'!S87</f>
        <v>0</v>
      </c>
      <c r="AK87" s="178">
        <f>'Q (t)'!T87</f>
        <v>0</v>
      </c>
      <c r="AL87" s="184">
        <f>'Q (t)'!U87</f>
        <v>0</v>
      </c>
      <c r="AM87" s="179">
        <f>'Q (t)'!V87</f>
        <v>0</v>
      </c>
      <c r="AO87" s="183">
        <f t="shared" si="74"/>
        <v>0</v>
      </c>
      <c r="AP87" s="184">
        <f t="shared" si="82"/>
        <v>0</v>
      </c>
      <c r="AQ87" s="178">
        <f t="shared" si="82"/>
        <v>0</v>
      </c>
      <c r="AR87" s="178">
        <f t="shared" si="82"/>
        <v>0</v>
      </c>
      <c r="AS87" s="179">
        <f t="shared" si="82"/>
        <v>0</v>
      </c>
      <c r="AT87" s="178">
        <f t="shared" si="82"/>
        <v>0</v>
      </c>
      <c r="AU87" s="178">
        <f t="shared" si="82"/>
        <v>0</v>
      </c>
      <c r="AV87" s="178">
        <f t="shared" si="82"/>
        <v>0</v>
      </c>
      <c r="AW87" s="179">
        <f t="shared" si="82"/>
        <v>0</v>
      </c>
      <c r="AX87" s="178">
        <f t="shared" si="67"/>
        <v>0</v>
      </c>
      <c r="AY87" s="178">
        <f t="shared" si="68"/>
        <v>0</v>
      </c>
      <c r="AZ87" s="179">
        <f t="shared" si="69"/>
        <v>0</v>
      </c>
      <c r="BA87" s="184">
        <f t="shared" si="70"/>
        <v>0</v>
      </c>
      <c r="BB87" s="178">
        <f t="shared" si="71"/>
        <v>0</v>
      </c>
      <c r="BC87" s="184">
        <f t="shared" si="72"/>
        <v>0</v>
      </c>
      <c r="BD87" s="178">
        <f t="shared" si="73"/>
        <v>0</v>
      </c>
      <c r="BE87" s="251">
        <f t="shared" si="75"/>
        <v>0</v>
      </c>
      <c r="BF87" s="252">
        <f t="shared" si="76"/>
        <v>0</v>
      </c>
      <c r="BH87" s="262">
        <f t="shared" si="62"/>
        <v>0</v>
      </c>
      <c r="BI87" s="262">
        <f t="shared" si="63"/>
        <v>0</v>
      </c>
      <c r="BJ87" s="262">
        <f t="shared" si="64"/>
        <v>0</v>
      </c>
      <c r="BK87" s="263">
        <f t="shared" si="65"/>
        <v>0</v>
      </c>
      <c r="BL87" s="269">
        <f t="shared" si="66"/>
        <v>0</v>
      </c>
      <c r="BM87" s="264">
        <f t="shared" si="77"/>
        <v>0</v>
      </c>
      <c r="BO87" s="732" t="str">
        <f t="shared" si="78"/>
        <v/>
      </c>
    </row>
    <row r="88" spans="2:67" ht="15" customHeight="1" x14ac:dyDescent="0.25">
      <c r="B88" s="156">
        <f t="shared" ref="B88:B91" si="107">B86+1</f>
        <v>18</v>
      </c>
      <c r="C88" s="211"/>
      <c r="D88" s="212"/>
      <c r="E88" s="217"/>
      <c r="G88" s="493"/>
      <c r="H88" s="490"/>
      <c r="I88" s="471"/>
      <c r="J88" s="471"/>
      <c r="K88" s="472"/>
      <c r="L88" s="471"/>
      <c r="M88" s="471"/>
      <c r="N88" s="471"/>
      <c r="O88" s="472"/>
      <c r="P88" s="471"/>
      <c r="Q88" s="471"/>
      <c r="R88" s="472"/>
      <c r="S88" s="490"/>
      <c r="T88" s="471"/>
      <c r="U88" s="490"/>
      <c r="V88" s="472"/>
      <c r="X88" s="183">
        <f>'Q (t)'!G88</f>
        <v>0</v>
      </c>
      <c r="Y88" s="184">
        <f>'Q (t)'!H88</f>
        <v>0</v>
      </c>
      <c r="Z88" s="178">
        <f>'Q (t)'!I88</f>
        <v>0</v>
      </c>
      <c r="AA88" s="178">
        <f>'Q (t)'!J88</f>
        <v>0</v>
      </c>
      <c r="AB88" s="179">
        <f>'Q (t)'!K88</f>
        <v>0</v>
      </c>
      <c r="AC88" s="178">
        <f>'Q (t)'!L88</f>
        <v>0</v>
      </c>
      <c r="AD88" s="178">
        <f>'Q (t)'!M88</f>
        <v>0</v>
      </c>
      <c r="AE88" s="178">
        <f>'Q (t)'!N88</f>
        <v>0</v>
      </c>
      <c r="AF88" s="179">
        <f>'Q (t)'!O88</f>
        <v>0</v>
      </c>
      <c r="AG88" s="178">
        <f>'Q (t)'!P88</f>
        <v>0</v>
      </c>
      <c r="AH88" s="178">
        <f>'Q (t)'!Q88</f>
        <v>0</v>
      </c>
      <c r="AI88" s="179">
        <f>'Q (t)'!R88</f>
        <v>0</v>
      </c>
      <c r="AJ88" s="184">
        <f>'Q (t)'!S88</f>
        <v>0</v>
      </c>
      <c r="AK88" s="178">
        <f>'Q (t)'!T88</f>
        <v>0</v>
      </c>
      <c r="AL88" s="184">
        <f>'Q (t)'!U88</f>
        <v>0</v>
      </c>
      <c r="AM88" s="179">
        <f>'Q (t)'!V88</f>
        <v>0</v>
      </c>
      <c r="AO88" s="183">
        <f t="shared" si="74"/>
        <v>0</v>
      </c>
      <c r="AP88" s="184">
        <f t="shared" si="82"/>
        <v>0</v>
      </c>
      <c r="AQ88" s="178">
        <f t="shared" si="82"/>
        <v>0</v>
      </c>
      <c r="AR88" s="178">
        <f t="shared" si="82"/>
        <v>0</v>
      </c>
      <c r="AS88" s="179">
        <f t="shared" si="82"/>
        <v>0</v>
      </c>
      <c r="AT88" s="178">
        <f t="shared" si="82"/>
        <v>0</v>
      </c>
      <c r="AU88" s="178">
        <f t="shared" si="82"/>
        <v>0</v>
      </c>
      <c r="AV88" s="178">
        <f t="shared" si="82"/>
        <v>0</v>
      </c>
      <c r="AW88" s="179">
        <f t="shared" si="82"/>
        <v>0</v>
      </c>
      <c r="AX88" s="178">
        <f t="shared" si="67"/>
        <v>0</v>
      </c>
      <c r="AY88" s="178">
        <f t="shared" si="68"/>
        <v>0</v>
      </c>
      <c r="AZ88" s="179">
        <f t="shared" si="69"/>
        <v>0</v>
      </c>
      <c r="BA88" s="184">
        <f t="shared" si="70"/>
        <v>0</v>
      </c>
      <c r="BB88" s="178">
        <f t="shared" si="71"/>
        <v>0</v>
      </c>
      <c r="BC88" s="184">
        <f t="shared" si="72"/>
        <v>0</v>
      </c>
      <c r="BD88" s="178">
        <f t="shared" si="73"/>
        <v>0</v>
      </c>
      <c r="BE88" s="251">
        <f t="shared" si="75"/>
        <v>0</v>
      </c>
      <c r="BF88" s="252">
        <f t="shared" si="76"/>
        <v>0</v>
      </c>
      <c r="BH88" s="262">
        <f t="shared" si="62"/>
        <v>0</v>
      </c>
      <c r="BI88" s="262">
        <f t="shared" si="63"/>
        <v>0</v>
      </c>
      <c r="BJ88" s="262">
        <f t="shared" si="64"/>
        <v>0</v>
      </c>
      <c r="BK88" s="263">
        <f t="shared" si="65"/>
        <v>0</v>
      </c>
      <c r="BL88" s="269">
        <f t="shared" si="66"/>
        <v>0</v>
      </c>
      <c r="BM88" s="264">
        <f t="shared" si="77"/>
        <v>0</v>
      </c>
      <c r="BO88" s="732" t="str">
        <f t="shared" si="78"/>
        <v/>
      </c>
    </row>
    <row r="89" spans="2:67" ht="15" customHeight="1" x14ac:dyDescent="0.25">
      <c r="B89" s="156">
        <f t="shared" si="107"/>
        <v>19</v>
      </c>
      <c r="C89" s="211"/>
      <c r="D89" s="212"/>
      <c r="E89" s="217"/>
      <c r="G89" s="493"/>
      <c r="H89" s="490"/>
      <c r="I89" s="471"/>
      <c r="J89" s="471"/>
      <c r="K89" s="472"/>
      <c r="L89" s="471"/>
      <c r="M89" s="471"/>
      <c r="N89" s="471"/>
      <c r="O89" s="472"/>
      <c r="P89" s="471"/>
      <c r="Q89" s="471"/>
      <c r="R89" s="472"/>
      <c r="S89" s="490"/>
      <c r="T89" s="471"/>
      <c r="U89" s="490"/>
      <c r="V89" s="472"/>
      <c r="X89" s="183">
        <f>'Q (t)'!G89</f>
        <v>0</v>
      </c>
      <c r="Y89" s="184">
        <f>'Q (t)'!H89</f>
        <v>0</v>
      </c>
      <c r="Z89" s="178">
        <f>'Q (t)'!I89</f>
        <v>0</v>
      </c>
      <c r="AA89" s="178">
        <f>'Q (t)'!J89</f>
        <v>0</v>
      </c>
      <c r="AB89" s="179">
        <f>'Q (t)'!K89</f>
        <v>0</v>
      </c>
      <c r="AC89" s="178">
        <f>'Q (t)'!L89</f>
        <v>0</v>
      </c>
      <c r="AD89" s="178">
        <f>'Q (t)'!M89</f>
        <v>0</v>
      </c>
      <c r="AE89" s="178">
        <f>'Q (t)'!N89</f>
        <v>0</v>
      </c>
      <c r="AF89" s="179">
        <f>'Q (t)'!O89</f>
        <v>0</v>
      </c>
      <c r="AG89" s="178">
        <f>'Q (t)'!P89</f>
        <v>0</v>
      </c>
      <c r="AH89" s="178">
        <f>'Q (t)'!Q89</f>
        <v>0</v>
      </c>
      <c r="AI89" s="179">
        <f>'Q (t)'!R89</f>
        <v>0</v>
      </c>
      <c r="AJ89" s="184">
        <f>'Q (t)'!S89</f>
        <v>0</v>
      </c>
      <c r="AK89" s="178">
        <f>'Q (t)'!T89</f>
        <v>0</v>
      </c>
      <c r="AL89" s="184">
        <f>'Q (t)'!U89</f>
        <v>0</v>
      </c>
      <c r="AM89" s="179">
        <f>'Q (t)'!V89</f>
        <v>0</v>
      </c>
      <c r="AO89" s="183">
        <f t="shared" si="74"/>
        <v>0</v>
      </c>
      <c r="AP89" s="184">
        <f t="shared" si="82"/>
        <v>0</v>
      </c>
      <c r="AQ89" s="178">
        <f t="shared" si="82"/>
        <v>0</v>
      </c>
      <c r="AR89" s="178">
        <f t="shared" si="82"/>
        <v>0</v>
      </c>
      <c r="AS89" s="179">
        <f t="shared" si="82"/>
        <v>0</v>
      </c>
      <c r="AT89" s="178">
        <f t="shared" si="82"/>
        <v>0</v>
      </c>
      <c r="AU89" s="178">
        <f t="shared" si="82"/>
        <v>0</v>
      </c>
      <c r="AV89" s="178">
        <f t="shared" si="82"/>
        <v>0</v>
      </c>
      <c r="AW89" s="179">
        <f t="shared" si="82"/>
        <v>0</v>
      </c>
      <c r="AX89" s="178">
        <f t="shared" si="67"/>
        <v>0</v>
      </c>
      <c r="AY89" s="178">
        <f t="shared" si="68"/>
        <v>0</v>
      </c>
      <c r="AZ89" s="179">
        <f t="shared" si="69"/>
        <v>0</v>
      </c>
      <c r="BA89" s="184">
        <f t="shared" si="70"/>
        <v>0</v>
      </c>
      <c r="BB89" s="178">
        <f t="shared" si="71"/>
        <v>0</v>
      </c>
      <c r="BC89" s="184">
        <f t="shared" si="72"/>
        <v>0</v>
      </c>
      <c r="BD89" s="178">
        <f t="shared" si="73"/>
        <v>0</v>
      </c>
      <c r="BE89" s="251">
        <f t="shared" si="75"/>
        <v>0</v>
      </c>
      <c r="BF89" s="252">
        <f t="shared" si="76"/>
        <v>0</v>
      </c>
      <c r="BH89" s="262">
        <f t="shared" si="62"/>
        <v>0</v>
      </c>
      <c r="BI89" s="262">
        <f t="shared" si="63"/>
        <v>0</v>
      </c>
      <c r="BJ89" s="262">
        <f t="shared" si="64"/>
        <v>0</v>
      </c>
      <c r="BK89" s="263">
        <f t="shared" si="65"/>
        <v>0</v>
      </c>
      <c r="BL89" s="269">
        <f t="shared" si="66"/>
        <v>0</v>
      </c>
      <c r="BM89" s="264">
        <f t="shared" si="77"/>
        <v>0</v>
      </c>
      <c r="BO89" s="732" t="str">
        <f t="shared" si="78"/>
        <v/>
      </c>
    </row>
    <row r="90" spans="2:67" ht="15" customHeight="1" x14ac:dyDescent="0.25">
      <c r="B90" s="156">
        <f t="shared" si="107"/>
        <v>19</v>
      </c>
      <c r="C90" s="211"/>
      <c r="D90" s="212"/>
      <c r="E90" s="217"/>
      <c r="G90" s="493"/>
      <c r="H90" s="490"/>
      <c r="I90" s="471"/>
      <c r="J90" s="471"/>
      <c r="K90" s="472"/>
      <c r="L90" s="471"/>
      <c r="M90" s="471"/>
      <c r="N90" s="471"/>
      <c r="O90" s="472"/>
      <c r="P90" s="471"/>
      <c r="Q90" s="471"/>
      <c r="R90" s="472"/>
      <c r="S90" s="490"/>
      <c r="T90" s="471"/>
      <c r="U90" s="490"/>
      <c r="V90" s="472"/>
      <c r="X90" s="183">
        <f>'Q (t)'!G90</f>
        <v>0</v>
      </c>
      <c r="Y90" s="184">
        <f>'Q (t)'!H90</f>
        <v>0</v>
      </c>
      <c r="Z90" s="178">
        <f>'Q (t)'!I90</f>
        <v>0</v>
      </c>
      <c r="AA90" s="178">
        <f>'Q (t)'!J90</f>
        <v>0</v>
      </c>
      <c r="AB90" s="179">
        <f>'Q (t)'!K90</f>
        <v>0</v>
      </c>
      <c r="AC90" s="178">
        <f>'Q (t)'!L90</f>
        <v>0</v>
      </c>
      <c r="AD90" s="178">
        <f>'Q (t)'!M90</f>
        <v>0</v>
      </c>
      <c r="AE90" s="178">
        <f>'Q (t)'!N90</f>
        <v>0</v>
      </c>
      <c r="AF90" s="179">
        <f>'Q (t)'!O90</f>
        <v>0</v>
      </c>
      <c r="AG90" s="178">
        <f>'Q (t)'!P90</f>
        <v>0</v>
      </c>
      <c r="AH90" s="178">
        <f>'Q (t)'!Q90</f>
        <v>0</v>
      </c>
      <c r="AI90" s="179">
        <f>'Q (t)'!R90</f>
        <v>0</v>
      </c>
      <c r="AJ90" s="184">
        <f>'Q (t)'!S90</f>
        <v>0</v>
      </c>
      <c r="AK90" s="178">
        <f>'Q (t)'!T90</f>
        <v>0</v>
      </c>
      <c r="AL90" s="184">
        <f>'Q (t)'!U90</f>
        <v>0</v>
      </c>
      <c r="AM90" s="179">
        <f>'Q (t)'!V90</f>
        <v>0</v>
      </c>
      <c r="AO90" s="183">
        <f t="shared" si="74"/>
        <v>0</v>
      </c>
      <c r="AP90" s="184">
        <f t="shared" si="82"/>
        <v>0</v>
      </c>
      <c r="AQ90" s="178">
        <f t="shared" si="82"/>
        <v>0</v>
      </c>
      <c r="AR90" s="178">
        <f t="shared" si="82"/>
        <v>0</v>
      </c>
      <c r="AS90" s="179">
        <f t="shared" si="82"/>
        <v>0</v>
      </c>
      <c r="AT90" s="178">
        <f t="shared" si="82"/>
        <v>0</v>
      </c>
      <c r="AU90" s="178">
        <f t="shared" si="82"/>
        <v>0</v>
      </c>
      <c r="AV90" s="178">
        <f t="shared" si="82"/>
        <v>0</v>
      </c>
      <c r="AW90" s="179">
        <f t="shared" si="82"/>
        <v>0</v>
      </c>
      <c r="AX90" s="178">
        <f t="shared" si="67"/>
        <v>0</v>
      </c>
      <c r="AY90" s="178">
        <f t="shared" si="68"/>
        <v>0</v>
      </c>
      <c r="AZ90" s="179">
        <f t="shared" si="69"/>
        <v>0</v>
      </c>
      <c r="BA90" s="184">
        <f t="shared" si="70"/>
        <v>0</v>
      </c>
      <c r="BB90" s="178">
        <f t="shared" si="71"/>
        <v>0</v>
      </c>
      <c r="BC90" s="184">
        <f t="shared" si="72"/>
        <v>0</v>
      </c>
      <c r="BD90" s="178">
        <f t="shared" si="73"/>
        <v>0</v>
      </c>
      <c r="BE90" s="251">
        <f t="shared" si="75"/>
        <v>0</v>
      </c>
      <c r="BF90" s="252">
        <f t="shared" si="76"/>
        <v>0</v>
      </c>
      <c r="BH90" s="262">
        <f t="shared" si="62"/>
        <v>0</v>
      </c>
      <c r="BI90" s="262">
        <f t="shared" si="63"/>
        <v>0</v>
      </c>
      <c r="BJ90" s="262">
        <f t="shared" si="64"/>
        <v>0</v>
      </c>
      <c r="BK90" s="263">
        <f t="shared" si="65"/>
        <v>0</v>
      </c>
      <c r="BL90" s="269">
        <f t="shared" si="66"/>
        <v>0</v>
      </c>
      <c r="BM90" s="264">
        <f t="shared" si="77"/>
        <v>0</v>
      </c>
      <c r="BO90" s="732" t="str">
        <f t="shared" si="78"/>
        <v/>
      </c>
    </row>
    <row r="91" spans="2:67" ht="15" customHeight="1" x14ac:dyDescent="0.25">
      <c r="B91" s="162">
        <f t="shared" si="107"/>
        <v>20</v>
      </c>
      <c r="C91" s="214"/>
      <c r="D91" s="215"/>
      <c r="E91" s="218"/>
      <c r="G91" s="509"/>
      <c r="H91" s="502"/>
      <c r="I91" s="498"/>
      <c r="J91" s="498"/>
      <c r="K91" s="499"/>
      <c r="L91" s="498"/>
      <c r="M91" s="498"/>
      <c r="N91" s="498"/>
      <c r="O91" s="499"/>
      <c r="P91" s="498"/>
      <c r="Q91" s="498"/>
      <c r="R91" s="499"/>
      <c r="S91" s="502"/>
      <c r="T91" s="498"/>
      <c r="U91" s="502"/>
      <c r="V91" s="499"/>
      <c r="X91" s="190">
        <f>'Q (t)'!G91</f>
        <v>0</v>
      </c>
      <c r="Y91" s="197">
        <f>'Q (t)'!H91</f>
        <v>0</v>
      </c>
      <c r="Z91" s="192">
        <f>'Q (t)'!I91</f>
        <v>0</v>
      </c>
      <c r="AA91" s="192">
        <f>'Q (t)'!J91</f>
        <v>0</v>
      </c>
      <c r="AB91" s="193">
        <f>'Q (t)'!K91</f>
        <v>0</v>
      </c>
      <c r="AC91" s="192">
        <f>'Q (t)'!L91</f>
        <v>0</v>
      </c>
      <c r="AD91" s="192">
        <f>'Q (t)'!M91</f>
        <v>0</v>
      </c>
      <c r="AE91" s="192">
        <f>'Q (t)'!N91</f>
        <v>0</v>
      </c>
      <c r="AF91" s="193">
        <f>'Q (t)'!O91</f>
        <v>0</v>
      </c>
      <c r="AG91" s="192">
        <f>'Q (t)'!P91</f>
        <v>0</v>
      </c>
      <c r="AH91" s="192">
        <f>'Q (t)'!Q91</f>
        <v>0</v>
      </c>
      <c r="AI91" s="193">
        <f>'Q (t)'!R91</f>
        <v>0</v>
      </c>
      <c r="AJ91" s="197">
        <f>'Q (t)'!S91</f>
        <v>0</v>
      </c>
      <c r="AK91" s="192">
        <f>'Q (t)'!T91</f>
        <v>0</v>
      </c>
      <c r="AL91" s="197">
        <f>'Q (t)'!U91</f>
        <v>0</v>
      </c>
      <c r="AM91" s="193">
        <f>'Q (t)'!V91</f>
        <v>0</v>
      </c>
      <c r="AO91" s="190">
        <f t="shared" si="74"/>
        <v>0</v>
      </c>
      <c r="AP91" s="197">
        <f t="shared" si="82"/>
        <v>0</v>
      </c>
      <c r="AQ91" s="192">
        <f t="shared" si="82"/>
        <v>0</v>
      </c>
      <c r="AR91" s="192">
        <f t="shared" si="82"/>
        <v>0</v>
      </c>
      <c r="AS91" s="193">
        <f t="shared" si="82"/>
        <v>0</v>
      </c>
      <c r="AT91" s="192">
        <f t="shared" si="82"/>
        <v>0</v>
      </c>
      <c r="AU91" s="192">
        <f t="shared" si="82"/>
        <v>0</v>
      </c>
      <c r="AV91" s="192">
        <f t="shared" si="82"/>
        <v>0</v>
      </c>
      <c r="AW91" s="193">
        <f t="shared" si="82"/>
        <v>0</v>
      </c>
      <c r="AX91" s="192">
        <f t="shared" si="67"/>
        <v>0</v>
      </c>
      <c r="AY91" s="192">
        <f t="shared" si="68"/>
        <v>0</v>
      </c>
      <c r="AZ91" s="193">
        <f t="shared" si="69"/>
        <v>0</v>
      </c>
      <c r="BA91" s="197">
        <f t="shared" si="70"/>
        <v>0</v>
      </c>
      <c r="BB91" s="192">
        <f t="shared" si="71"/>
        <v>0</v>
      </c>
      <c r="BC91" s="197">
        <f t="shared" si="72"/>
        <v>0</v>
      </c>
      <c r="BD91" s="192">
        <f t="shared" si="73"/>
        <v>0</v>
      </c>
      <c r="BE91" s="253">
        <f t="shared" si="75"/>
        <v>0</v>
      </c>
      <c r="BF91" s="254">
        <f t="shared" si="76"/>
        <v>0</v>
      </c>
      <c r="BH91" s="262">
        <f t="shared" ref="BH91" si="108">SUM(AO91)</f>
        <v>0</v>
      </c>
      <c r="BI91" s="262">
        <f t="shared" ref="BI91" si="109">SUM(AP91:AS91)</f>
        <v>0</v>
      </c>
      <c r="BJ91" s="262">
        <f t="shared" ref="BJ91" si="110">SUM(AT91:AW91)</f>
        <v>0</v>
      </c>
      <c r="BK91" s="263">
        <f t="shared" ref="BK91" si="111">SUM(AX91:BB91)</f>
        <v>0</v>
      </c>
      <c r="BL91" s="269">
        <f t="shared" ref="BL91" si="112">SUM(BC91:BD91)</f>
        <v>0</v>
      </c>
      <c r="BM91" s="264">
        <f t="shared" si="77"/>
        <v>0</v>
      </c>
      <c r="BO91" s="732" t="str">
        <f t="shared" si="78"/>
        <v/>
      </c>
    </row>
    <row r="92" spans="2:67" ht="15" customHeight="1" x14ac:dyDescent="0.25">
      <c r="B92" s="172" t="s">
        <v>112</v>
      </c>
      <c r="C92" s="126" t="s">
        <v>113</v>
      </c>
      <c r="D92" s="126"/>
      <c r="E92" s="219"/>
      <c r="G92" s="493"/>
      <c r="H92" s="490"/>
      <c r="I92" s="471"/>
      <c r="J92" s="471"/>
      <c r="K92" s="472"/>
      <c r="L92" s="471"/>
      <c r="M92" s="471"/>
      <c r="N92" s="471"/>
      <c r="O92" s="472"/>
      <c r="P92" s="471"/>
      <c r="Q92" s="471"/>
      <c r="R92" s="472"/>
      <c r="S92" s="490"/>
      <c r="T92" s="471"/>
      <c r="U92" s="490"/>
      <c r="V92" s="472"/>
      <c r="X92" s="183">
        <f>'Q (t)'!G92</f>
        <v>0</v>
      </c>
      <c r="Y92" s="184">
        <f>'Q (t)'!H92</f>
        <v>0</v>
      </c>
      <c r="Z92" s="178">
        <f>'Q (t)'!I92</f>
        <v>0</v>
      </c>
      <c r="AA92" s="178">
        <f>'Q (t)'!J92</f>
        <v>0</v>
      </c>
      <c r="AB92" s="179">
        <f>'Q (t)'!K92</f>
        <v>0</v>
      </c>
      <c r="AC92" s="178">
        <f>'Q (t)'!L92</f>
        <v>0</v>
      </c>
      <c r="AD92" s="178">
        <f>'Q (t)'!M92</f>
        <v>0</v>
      </c>
      <c r="AE92" s="178">
        <f>'Q (t)'!N92</f>
        <v>0</v>
      </c>
      <c r="AF92" s="179">
        <f>'Q (t)'!O92</f>
        <v>0</v>
      </c>
      <c r="AG92" s="178">
        <f>'Q (t)'!P92</f>
        <v>0</v>
      </c>
      <c r="AH92" s="178">
        <f>'Q (t)'!Q92</f>
        <v>0</v>
      </c>
      <c r="AI92" s="179">
        <f>'Q (t)'!R92</f>
        <v>0</v>
      </c>
      <c r="AJ92" s="184">
        <f>'Q (t)'!S92</f>
        <v>0</v>
      </c>
      <c r="AK92" s="178">
        <f>'Q (t)'!T92</f>
        <v>0</v>
      </c>
      <c r="AL92" s="184">
        <f>'Q (t)'!U92</f>
        <v>0</v>
      </c>
      <c r="AM92" s="179">
        <f>'Q (t)'!V92</f>
        <v>0</v>
      </c>
      <c r="AO92" s="183">
        <f t="shared" si="74"/>
        <v>0</v>
      </c>
      <c r="AP92" s="184">
        <f t="shared" si="82"/>
        <v>0</v>
      </c>
      <c r="AQ92" s="178">
        <f t="shared" si="82"/>
        <v>0</v>
      </c>
      <c r="AR92" s="178">
        <f t="shared" si="82"/>
        <v>0</v>
      </c>
      <c r="AS92" s="179">
        <f t="shared" si="82"/>
        <v>0</v>
      </c>
      <c r="AT92" s="178">
        <f t="shared" si="82"/>
        <v>0</v>
      </c>
      <c r="AU92" s="178">
        <f t="shared" si="82"/>
        <v>0</v>
      </c>
      <c r="AV92" s="178">
        <f t="shared" si="82"/>
        <v>0</v>
      </c>
      <c r="AW92" s="179">
        <f t="shared" si="82"/>
        <v>0</v>
      </c>
      <c r="AX92" s="178">
        <f t="shared" si="67"/>
        <v>0</v>
      </c>
      <c r="AY92" s="178">
        <f t="shared" si="68"/>
        <v>0</v>
      </c>
      <c r="AZ92" s="179">
        <f t="shared" si="69"/>
        <v>0</v>
      </c>
      <c r="BA92" s="184">
        <f t="shared" si="70"/>
        <v>0</v>
      </c>
      <c r="BB92" s="178">
        <f t="shared" si="71"/>
        <v>0</v>
      </c>
      <c r="BC92" s="184">
        <f t="shared" si="72"/>
        <v>0</v>
      </c>
      <c r="BD92" s="178">
        <f t="shared" si="73"/>
        <v>0</v>
      </c>
      <c r="BE92" s="251">
        <f t="shared" si="75"/>
        <v>0</v>
      </c>
      <c r="BF92" s="252">
        <f t="shared" si="76"/>
        <v>0</v>
      </c>
      <c r="BH92" s="260">
        <f>SUBTOTAL(9,BH93:BH126)</f>
        <v>1189.1407999999999</v>
      </c>
      <c r="BI92" s="260">
        <f>SUBTOTAL(9,BI93:BI126)</f>
        <v>3336.1146619535998</v>
      </c>
      <c r="BJ92" s="260">
        <f>SUBTOTAL(9,BJ93:BJ126)</f>
        <v>0</v>
      </c>
      <c r="BK92" s="260">
        <f>SUBTOTAL(9,BK93:BK126)</f>
        <v>7890.0360401859998</v>
      </c>
      <c r="BL92" s="260">
        <f>SUBTOTAL(9,BL93:BL126)</f>
        <v>0</v>
      </c>
      <c r="BM92" s="264">
        <f t="shared" si="77"/>
        <v>12415.2915021396</v>
      </c>
      <c r="BO92" s="732" t="str">
        <f t="shared" si="78"/>
        <v/>
      </c>
    </row>
    <row r="93" spans="2:67" ht="15" customHeight="1" x14ac:dyDescent="0.25">
      <c r="B93" s="156"/>
      <c r="C93" s="126" t="s">
        <v>114</v>
      </c>
      <c r="D93" s="202"/>
      <c r="E93" s="202"/>
      <c r="G93" s="493"/>
      <c r="H93" s="490"/>
      <c r="I93" s="471"/>
      <c r="J93" s="471"/>
      <c r="K93" s="472"/>
      <c r="L93" s="471"/>
      <c r="M93" s="471"/>
      <c r="N93" s="471"/>
      <c r="O93" s="472"/>
      <c r="P93" s="471"/>
      <c r="Q93" s="471"/>
      <c r="R93" s="472"/>
      <c r="S93" s="490"/>
      <c r="T93" s="471"/>
      <c r="U93" s="490"/>
      <c r="V93" s="472"/>
      <c r="X93" s="183">
        <f>'Q (t)'!G93</f>
        <v>0</v>
      </c>
      <c r="Y93" s="184">
        <f>'Q (t)'!H93</f>
        <v>0</v>
      </c>
      <c r="Z93" s="178">
        <f>'Q (t)'!I93</f>
        <v>0</v>
      </c>
      <c r="AA93" s="178">
        <f>'Q (t)'!J93</f>
        <v>0</v>
      </c>
      <c r="AB93" s="179">
        <f>'Q (t)'!K93</f>
        <v>0</v>
      </c>
      <c r="AC93" s="178">
        <f>'Q (t)'!L93</f>
        <v>0</v>
      </c>
      <c r="AD93" s="178">
        <f>'Q (t)'!M93</f>
        <v>0</v>
      </c>
      <c r="AE93" s="178">
        <f>'Q (t)'!N93</f>
        <v>0</v>
      </c>
      <c r="AF93" s="179">
        <f>'Q (t)'!O93</f>
        <v>0</v>
      </c>
      <c r="AG93" s="178">
        <f>'Q (t)'!P93</f>
        <v>0</v>
      </c>
      <c r="AH93" s="178">
        <f>'Q (t)'!Q93</f>
        <v>0</v>
      </c>
      <c r="AI93" s="179">
        <f>'Q (t)'!R93</f>
        <v>0</v>
      </c>
      <c r="AJ93" s="184">
        <f>'Q (t)'!S93</f>
        <v>0</v>
      </c>
      <c r="AK93" s="178">
        <f>'Q (t)'!T93</f>
        <v>0</v>
      </c>
      <c r="AL93" s="184">
        <f>'Q (t)'!U93</f>
        <v>0</v>
      </c>
      <c r="AM93" s="179">
        <f>'Q (t)'!V93</f>
        <v>0</v>
      </c>
      <c r="AO93" s="183">
        <f t="shared" si="74"/>
        <v>0</v>
      </c>
      <c r="AP93" s="184">
        <f t="shared" si="82"/>
        <v>0</v>
      </c>
      <c r="AQ93" s="178">
        <f t="shared" si="82"/>
        <v>0</v>
      </c>
      <c r="AR93" s="178">
        <f t="shared" si="82"/>
        <v>0</v>
      </c>
      <c r="AS93" s="179">
        <f t="shared" si="82"/>
        <v>0</v>
      </c>
      <c r="AT93" s="178">
        <f t="shared" si="82"/>
        <v>0</v>
      </c>
      <c r="AU93" s="178">
        <f t="shared" si="82"/>
        <v>0</v>
      </c>
      <c r="AV93" s="178">
        <f t="shared" si="82"/>
        <v>0</v>
      </c>
      <c r="AW93" s="179">
        <f t="shared" si="82"/>
        <v>0</v>
      </c>
      <c r="AX93" s="178">
        <f t="shared" si="67"/>
        <v>0</v>
      </c>
      <c r="AY93" s="178">
        <f t="shared" si="68"/>
        <v>0</v>
      </c>
      <c r="AZ93" s="179">
        <f t="shared" si="69"/>
        <v>0</v>
      </c>
      <c r="BA93" s="184">
        <f t="shared" si="70"/>
        <v>0</v>
      </c>
      <c r="BB93" s="178">
        <f t="shared" si="71"/>
        <v>0</v>
      </c>
      <c r="BC93" s="184">
        <f t="shared" si="72"/>
        <v>0</v>
      </c>
      <c r="BD93" s="178">
        <f t="shared" si="73"/>
        <v>0</v>
      </c>
      <c r="BE93" s="251">
        <f t="shared" si="75"/>
        <v>0</v>
      </c>
      <c r="BF93" s="252">
        <f t="shared" si="76"/>
        <v>0</v>
      </c>
      <c r="BH93" s="259">
        <f>SUBTOTAL(9,BH94:BH100)</f>
        <v>628.46430000000009</v>
      </c>
      <c r="BI93" s="259">
        <f>SUBTOTAL(9,BI94:BI100)</f>
        <v>463.18034158880005</v>
      </c>
      <c r="BJ93" s="259">
        <f>SUBTOTAL(9,BJ94:BJ100)</f>
        <v>0</v>
      </c>
      <c r="BK93" s="259">
        <f>SUBTOTAL(9,BK94:BK100)</f>
        <v>1294.2977273419999</v>
      </c>
      <c r="BL93" s="259">
        <f>SUBTOTAL(9,BL94:BL100)</f>
        <v>0</v>
      </c>
      <c r="BM93" s="264">
        <f t="shared" si="77"/>
        <v>2385.9423689308001</v>
      </c>
      <c r="BO93" s="732" t="str">
        <f t="shared" si="78"/>
        <v/>
      </c>
    </row>
    <row r="94" spans="2:67" ht="15" customHeight="1" x14ac:dyDescent="0.25">
      <c r="B94" s="156">
        <v>1</v>
      </c>
      <c r="C94" s="180" t="s">
        <v>115</v>
      </c>
      <c r="D94" s="181"/>
      <c r="E94" s="210" t="s">
        <v>116</v>
      </c>
      <c r="G94" s="488">
        <v>0</v>
      </c>
      <c r="H94" s="489">
        <v>4.4000000000000003E-3</v>
      </c>
      <c r="I94" s="471"/>
      <c r="J94" s="471"/>
      <c r="K94" s="472"/>
      <c r="L94" s="471"/>
      <c r="M94" s="471"/>
      <c r="N94" s="471"/>
      <c r="O94" s="472"/>
      <c r="P94" s="471"/>
      <c r="Q94" s="471"/>
      <c r="R94" s="472"/>
      <c r="S94" s="489">
        <v>4.1399999999999999E-2</v>
      </c>
      <c r="T94" s="494">
        <v>7.3999999999999996E-2</v>
      </c>
      <c r="U94" s="491"/>
      <c r="V94" s="492"/>
      <c r="X94" s="183">
        <f>'Q (t)'!G94</f>
        <v>0</v>
      </c>
      <c r="Y94" s="184">
        <f>'Q (t)'!H94</f>
        <v>0</v>
      </c>
      <c r="Z94" s="178">
        <f>'Q (t)'!I94</f>
        <v>0</v>
      </c>
      <c r="AA94" s="178">
        <f>'Q (t)'!J94</f>
        <v>0</v>
      </c>
      <c r="AB94" s="179">
        <f>'Q (t)'!K94</f>
        <v>0</v>
      </c>
      <c r="AC94" s="178">
        <f>'Q (t)'!L94</f>
        <v>0</v>
      </c>
      <c r="AD94" s="178">
        <f>'Q (t)'!M94</f>
        <v>0</v>
      </c>
      <c r="AE94" s="178">
        <f>'Q (t)'!N94</f>
        <v>0</v>
      </c>
      <c r="AF94" s="179">
        <f>'Q (t)'!O94</f>
        <v>0</v>
      </c>
      <c r="AG94" s="178">
        <f>'Q (t)'!P94</f>
        <v>0</v>
      </c>
      <c r="AH94" s="178">
        <f>'Q (t)'!Q94</f>
        <v>0</v>
      </c>
      <c r="AI94" s="179">
        <f>'Q (t)'!R94</f>
        <v>0</v>
      </c>
      <c r="AJ94" s="184">
        <f>'Q (t)'!S94</f>
        <v>0</v>
      </c>
      <c r="AK94" s="178">
        <f>'Q (t)'!T94</f>
        <v>0</v>
      </c>
      <c r="AL94" s="184">
        <f>'Q (t)'!U94</f>
        <v>0</v>
      </c>
      <c r="AM94" s="179">
        <f>'Q (t)'!V94</f>
        <v>0</v>
      </c>
      <c r="AO94" s="183">
        <f t="shared" si="74"/>
        <v>0</v>
      </c>
      <c r="AP94" s="184">
        <f t="shared" si="82"/>
        <v>0</v>
      </c>
      <c r="AQ94" s="178">
        <f t="shared" si="82"/>
        <v>0</v>
      </c>
      <c r="AR94" s="178">
        <f t="shared" si="82"/>
        <v>0</v>
      </c>
      <c r="AS94" s="179">
        <f t="shared" si="82"/>
        <v>0</v>
      </c>
      <c r="AT94" s="178">
        <f t="shared" si="82"/>
        <v>0</v>
      </c>
      <c r="AU94" s="178">
        <f t="shared" si="82"/>
        <v>0</v>
      </c>
      <c r="AV94" s="178">
        <f t="shared" si="82"/>
        <v>0</v>
      </c>
      <c r="AW94" s="179">
        <f t="shared" si="82"/>
        <v>0</v>
      </c>
      <c r="AX94" s="178">
        <f t="shared" si="67"/>
        <v>0</v>
      </c>
      <c r="AY94" s="178">
        <f t="shared" si="68"/>
        <v>0</v>
      </c>
      <c r="AZ94" s="179">
        <f t="shared" si="69"/>
        <v>0</v>
      </c>
      <c r="BA94" s="184">
        <f t="shared" si="70"/>
        <v>0</v>
      </c>
      <c r="BB94" s="178">
        <f t="shared" si="71"/>
        <v>0</v>
      </c>
      <c r="BC94" s="184">
        <f t="shared" si="72"/>
        <v>0</v>
      </c>
      <c r="BD94" s="178">
        <f t="shared" si="73"/>
        <v>0</v>
      </c>
      <c r="BE94" s="251">
        <f t="shared" si="75"/>
        <v>0</v>
      </c>
      <c r="BF94" s="252">
        <f t="shared" si="76"/>
        <v>0</v>
      </c>
      <c r="BH94" s="262">
        <f t="shared" ref="BH94:BH100" si="113">SUM(AO94)</f>
        <v>0</v>
      </c>
      <c r="BI94" s="262">
        <f t="shared" ref="BI94:BI100" si="114">SUM(AP94:AS94)</f>
        <v>0</v>
      </c>
      <c r="BJ94" s="262">
        <f t="shared" ref="BJ94:BJ100" si="115">SUM(AT94:AW94)</f>
        <v>0</v>
      </c>
      <c r="BK94" s="263">
        <f t="shared" ref="BK94:BK100" si="116">SUM(AX94:BB94)</f>
        <v>0</v>
      </c>
      <c r="BL94" s="269">
        <f t="shared" ref="BL94:BL100" si="117">SUM(BC94:BD94)</f>
        <v>0</v>
      </c>
      <c r="BM94" s="264">
        <f t="shared" si="77"/>
        <v>0</v>
      </c>
      <c r="BO94" s="732" t="str">
        <f t="shared" si="78"/>
        <v/>
      </c>
    </row>
    <row r="95" spans="2:67" ht="15" customHeight="1" x14ac:dyDescent="0.25">
      <c r="B95" s="156">
        <v>1</v>
      </c>
      <c r="C95" s="180" t="s">
        <v>117</v>
      </c>
      <c r="D95" s="181"/>
      <c r="E95" s="210" t="s">
        <v>118</v>
      </c>
      <c r="G95" s="488">
        <f>'Cust Specific'!R186</f>
        <v>0</v>
      </c>
      <c r="H95" s="489">
        <f>'Cust Specific'!R189</f>
        <v>4.4000000000000003E-3</v>
      </c>
      <c r="I95" s="471"/>
      <c r="J95" s="471"/>
      <c r="K95" s="472"/>
      <c r="L95" s="471"/>
      <c r="M95" s="471"/>
      <c r="N95" s="471"/>
      <c r="O95" s="472"/>
      <c r="P95" s="471"/>
      <c r="Q95" s="471"/>
      <c r="R95" s="472"/>
      <c r="S95" s="489">
        <f>'Cust Specific'!R187</f>
        <v>4.1399999999999999E-2</v>
      </c>
      <c r="T95" s="494">
        <f>'Cust Specific'!R188</f>
        <v>7.3999999999999996E-2</v>
      </c>
      <c r="U95" s="491"/>
      <c r="V95" s="492"/>
      <c r="X95" s="183">
        <f>'Q (t)'!G95</f>
        <v>365</v>
      </c>
      <c r="Y95" s="184">
        <f>'Q (t)'!H95</f>
        <v>20561.394500000002</v>
      </c>
      <c r="Z95" s="178">
        <f>'Q (t)'!I95</f>
        <v>0</v>
      </c>
      <c r="AA95" s="178">
        <f>'Q (t)'!J95</f>
        <v>0</v>
      </c>
      <c r="AB95" s="179">
        <f>'Q (t)'!K95</f>
        <v>0</v>
      </c>
      <c r="AC95" s="178">
        <f>'Q (t)'!L95</f>
        <v>0</v>
      </c>
      <c r="AD95" s="178">
        <f>'Q (t)'!M95</f>
        <v>0</v>
      </c>
      <c r="AE95" s="178">
        <f>'Q (t)'!N95</f>
        <v>0</v>
      </c>
      <c r="AF95" s="179">
        <f>'Q (t)'!O95</f>
        <v>0</v>
      </c>
      <c r="AG95" s="178">
        <f>'Q (t)'!P95</f>
        <v>0</v>
      </c>
      <c r="AH95" s="178">
        <f>'Q (t)'!Q95</f>
        <v>0</v>
      </c>
      <c r="AI95" s="179">
        <f>'Q (t)'!R95</f>
        <v>0</v>
      </c>
      <c r="AJ95" s="184">
        <f>'Q (t)'!S95</f>
        <v>1573358.78</v>
      </c>
      <c r="AK95" s="178">
        <f>'Q (t)'!T95</f>
        <v>1825000</v>
      </c>
      <c r="AL95" s="184">
        <f>'Q (t)'!U95</f>
        <v>0</v>
      </c>
      <c r="AM95" s="179">
        <f>'Q (t)'!V95</f>
        <v>0</v>
      </c>
      <c r="AO95" s="183">
        <f t="shared" si="74"/>
        <v>0</v>
      </c>
      <c r="AP95" s="184">
        <f t="shared" ref="AP95:AW114" si="118">H95*Y95</f>
        <v>90.470135800000008</v>
      </c>
      <c r="AQ95" s="178">
        <f t="shared" si="118"/>
        <v>0</v>
      </c>
      <c r="AR95" s="178">
        <f t="shared" si="118"/>
        <v>0</v>
      </c>
      <c r="AS95" s="179">
        <f t="shared" si="118"/>
        <v>0</v>
      </c>
      <c r="AT95" s="178">
        <f t="shared" si="118"/>
        <v>0</v>
      </c>
      <c r="AU95" s="178">
        <f t="shared" si="118"/>
        <v>0</v>
      </c>
      <c r="AV95" s="178">
        <f t="shared" si="118"/>
        <v>0</v>
      </c>
      <c r="AW95" s="179">
        <f t="shared" si="118"/>
        <v>0</v>
      </c>
      <c r="AX95" s="178">
        <f t="shared" si="67"/>
        <v>0</v>
      </c>
      <c r="AY95" s="178">
        <f t="shared" si="68"/>
        <v>0</v>
      </c>
      <c r="AZ95" s="179">
        <f t="shared" si="69"/>
        <v>0</v>
      </c>
      <c r="BA95" s="184">
        <f t="shared" si="70"/>
        <v>65.137053491999993</v>
      </c>
      <c r="BB95" s="178">
        <f t="shared" si="71"/>
        <v>135.05000000000001</v>
      </c>
      <c r="BC95" s="184">
        <f t="shared" si="72"/>
        <v>0</v>
      </c>
      <c r="BD95" s="178">
        <f t="shared" si="73"/>
        <v>0</v>
      </c>
      <c r="BE95" s="251">
        <f t="shared" si="75"/>
        <v>1</v>
      </c>
      <c r="BF95" s="252">
        <f t="shared" si="76"/>
        <v>20561.394500000002</v>
      </c>
      <c r="BH95" s="262">
        <f t="shared" si="113"/>
        <v>0</v>
      </c>
      <c r="BI95" s="262">
        <f t="shared" si="114"/>
        <v>90.470135800000008</v>
      </c>
      <c r="BJ95" s="262">
        <f t="shared" si="115"/>
        <v>0</v>
      </c>
      <c r="BK95" s="263">
        <f t="shared" si="116"/>
        <v>200.18705349200002</v>
      </c>
      <c r="BL95" s="269">
        <f t="shared" si="117"/>
        <v>0</v>
      </c>
      <c r="BM95" s="264">
        <f t="shared" si="77"/>
        <v>290.657189292</v>
      </c>
      <c r="BO95" s="732">
        <f t="shared" si="78"/>
        <v>14.136064034567305</v>
      </c>
    </row>
    <row r="96" spans="2:67" ht="15" customHeight="1" x14ac:dyDescent="0.25">
      <c r="B96" s="156">
        <f t="shared" ref="B96:B126" si="119">B95+1</f>
        <v>2</v>
      </c>
      <c r="C96" s="180" t="s">
        <v>122</v>
      </c>
      <c r="D96" s="181"/>
      <c r="E96" s="210" t="s">
        <v>118</v>
      </c>
      <c r="G96" s="488">
        <f>'Cust Specific'!R193</f>
        <v>590.96</v>
      </c>
      <c r="H96" s="489">
        <f>'Cust Specific'!R196</f>
        <v>4.4000000000000003E-3</v>
      </c>
      <c r="I96" s="471"/>
      <c r="J96" s="471"/>
      <c r="K96" s="472"/>
      <c r="L96" s="471"/>
      <c r="M96" s="471"/>
      <c r="N96" s="471"/>
      <c r="O96" s="472"/>
      <c r="P96" s="471"/>
      <c r="Q96" s="471"/>
      <c r="R96" s="472"/>
      <c r="S96" s="489">
        <f>'Cust Specific'!R194</f>
        <v>4.1399999999999999E-2</v>
      </c>
      <c r="T96" s="494">
        <f>'Cust Specific'!R195</f>
        <v>7.3999999999999996E-2</v>
      </c>
      <c r="U96" s="491"/>
      <c r="V96" s="492"/>
      <c r="X96" s="183">
        <f>'Q (t)'!G96</f>
        <v>365</v>
      </c>
      <c r="Y96" s="184">
        <f>'Q (t)'!H96</f>
        <v>24905.050000000003</v>
      </c>
      <c r="Z96" s="178">
        <f>'Q (t)'!I96</f>
        <v>0</v>
      </c>
      <c r="AA96" s="178">
        <f>'Q (t)'!J96</f>
        <v>0</v>
      </c>
      <c r="AB96" s="179">
        <f>'Q (t)'!K96</f>
        <v>0</v>
      </c>
      <c r="AC96" s="178">
        <f>'Q (t)'!L96</f>
        <v>0</v>
      </c>
      <c r="AD96" s="178">
        <f>'Q (t)'!M96</f>
        <v>0</v>
      </c>
      <c r="AE96" s="178">
        <f>'Q (t)'!N96</f>
        <v>0</v>
      </c>
      <c r="AF96" s="179">
        <f>'Q (t)'!O96</f>
        <v>0</v>
      </c>
      <c r="AG96" s="178">
        <f>'Q (t)'!P96</f>
        <v>0</v>
      </c>
      <c r="AH96" s="178">
        <f>'Q (t)'!Q96</f>
        <v>0</v>
      </c>
      <c r="AI96" s="179">
        <f>'Q (t)'!R96</f>
        <v>0</v>
      </c>
      <c r="AJ96" s="184">
        <f>'Q (t)'!S96</f>
        <v>2062195.2500000002</v>
      </c>
      <c r="AK96" s="178">
        <f>'Q (t)'!T96</f>
        <v>2062195.2500000002</v>
      </c>
      <c r="AL96" s="184">
        <f>'Q (t)'!U96</f>
        <v>0</v>
      </c>
      <c r="AM96" s="179">
        <f>'Q (t)'!V96</f>
        <v>0</v>
      </c>
      <c r="AO96" s="183">
        <f t="shared" si="74"/>
        <v>215.70040000000003</v>
      </c>
      <c r="AP96" s="184">
        <f t="shared" ref="AP96:AW97" si="120">H96*Y96</f>
        <v>109.58222000000002</v>
      </c>
      <c r="AQ96" s="178">
        <f t="shared" si="120"/>
        <v>0</v>
      </c>
      <c r="AR96" s="178">
        <f t="shared" si="120"/>
        <v>0</v>
      </c>
      <c r="AS96" s="179">
        <f t="shared" si="120"/>
        <v>0</v>
      </c>
      <c r="AT96" s="178">
        <f t="shared" si="120"/>
        <v>0</v>
      </c>
      <c r="AU96" s="178">
        <f t="shared" si="120"/>
        <v>0</v>
      </c>
      <c r="AV96" s="178">
        <f t="shared" si="120"/>
        <v>0</v>
      </c>
      <c r="AW96" s="179">
        <f t="shared" si="120"/>
        <v>0</v>
      </c>
      <c r="AX96" s="178">
        <f t="shared" si="67"/>
        <v>0</v>
      </c>
      <c r="AY96" s="178">
        <f t="shared" si="68"/>
        <v>0</v>
      </c>
      <c r="AZ96" s="179">
        <f t="shared" si="69"/>
        <v>0</v>
      </c>
      <c r="BA96" s="184">
        <f t="shared" si="70"/>
        <v>85.374883350000005</v>
      </c>
      <c r="BB96" s="178">
        <f t="shared" si="71"/>
        <v>152.60244850000001</v>
      </c>
      <c r="BC96" s="184">
        <f t="shared" si="72"/>
        <v>0</v>
      </c>
      <c r="BD96" s="178">
        <f t="shared" si="73"/>
        <v>0</v>
      </c>
      <c r="BE96" s="251">
        <f>X96/$BE$7</f>
        <v>1</v>
      </c>
      <c r="BF96" s="252">
        <f t="shared" si="76"/>
        <v>24905.050000000003</v>
      </c>
      <c r="BH96" s="262">
        <f t="shared" si="113"/>
        <v>215.70040000000003</v>
      </c>
      <c r="BI96" s="262">
        <f t="shared" si="114"/>
        <v>109.58222000000002</v>
      </c>
      <c r="BJ96" s="262">
        <f t="shared" si="115"/>
        <v>0</v>
      </c>
      <c r="BK96" s="263">
        <f t="shared" si="116"/>
        <v>237.97733185000001</v>
      </c>
      <c r="BL96" s="269">
        <f t="shared" si="117"/>
        <v>0</v>
      </c>
      <c r="BM96" s="264">
        <f>SUM(BH96:BL96)</f>
        <v>563.25995185000011</v>
      </c>
      <c r="BO96" s="732">
        <f t="shared" si="78"/>
        <v>22.616294761504193</v>
      </c>
    </row>
    <row r="97" spans="2:67" ht="15" customHeight="1" x14ac:dyDescent="0.25">
      <c r="B97" s="156">
        <f t="shared" si="119"/>
        <v>3</v>
      </c>
      <c r="C97" s="180" t="s">
        <v>123</v>
      </c>
      <c r="D97" s="181"/>
      <c r="E97" s="210" t="s">
        <v>118</v>
      </c>
      <c r="G97" s="488">
        <f>'Cust Specific'!R200</f>
        <v>0</v>
      </c>
      <c r="H97" s="489">
        <f>'Cust Specific'!R203</f>
        <v>4.4000000000000003E-3</v>
      </c>
      <c r="I97" s="471"/>
      <c r="J97" s="471"/>
      <c r="K97" s="472"/>
      <c r="L97" s="471"/>
      <c r="M97" s="471"/>
      <c r="N97" s="471"/>
      <c r="O97" s="472"/>
      <c r="P97" s="471"/>
      <c r="Q97" s="471"/>
      <c r="R97" s="472"/>
      <c r="S97" s="489">
        <f>'Cust Specific'!R201</f>
        <v>4.1399999999999999E-2</v>
      </c>
      <c r="T97" s="494">
        <f>'Cust Specific'!R202</f>
        <v>7.3999999999999996E-2</v>
      </c>
      <c r="U97" s="491"/>
      <c r="V97" s="492"/>
      <c r="X97" s="183">
        <f>'Q (t)'!G97</f>
        <v>365</v>
      </c>
      <c r="Y97" s="184">
        <f>'Q (t)'!H97</f>
        <v>8861.0153499999997</v>
      </c>
      <c r="Z97" s="178">
        <f>'Q (t)'!I97</f>
        <v>0</v>
      </c>
      <c r="AA97" s="178">
        <f>'Q (t)'!J97</f>
        <v>0</v>
      </c>
      <c r="AB97" s="179">
        <f>'Q (t)'!K97</f>
        <v>0</v>
      </c>
      <c r="AC97" s="178">
        <f>'Q (t)'!L97</f>
        <v>0</v>
      </c>
      <c r="AD97" s="178">
        <f>'Q (t)'!M97</f>
        <v>0</v>
      </c>
      <c r="AE97" s="178">
        <f>'Q (t)'!N97</f>
        <v>0</v>
      </c>
      <c r="AF97" s="179">
        <f>'Q (t)'!O97</f>
        <v>0</v>
      </c>
      <c r="AG97" s="178">
        <f>'Q (t)'!P97</f>
        <v>0</v>
      </c>
      <c r="AH97" s="178">
        <f>'Q (t)'!Q97</f>
        <v>0</v>
      </c>
      <c r="AI97" s="179">
        <f>'Q (t)'!R97</f>
        <v>0</v>
      </c>
      <c r="AJ97" s="184">
        <f>'Q (t)'!S97</f>
        <v>1002255.69</v>
      </c>
      <c r="AK97" s="178">
        <f>'Q (t)'!T97</f>
        <v>1825000</v>
      </c>
      <c r="AL97" s="184">
        <f>'Q (t)'!U97</f>
        <v>0</v>
      </c>
      <c r="AM97" s="179">
        <f>'Q (t)'!V97</f>
        <v>0</v>
      </c>
      <c r="AO97" s="183">
        <f t="shared" si="74"/>
        <v>0</v>
      </c>
      <c r="AP97" s="184">
        <f t="shared" si="120"/>
        <v>38.988467540000002</v>
      </c>
      <c r="AQ97" s="178">
        <f t="shared" si="120"/>
        <v>0</v>
      </c>
      <c r="AR97" s="178">
        <f t="shared" si="120"/>
        <v>0</v>
      </c>
      <c r="AS97" s="179">
        <f t="shared" si="120"/>
        <v>0</v>
      </c>
      <c r="AT97" s="178">
        <f t="shared" si="120"/>
        <v>0</v>
      </c>
      <c r="AU97" s="178">
        <f t="shared" si="120"/>
        <v>0</v>
      </c>
      <c r="AV97" s="178">
        <f t="shared" si="120"/>
        <v>0</v>
      </c>
      <c r="AW97" s="179">
        <f t="shared" si="120"/>
        <v>0</v>
      </c>
      <c r="AX97" s="178">
        <f t="shared" si="67"/>
        <v>0</v>
      </c>
      <c r="AY97" s="178">
        <f t="shared" si="68"/>
        <v>0</v>
      </c>
      <c r="AZ97" s="179">
        <f t="shared" si="69"/>
        <v>0</v>
      </c>
      <c r="BA97" s="184">
        <f t="shared" si="70"/>
        <v>41.493385566000001</v>
      </c>
      <c r="BB97" s="178">
        <f t="shared" si="71"/>
        <v>135.05000000000001</v>
      </c>
      <c r="BC97" s="184">
        <f t="shared" si="72"/>
        <v>0</v>
      </c>
      <c r="BD97" s="178">
        <f t="shared" si="73"/>
        <v>0</v>
      </c>
      <c r="BE97" s="251">
        <f>X97/$BE$7</f>
        <v>1</v>
      </c>
      <c r="BF97" s="252">
        <f t="shared" si="76"/>
        <v>8861.0153499999997</v>
      </c>
      <c r="BH97" s="262">
        <f t="shared" si="113"/>
        <v>0</v>
      </c>
      <c r="BI97" s="262">
        <f t="shared" si="114"/>
        <v>38.988467540000002</v>
      </c>
      <c r="BJ97" s="262">
        <f t="shared" si="115"/>
        <v>0</v>
      </c>
      <c r="BK97" s="263">
        <f t="shared" si="116"/>
        <v>176.54338556600001</v>
      </c>
      <c r="BL97" s="269">
        <f t="shared" si="117"/>
        <v>0</v>
      </c>
      <c r="BM97" s="264">
        <f>SUM(BH97:BL97)</f>
        <v>215.53185310600003</v>
      </c>
      <c r="BO97" s="732">
        <f t="shared" si="78"/>
        <v>24.323606786890402</v>
      </c>
    </row>
    <row r="98" spans="2:67" ht="15" customHeight="1" x14ac:dyDescent="0.25">
      <c r="B98" s="156">
        <f t="shared" si="119"/>
        <v>4</v>
      </c>
      <c r="C98" s="180" t="s">
        <v>119</v>
      </c>
      <c r="D98" s="181"/>
      <c r="E98" s="210" t="s">
        <v>118</v>
      </c>
      <c r="G98" s="488">
        <f>'Cust Specific'!R207</f>
        <v>835.62</v>
      </c>
      <c r="H98" s="489">
        <f>'Cust Specific'!R210</f>
        <v>4.4000000000000003E-3</v>
      </c>
      <c r="I98" s="471"/>
      <c r="J98" s="471"/>
      <c r="K98" s="472"/>
      <c r="L98" s="471"/>
      <c r="M98" s="471"/>
      <c r="N98" s="471"/>
      <c r="O98" s="472"/>
      <c r="P98" s="471"/>
      <c r="Q98" s="471"/>
      <c r="R98" s="472"/>
      <c r="S98" s="489">
        <f>'Cust Specific'!R208</f>
        <v>4.1399999999999999E-2</v>
      </c>
      <c r="T98" s="494">
        <f>'Cust Specific'!R209</f>
        <v>7.3999999999999996E-2</v>
      </c>
      <c r="U98" s="491"/>
      <c r="V98" s="492"/>
      <c r="X98" s="183">
        <f>'Q (t)'!G98</f>
        <v>365</v>
      </c>
      <c r="Y98" s="184">
        <f>'Q (t)'!H98</f>
        <v>23878.657950000001</v>
      </c>
      <c r="Z98" s="178">
        <f>'Q (t)'!I98</f>
        <v>0</v>
      </c>
      <c r="AA98" s="178">
        <f>'Q (t)'!J98</f>
        <v>0</v>
      </c>
      <c r="AB98" s="179">
        <f>'Q (t)'!K98</f>
        <v>0</v>
      </c>
      <c r="AC98" s="178">
        <f>'Q (t)'!L98</f>
        <v>0</v>
      </c>
      <c r="AD98" s="178">
        <f>'Q (t)'!M98</f>
        <v>0</v>
      </c>
      <c r="AE98" s="178">
        <f>'Q (t)'!N98</f>
        <v>0</v>
      </c>
      <c r="AF98" s="179">
        <f>'Q (t)'!O98</f>
        <v>0</v>
      </c>
      <c r="AG98" s="178">
        <f>'Q (t)'!P98</f>
        <v>0</v>
      </c>
      <c r="AH98" s="178">
        <f>'Q (t)'!Q98</f>
        <v>0</v>
      </c>
      <c r="AI98" s="179">
        <f>'Q (t)'!R98</f>
        <v>0</v>
      </c>
      <c r="AJ98" s="184">
        <f>'Q (t)'!S98</f>
        <v>2490079.2749999999</v>
      </c>
      <c r="AK98" s="178">
        <f>'Q (t)'!T98</f>
        <v>2500878.5299999998</v>
      </c>
      <c r="AL98" s="184">
        <f>'Q (t)'!U98</f>
        <v>0</v>
      </c>
      <c r="AM98" s="179">
        <f>'Q (t)'!V98</f>
        <v>0</v>
      </c>
      <c r="AO98" s="183">
        <f t="shared" si="74"/>
        <v>305.00130000000001</v>
      </c>
      <c r="AP98" s="184">
        <f t="shared" si="118"/>
        <v>105.06609498</v>
      </c>
      <c r="AQ98" s="178">
        <f t="shared" si="118"/>
        <v>0</v>
      </c>
      <c r="AR98" s="178">
        <f t="shared" si="118"/>
        <v>0</v>
      </c>
      <c r="AS98" s="179">
        <f t="shared" si="118"/>
        <v>0</v>
      </c>
      <c r="AT98" s="178">
        <f t="shared" si="118"/>
        <v>0</v>
      </c>
      <c r="AU98" s="178">
        <f t="shared" si="118"/>
        <v>0</v>
      </c>
      <c r="AV98" s="178">
        <f t="shared" si="118"/>
        <v>0</v>
      </c>
      <c r="AW98" s="179">
        <f t="shared" si="118"/>
        <v>0</v>
      </c>
      <c r="AX98" s="178">
        <f t="shared" si="67"/>
        <v>0</v>
      </c>
      <c r="AY98" s="178">
        <f t="shared" si="68"/>
        <v>0</v>
      </c>
      <c r="AZ98" s="179">
        <f t="shared" si="69"/>
        <v>0</v>
      </c>
      <c r="BA98" s="184">
        <f t="shared" si="70"/>
        <v>103.089281985</v>
      </c>
      <c r="BB98" s="178">
        <f t="shared" si="71"/>
        <v>185.06501121999997</v>
      </c>
      <c r="BC98" s="184">
        <f t="shared" si="72"/>
        <v>0</v>
      </c>
      <c r="BD98" s="178">
        <f t="shared" si="73"/>
        <v>0</v>
      </c>
      <c r="BE98" s="251">
        <f t="shared" si="75"/>
        <v>1</v>
      </c>
      <c r="BF98" s="252">
        <f t="shared" si="76"/>
        <v>23878.657950000001</v>
      </c>
      <c r="BH98" s="262">
        <f t="shared" si="113"/>
        <v>305.00130000000001</v>
      </c>
      <c r="BI98" s="262">
        <f t="shared" si="114"/>
        <v>105.06609498</v>
      </c>
      <c r="BJ98" s="262">
        <f t="shared" si="115"/>
        <v>0</v>
      </c>
      <c r="BK98" s="263">
        <f t="shared" si="116"/>
        <v>288.15429320499999</v>
      </c>
      <c r="BL98" s="269">
        <f t="shared" si="117"/>
        <v>0</v>
      </c>
      <c r="BM98" s="264">
        <f t="shared" si="77"/>
        <v>698.22168818499995</v>
      </c>
      <c r="BO98" s="732">
        <f t="shared" si="78"/>
        <v>29.240407465403639</v>
      </c>
    </row>
    <row r="99" spans="2:67" ht="15" customHeight="1" x14ac:dyDescent="0.25">
      <c r="B99" s="156">
        <f t="shared" si="119"/>
        <v>5</v>
      </c>
      <c r="C99" s="180" t="s">
        <v>120</v>
      </c>
      <c r="D99" s="181"/>
      <c r="E99" s="210" t="s">
        <v>118</v>
      </c>
      <c r="G99" s="488">
        <f>'Cust Specific'!R214</f>
        <v>0</v>
      </c>
      <c r="H99" s="489">
        <f>'Cust Specific'!R217</f>
        <v>4.4000000000000003E-3</v>
      </c>
      <c r="I99" s="471"/>
      <c r="J99" s="471"/>
      <c r="K99" s="472"/>
      <c r="L99" s="471"/>
      <c r="M99" s="471"/>
      <c r="N99" s="471"/>
      <c r="O99" s="472"/>
      <c r="P99" s="471"/>
      <c r="Q99" s="471"/>
      <c r="R99" s="472"/>
      <c r="S99" s="489">
        <f>'Cust Specific'!R215</f>
        <v>4.1399999999999999E-2</v>
      </c>
      <c r="T99" s="494">
        <f>'Cust Specific'!R216</f>
        <v>7.3999999999999996E-2</v>
      </c>
      <c r="U99" s="491"/>
      <c r="V99" s="492"/>
      <c r="X99" s="183">
        <f>'Q (t)'!G99</f>
        <v>365</v>
      </c>
      <c r="Y99" s="184">
        <f>'Q (t)'!H99</f>
        <v>2289.5800020000001</v>
      </c>
      <c r="Z99" s="178">
        <f>'Q (t)'!I99</f>
        <v>0</v>
      </c>
      <c r="AA99" s="178">
        <f>'Q (t)'!J99</f>
        <v>0</v>
      </c>
      <c r="AB99" s="179">
        <f>'Q (t)'!K99</f>
        <v>0</v>
      </c>
      <c r="AC99" s="178">
        <f>'Q (t)'!L99</f>
        <v>0</v>
      </c>
      <c r="AD99" s="178">
        <f>'Q (t)'!M99</f>
        <v>0</v>
      </c>
      <c r="AE99" s="178">
        <f>'Q (t)'!N99</f>
        <v>0</v>
      </c>
      <c r="AF99" s="179">
        <f>'Q (t)'!O99</f>
        <v>0</v>
      </c>
      <c r="AG99" s="178">
        <f>'Q (t)'!P99</f>
        <v>0</v>
      </c>
      <c r="AH99" s="178">
        <f>'Q (t)'!Q99</f>
        <v>0</v>
      </c>
      <c r="AI99" s="179">
        <f>'Q (t)'!R99</f>
        <v>0</v>
      </c>
      <c r="AJ99" s="184">
        <f>'Q (t)'!S99</f>
        <v>981071.09</v>
      </c>
      <c r="AK99" s="178">
        <f>'Q (t)'!T99</f>
        <v>1919124.375</v>
      </c>
      <c r="AL99" s="184">
        <f>'Q (t)'!U99</f>
        <v>0</v>
      </c>
      <c r="AM99" s="179">
        <f>'Q (t)'!V99</f>
        <v>0</v>
      </c>
      <c r="AO99" s="183">
        <f t="shared" si="74"/>
        <v>0</v>
      </c>
      <c r="AP99" s="184">
        <f t="shared" si="118"/>
        <v>10.074152008800001</v>
      </c>
      <c r="AQ99" s="178">
        <f t="shared" si="118"/>
        <v>0</v>
      </c>
      <c r="AR99" s="178">
        <f t="shared" si="118"/>
        <v>0</v>
      </c>
      <c r="AS99" s="179">
        <f t="shared" si="118"/>
        <v>0</v>
      </c>
      <c r="AT99" s="178">
        <f t="shared" si="118"/>
        <v>0</v>
      </c>
      <c r="AU99" s="178">
        <f t="shared" si="118"/>
        <v>0</v>
      </c>
      <c r="AV99" s="178">
        <f t="shared" si="118"/>
        <v>0</v>
      </c>
      <c r="AW99" s="179">
        <f t="shared" si="118"/>
        <v>0</v>
      </c>
      <c r="AX99" s="178">
        <f t="shared" si="67"/>
        <v>0</v>
      </c>
      <c r="AY99" s="178">
        <f t="shared" si="68"/>
        <v>0</v>
      </c>
      <c r="AZ99" s="179">
        <f t="shared" si="69"/>
        <v>0</v>
      </c>
      <c r="BA99" s="184">
        <f t="shared" si="70"/>
        <v>40.616343125999997</v>
      </c>
      <c r="BB99" s="178">
        <f t="shared" si="71"/>
        <v>142.01520374999998</v>
      </c>
      <c r="BC99" s="184">
        <f t="shared" si="72"/>
        <v>0</v>
      </c>
      <c r="BD99" s="178">
        <f t="shared" si="73"/>
        <v>0</v>
      </c>
      <c r="BE99" s="251">
        <f t="shared" si="75"/>
        <v>1</v>
      </c>
      <c r="BF99" s="252">
        <f t="shared" si="76"/>
        <v>2289.5800020000001</v>
      </c>
      <c r="BH99" s="262">
        <f t="shared" si="113"/>
        <v>0</v>
      </c>
      <c r="BI99" s="262">
        <f t="shared" si="114"/>
        <v>10.074152008800001</v>
      </c>
      <c r="BJ99" s="262">
        <f t="shared" si="115"/>
        <v>0</v>
      </c>
      <c r="BK99" s="263">
        <f t="shared" si="116"/>
        <v>182.63154687599999</v>
      </c>
      <c r="BL99" s="269">
        <f t="shared" si="117"/>
        <v>0</v>
      </c>
      <c r="BM99" s="264">
        <f t="shared" si="77"/>
        <v>192.7056988848</v>
      </c>
      <c r="BO99" s="732">
        <f t="shared" si="78"/>
        <v>84.16639676991727</v>
      </c>
    </row>
    <row r="100" spans="2:67" ht="15" customHeight="1" x14ac:dyDescent="0.25">
      <c r="B100" s="156">
        <f t="shared" si="119"/>
        <v>6</v>
      </c>
      <c r="C100" s="180" t="s">
        <v>121</v>
      </c>
      <c r="D100" s="181"/>
      <c r="E100" s="210" t="s">
        <v>118</v>
      </c>
      <c r="G100" s="488">
        <f>'Cust Specific'!R221</f>
        <v>295.24</v>
      </c>
      <c r="H100" s="489">
        <f>'Cust Specific'!R224</f>
        <v>4.4000000000000003E-3</v>
      </c>
      <c r="I100" s="471"/>
      <c r="J100" s="471"/>
      <c r="K100" s="472"/>
      <c r="L100" s="471"/>
      <c r="M100" s="471"/>
      <c r="N100" s="471"/>
      <c r="O100" s="472"/>
      <c r="P100" s="471"/>
      <c r="Q100" s="471"/>
      <c r="R100" s="472"/>
      <c r="S100" s="489">
        <f>'Cust Specific'!R222</f>
        <v>4.1399999999999999E-2</v>
      </c>
      <c r="T100" s="494">
        <f>'Cust Specific'!R223</f>
        <v>7.3999999999999996E-2</v>
      </c>
      <c r="U100" s="491"/>
      <c r="V100" s="492"/>
      <c r="X100" s="183">
        <f>'Q (t)'!G100</f>
        <v>365</v>
      </c>
      <c r="Y100" s="184">
        <f>'Q (t)'!H100</f>
        <v>24772.561650000003</v>
      </c>
      <c r="Z100" s="178">
        <f>'Q (t)'!I100</f>
        <v>0</v>
      </c>
      <c r="AA100" s="178">
        <f>'Q (t)'!J100</f>
        <v>0</v>
      </c>
      <c r="AB100" s="179">
        <f>'Q (t)'!K100</f>
        <v>0</v>
      </c>
      <c r="AC100" s="178">
        <f>'Q (t)'!L100</f>
        <v>0</v>
      </c>
      <c r="AD100" s="178">
        <f>'Q (t)'!M100</f>
        <v>0</v>
      </c>
      <c r="AE100" s="178">
        <f>'Q (t)'!N100</f>
        <v>0</v>
      </c>
      <c r="AF100" s="179">
        <f>'Q (t)'!O100</f>
        <v>0</v>
      </c>
      <c r="AG100" s="178">
        <f>'Q (t)'!P100</f>
        <v>0</v>
      </c>
      <c r="AH100" s="178">
        <f>'Q (t)'!Q100</f>
        <v>0</v>
      </c>
      <c r="AI100" s="179">
        <f>'Q (t)'!R100</f>
        <v>0</v>
      </c>
      <c r="AJ100" s="184">
        <f>'Q (t)'!S100</f>
        <v>1781500.395</v>
      </c>
      <c r="AK100" s="178">
        <f>'Q (t)'!T100</f>
        <v>1825000</v>
      </c>
      <c r="AL100" s="184">
        <f>'Q (t)'!U100</f>
        <v>0</v>
      </c>
      <c r="AM100" s="179">
        <f>'Q (t)'!V100</f>
        <v>0</v>
      </c>
      <c r="AO100" s="183">
        <f t="shared" si="74"/>
        <v>107.76260000000001</v>
      </c>
      <c r="AP100" s="184">
        <f t="shared" si="118"/>
        <v>108.99927126000001</v>
      </c>
      <c r="AQ100" s="178">
        <f t="shared" si="118"/>
        <v>0</v>
      </c>
      <c r="AR100" s="178">
        <f t="shared" si="118"/>
        <v>0</v>
      </c>
      <c r="AS100" s="179">
        <f t="shared" si="118"/>
        <v>0</v>
      </c>
      <c r="AT100" s="178">
        <f t="shared" si="118"/>
        <v>0</v>
      </c>
      <c r="AU100" s="178">
        <f t="shared" si="118"/>
        <v>0</v>
      </c>
      <c r="AV100" s="178">
        <f t="shared" si="118"/>
        <v>0</v>
      </c>
      <c r="AW100" s="179">
        <f t="shared" si="118"/>
        <v>0</v>
      </c>
      <c r="AX100" s="178">
        <f t="shared" si="67"/>
        <v>0</v>
      </c>
      <c r="AY100" s="178">
        <f t="shared" si="68"/>
        <v>0</v>
      </c>
      <c r="AZ100" s="179">
        <f t="shared" si="69"/>
        <v>0</v>
      </c>
      <c r="BA100" s="184">
        <f t="shared" si="70"/>
        <v>73.754116353000001</v>
      </c>
      <c r="BB100" s="178">
        <f t="shared" si="71"/>
        <v>135.05000000000001</v>
      </c>
      <c r="BC100" s="184">
        <f t="shared" si="72"/>
        <v>0</v>
      </c>
      <c r="BD100" s="178">
        <f t="shared" si="73"/>
        <v>0</v>
      </c>
      <c r="BE100" s="251">
        <f t="shared" si="75"/>
        <v>1</v>
      </c>
      <c r="BF100" s="252">
        <f t="shared" si="76"/>
        <v>24772.561650000003</v>
      </c>
      <c r="BH100" s="262">
        <f t="shared" si="113"/>
        <v>107.76260000000001</v>
      </c>
      <c r="BI100" s="262">
        <f t="shared" si="114"/>
        <v>108.99927126000001</v>
      </c>
      <c r="BJ100" s="262">
        <f t="shared" si="115"/>
        <v>0</v>
      </c>
      <c r="BK100" s="263">
        <f t="shared" si="116"/>
        <v>208.80411635300001</v>
      </c>
      <c r="BL100" s="269">
        <f t="shared" si="117"/>
        <v>0</v>
      </c>
      <c r="BM100" s="264">
        <f t="shared" si="77"/>
        <v>425.56598761300006</v>
      </c>
      <c r="BO100" s="732">
        <f t="shared" si="78"/>
        <v>17.178925362085032</v>
      </c>
    </row>
    <row r="101" spans="2:67" ht="15" customHeight="1" x14ac:dyDescent="0.25">
      <c r="B101" s="156"/>
      <c r="C101" s="126" t="s">
        <v>124</v>
      </c>
      <c r="D101" s="202"/>
      <c r="E101" s="202"/>
      <c r="G101" s="493"/>
      <c r="H101" s="490"/>
      <c r="I101" s="471"/>
      <c r="J101" s="471"/>
      <c r="K101" s="472"/>
      <c r="L101" s="471"/>
      <c r="M101" s="471"/>
      <c r="N101" s="471"/>
      <c r="O101" s="472"/>
      <c r="P101" s="471"/>
      <c r="Q101" s="471"/>
      <c r="R101" s="472"/>
      <c r="S101" s="490"/>
      <c r="T101" s="471"/>
      <c r="U101" s="490"/>
      <c r="V101" s="472"/>
      <c r="X101" s="183">
        <f>'Q (t)'!G101</f>
        <v>0</v>
      </c>
      <c r="Y101" s="184">
        <f>'Q (t)'!H101</f>
        <v>0</v>
      </c>
      <c r="Z101" s="178">
        <f>'Q (t)'!I101</f>
        <v>0</v>
      </c>
      <c r="AA101" s="178">
        <f>'Q (t)'!J101</f>
        <v>0</v>
      </c>
      <c r="AB101" s="179">
        <f>'Q (t)'!K101</f>
        <v>0</v>
      </c>
      <c r="AC101" s="178">
        <f>'Q (t)'!L101</f>
        <v>0</v>
      </c>
      <c r="AD101" s="178">
        <f>'Q (t)'!M101</f>
        <v>0</v>
      </c>
      <c r="AE101" s="178">
        <f>'Q (t)'!N101</f>
        <v>0</v>
      </c>
      <c r="AF101" s="179">
        <f>'Q (t)'!O101</f>
        <v>0</v>
      </c>
      <c r="AG101" s="178">
        <f>'Q (t)'!P101</f>
        <v>0</v>
      </c>
      <c r="AH101" s="178">
        <f>'Q (t)'!Q101</f>
        <v>0</v>
      </c>
      <c r="AI101" s="179">
        <f>'Q (t)'!R101</f>
        <v>0</v>
      </c>
      <c r="AJ101" s="184">
        <f>'Q (t)'!S101</f>
        <v>0</v>
      </c>
      <c r="AK101" s="178">
        <f>'Q (t)'!T101</f>
        <v>0</v>
      </c>
      <c r="AL101" s="184">
        <f>'Q (t)'!U101</f>
        <v>0</v>
      </c>
      <c r="AM101" s="179">
        <f>'Q (t)'!V101</f>
        <v>0</v>
      </c>
      <c r="AO101" s="183">
        <f t="shared" si="74"/>
        <v>0</v>
      </c>
      <c r="AP101" s="184">
        <f t="shared" si="118"/>
        <v>0</v>
      </c>
      <c r="AQ101" s="178">
        <f t="shared" si="118"/>
        <v>0</v>
      </c>
      <c r="AR101" s="178">
        <f t="shared" si="118"/>
        <v>0</v>
      </c>
      <c r="AS101" s="179">
        <f t="shared" si="118"/>
        <v>0</v>
      </c>
      <c r="AT101" s="178">
        <f t="shared" si="118"/>
        <v>0</v>
      </c>
      <c r="AU101" s="178">
        <f t="shared" si="118"/>
        <v>0</v>
      </c>
      <c r="AV101" s="178">
        <f t="shared" si="118"/>
        <v>0</v>
      </c>
      <c r="AW101" s="179">
        <f t="shared" si="118"/>
        <v>0</v>
      </c>
      <c r="AX101" s="178">
        <f t="shared" si="67"/>
        <v>0</v>
      </c>
      <c r="AY101" s="178">
        <f t="shared" si="68"/>
        <v>0</v>
      </c>
      <c r="AZ101" s="179">
        <f t="shared" si="69"/>
        <v>0</v>
      </c>
      <c r="BA101" s="184">
        <f t="shared" si="70"/>
        <v>0</v>
      </c>
      <c r="BB101" s="178">
        <f t="shared" si="71"/>
        <v>0</v>
      </c>
      <c r="BC101" s="184">
        <f t="shared" si="72"/>
        <v>0</v>
      </c>
      <c r="BD101" s="178">
        <f t="shared" si="73"/>
        <v>0</v>
      </c>
      <c r="BE101" s="251">
        <f t="shared" si="75"/>
        <v>0</v>
      </c>
      <c r="BF101" s="252">
        <f t="shared" si="76"/>
        <v>0</v>
      </c>
      <c r="BH101" s="259">
        <f>SUBTOTAL(9,BH102:BH111)</f>
        <v>30.674600000000002</v>
      </c>
      <c r="BI101" s="259">
        <f t="shared" ref="BI101:BL101" si="121">SUBTOTAL(9,BI102:BI111)</f>
        <v>1776.8072564176002</v>
      </c>
      <c r="BJ101" s="259">
        <f t="shared" si="121"/>
        <v>0</v>
      </c>
      <c r="BK101" s="259">
        <f t="shared" si="121"/>
        <v>3491.7229464319998</v>
      </c>
      <c r="BL101" s="259">
        <f t="shared" si="121"/>
        <v>0</v>
      </c>
      <c r="BM101" s="264">
        <f t="shared" si="77"/>
        <v>5299.2048028496001</v>
      </c>
      <c r="BO101" s="732" t="str">
        <f t="shared" si="78"/>
        <v/>
      </c>
    </row>
    <row r="102" spans="2:67" ht="15" customHeight="1" x14ac:dyDescent="0.25">
      <c r="B102" s="156">
        <f>B100+1</f>
        <v>7</v>
      </c>
      <c r="C102" s="180" t="s">
        <v>125</v>
      </c>
      <c r="D102" s="181"/>
      <c r="E102" s="210" t="s">
        <v>126</v>
      </c>
      <c r="G102" s="488">
        <f>'Cust Specific'!R232</f>
        <v>0</v>
      </c>
      <c r="H102" s="489">
        <f>'Cust Specific'!R235</f>
        <v>4.4000000000000003E-3</v>
      </c>
      <c r="I102" s="471"/>
      <c r="J102" s="471"/>
      <c r="K102" s="472"/>
      <c r="L102" s="471"/>
      <c r="M102" s="471"/>
      <c r="N102" s="471"/>
      <c r="O102" s="472"/>
      <c r="P102" s="471"/>
      <c r="Q102" s="471"/>
      <c r="R102" s="472"/>
      <c r="S102" s="489">
        <f>'Cust Specific'!R233</f>
        <v>4.1399999999999999E-2</v>
      </c>
      <c r="T102" s="494">
        <f>'Cust Specific'!R234</f>
        <v>7.3999999999999996E-2</v>
      </c>
      <c r="U102" s="491"/>
      <c r="V102" s="492"/>
      <c r="X102" s="183">
        <f>'Q (t)'!G102</f>
        <v>365</v>
      </c>
      <c r="Y102" s="184">
        <f>'Q (t)'!H102</f>
        <v>74000</v>
      </c>
      <c r="Z102" s="178">
        <f>'Q (t)'!I102</f>
        <v>0</v>
      </c>
      <c r="AA102" s="178">
        <f>'Q (t)'!J102</f>
        <v>0</v>
      </c>
      <c r="AB102" s="179">
        <f>'Q (t)'!K102</f>
        <v>0</v>
      </c>
      <c r="AC102" s="178">
        <f>'Q (t)'!L102</f>
        <v>0</v>
      </c>
      <c r="AD102" s="178">
        <f>'Q (t)'!M102</f>
        <v>0</v>
      </c>
      <c r="AE102" s="178">
        <f>'Q (t)'!N102</f>
        <v>0</v>
      </c>
      <c r="AF102" s="179">
        <f>'Q (t)'!O102</f>
        <v>0</v>
      </c>
      <c r="AG102" s="178">
        <f>'Q (t)'!P102</f>
        <v>0</v>
      </c>
      <c r="AH102" s="178">
        <f>'Q (t)'!Q102</f>
        <v>0</v>
      </c>
      <c r="AI102" s="179">
        <f>'Q (t)'!R102</f>
        <v>0</v>
      </c>
      <c r="AJ102" s="184">
        <f>'Q (t)'!S102</f>
        <v>4078845.07</v>
      </c>
      <c r="AK102" s="178">
        <f>'Q (t)'!T102</f>
        <v>5133823.55</v>
      </c>
      <c r="AL102" s="184">
        <f>'Q (t)'!U102</f>
        <v>0</v>
      </c>
      <c r="AM102" s="179">
        <f>'Q (t)'!V102</f>
        <v>0</v>
      </c>
      <c r="AO102" s="183">
        <f t="shared" si="74"/>
        <v>0</v>
      </c>
      <c r="AP102" s="184">
        <f t="shared" si="118"/>
        <v>325.60000000000002</v>
      </c>
      <c r="AQ102" s="178">
        <f t="shared" si="118"/>
        <v>0</v>
      </c>
      <c r="AR102" s="178">
        <f t="shared" si="118"/>
        <v>0</v>
      </c>
      <c r="AS102" s="179">
        <f t="shared" si="118"/>
        <v>0</v>
      </c>
      <c r="AT102" s="178">
        <f t="shared" si="118"/>
        <v>0</v>
      </c>
      <c r="AU102" s="178">
        <f t="shared" si="118"/>
        <v>0</v>
      </c>
      <c r="AV102" s="178">
        <f t="shared" si="118"/>
        <v>0</v>
      </c>
      <c r="AW102" s="179">
        <f t="shared" si="118"/>
        <v>0</v>
      </c>
      <c r="AX102" s="178">
        <f t="shared" si="67"/>
        <v>0</v>
      </c>
      <c r="AY102" s="178">
        <f t="shared" si="68"/>
        <v>0</v>
      </c>
      <c r="AZ102" s="179">
        <f t="shared" si="69"/>
        <v>0</v>
      </c>
      <c r="BA102" s="184">
        <f t="shared" si="70"/>
        <v>168.86418589799999</v>
      </c>
      <c r="BB102" s="178">
        <f t="shared" si="71"/>
        <v>379.90294269999998</v>
      </c>
      <c r="BC102" s="184">
        <f t="shared" si="72"/>
        <v>0</v>
      </c>
      <c r="BD102" s="178">
        <f t="shared" si="73"/>
        <v>0</v>
      </c>
      <c r="BE102" s="251">
        <f t="shared" si="75"/>
        <v>1</v>
      </c>
      <c r="BF102" s="252">
        <f t="shared" si="76"/>
        <v>74000</v>
      </c>
      <c r="BH102" s="262">
        <f t="shared" ref="BH102:BH111" si="122">SUM(AO102)</f>
        <v>0</v>
      </c>
      <c r="BI102" s="262">
        <f t="shared" ref="BI102:BI111" si="123">SUM(AP102:AS102)</f>
        <v>325.60000000000002</v>
      </c>
      <c r="BJ102" s="262">
        <f t="shared" ref="BJ102:BJ111" si="124">SUM(AT102:AW102)</f>
        <v>0</v>
      </c>
      <c r="BK102" s="263">
        <f t="shared" ref="BK102:BK111" si="125">SUM(AX102:BB102)</f>
        <v>548.767128598</v>
      </c>
      <c r="BL102" s="269">
        <f t="shared" ref="BL102:BL111" si="126">SUM(BC102:BD102)</f>
        <v>0</v>
      </c>
      <c r="BM102" s="264">
        <f t="shared" si="77"/>
        <v>874.36712859800002</v>
      </c>
      <c r="BO102" s="732">
        <f t="shared" si="78"/>
        <v>11.815772008081082</v>
      </c>
    </row>
    <row r="103" spans="2:67" ht="15" customHeight="1" x14ac:dyDescent="0.25">
      <c r="B103" s="156">
        <f t="shared" si="119"/>
        <v>8</v>
      </c>
      <c r="C103" s="180" t="s">
        <v>127</v>
      </c>
      <c r="D103" s="181"/>
      <c r="E103" s="210" t="s">
        <v>126</v>
      </c>
      <c r="G103" s="488">
        <f>'Cust Specific'!R239</f>
        <v>0</v>
      </c>
      <c r="H103" s="489">
        <f>'Cust Specific'!R242</f>
        <v>4.4000000000000003E-3</v>
      </c>
      <c r="I103" s="471"/>
      <c r="J103" s="471"/>
      <c r="K103" s="472"/>
      <c r="L103" s="471"/>
      <c r="M103" s="471"/>
      <c r="N103" s="471"/>
      <c r="O103" s="472"/>
      <c r="P103" s="471"/>
      <c r="Q103" s="471"/>
      <c r="R103" s="472"/>
      <c r="S103" s="489">
        <f>'Cust Specific'!R240</f>
        <v>4.1399999999999999E-2</v>
      </c>
      <c r="T103" s="494">
        <f>'Cust Specific'!R241</f>
        <v>7.3999999999999996E-2</v>
      </c>
      <c r="U103" s="491"/>
      <c r="V103" s="492"/>
      <c r="X103" s="183">
        <f>'Q (t)'!G103</f>
        <v>365</v>
      </c>
      <c r="Y103" s="184">
        <f>'Q (t)'!H103</f>
        <v>174006.38800000001</v>
      </c>
      <c r="Z103" s="178">
        <f>'Q (t)'!I103</f>
        <v>0</v>
      </c>
      <c r="AA103" s="178">
        <f>'Q (t)'!J103</f>
        <v>0</v>
      </c>
      <c r="AB103" s="179">
        <f>'Q (t)'!K103</f>
        <v>0</v>
      </c>
      <c r="AC103" s="178">
        <f>'Q (t)'!L103</f>
        <v>0</v>
      </c>
      <c r="AD103" s="178">
        <f>'Q (t)'!M103</f>
        <v>0</v>
      </c>
      <c r="AE103" s="178">
        <f>'Q (t)'!N103</f>
        <v>0</v>
      </c>
      <c r="AF103" s="179">
        <f>'Q (t)'!O103</f>
        <v>0</v>
      </c>
      <c r="AG103" s="178">
        <f>'Q (t)'!P103</f>
        <v>0</v>
      </c>
      <c r="AH103" s="178">
        <f>'Q (t)'!Q103</f>
        <v>0</v>
      </c>
      <c r="AI103" s="179">
        <f>'Q (t)'!R103</f>
        <v>0</v>
      </c>
      <c r="AJ103" s="184">
        <f>'Q (t)'!S103</f>
        <v>9781182.7649999987</v>
      </c>
      <c r="AK103" s="178">
        <f>'Q (t)'!T103</f>
        <v>9817630.5700000003</v>
      </c>
      <c r="AL103" s="184">
        <f>'Q (t)'!U103</f>
        <v>0</v>
      </c>
      <c r="AM103" s="179">
        <f>'Q (t)'!V103</f>
        <v>0</v>
      </c>
      <c r="AO103" s="183">
        <f t="shared" si="74"/>
        <v>0</v>
      </c>
      <c r="AP103" s="184">
        <f t="shared" ref="AP103:AP111" si="127">H103*Y103</f>
        <v>765.62810720000004</v>
      </c>
      <c r="AQ103" s="178">
        <f t="shared" ref="AQ103:AQ111" si="128">I103*Z103</f>
        <v>0</v>
      </c>
      <c r="AR103" s="178">
        <f t="shared" ref="AR103:AR111" si="129">J103*AA103</f>
        <v>0</v>
      </c>
      <c r="AS103" s="179">
        <f t="shared" ref="AS103:AS111" si="130">K103*AB103</f>
        <v>0</v>
      </c>
      <c r="AT103" s="178">
        <f t="shared" ref="AT103:AT111" si="131">L103*AC103</f>
        <v>0</v>
      </c>
      <c r="AU103" s="178">
        <f t="shared" ref="AU103:AU111" si="132">M103*AD103</f>
        <v>0</v>
      </c>
      <c r="AV103" s="178">
        <f t="shared" ref="AV103:AV111" si="133">N103*AE103</f>
        <v>0</v>
      </c>
      <c r="AW103" s="179">
        <f t="shared" ref="AW103:AW111" si="134">O103*AF103</f>
        <v>0</v>
      </c>
      <c r="AX103" s="178">
        <f t="shared" si="67"/>
        <v>0</v>
      </c>
      <c r="AY103" s="178">
        <f t="shared" si="68"/>
        <v>0</v>
      </c>
      <c r="AZ103" s="179">
        <f t="shared" si="69"/>
        <v>0</v>
      </c>
      <c r="BA103" s="184">
        <f t="shared" si="70"/>
        <v>404.94096647099991</v>
      </c>
      <c r="BB103" s="178">
        <f t="shared" si="71"/>
        <v>726.50466217999997</v>
      </c>
      <c r="BC103" s="184">
        <f t="shared" si="72"/>
        <v>0</v>
      </c>
      <c r="BD103" s="178">
        <f t="shared" si="73"/>
        <v>0</v>
      </c>
      <c r="BE103" s="251">
        <f t="shared" ref="BE103:BE111" si="135">X103/$BE$7</f>
        <v>1</v>
      </c>
      <c r="BF103" s="252">
        <f t="shared" si="76"/>
        <v>174006.38800000001</v>
      </c>
      <c r="BH103" s="262">
        <f t="shared" si="122"/>
        <v>0</v>
      </c>
      <c r="BI103" s="262">
        <f t="shared" si="123"/>
        <v>765.62810720000004</v>
      </c>
      <c r="BJ103" s="262">
        <f t="shared" si="124"/>
        <v>0</v>
      </c>
      <c r="BK103" s="263">
        <f t="shared" si="125"/>
        <v>1131.4456286509999</v>
      </c>
      <c r="BL103" s="269">
        <f t="shared" si="126"/>
        <v>0</v>
      </c>
      <c r="BM103" s="264">
        <f t="shared" ref="BM103:BM111" si="136">SUM(BH103:BL103)</f>
        <v>1897.073735851</v>
      </c>
      <c r="BO103" s="732">
        <f t="shared" si="78"/>
        <v>10.902322366757017</v>
      </c>
    </row>
    <row r="104" spans="2:67" ht="15" customHeight="1" x14ac:dyDescent="0.25">
      <c r="B104" s="156">
        <f t="shared" si="119"/>
        <v>9</v>
      </c>
      <c r="C104" s="180" t="s">
        <v>128</v>
      </c>
      <c r="D104" s="181"/>
      <c r="E104" s="210" t="s">
        <v>126</v>
      </c>
      <c r="G104" s="488">
        <f>'Cust Specific'!R246</f>
        <v>0</v>
      </c>
      <c r="H104" s="489">
        <f>'Cust Specific'!R249</f>
        <v>4.4000000000000003E-3</v>
      </c>
      <c r="I104" s="471"/>
      <c r="J104" s="471"/>
      <c r="K104" s="472"/>
      <c r="L104" s="471"/>
      <c r="M104" s="471"/>
      <c r="N104" s="471"/>
      <c r="O104" s="472"/>
      <c r="P104" s="471"/>
      <c r="Q104" s="471"/>
      <c r="R104" s="472"/>
      <c r="S104" s="489">
        <f>'Cust Specific'!R247</f>
        <v>4.1399999999999999E-2</v>
      </c>
      <c r="T104" s="494">
        <f>'Cust Specific'!R248</f>
        <v>7.3999999999999996E-2</v>
      </c>
      <c r="U104" s="491"/>
      <c r="V104" s="492"/>
      <c r="X104" s="183">
        <f>'Q (t)'!G104</f>
        <v>365</v>
      </c>
      <c r="Y104" s="184">
        <f>'Q (t)'!H104</f>
        <v>23846.443004000001</v>
      </c>
      <c r="Z104" s="178">
        <f>'Q (t)'!I104</f>
        <v>0</v>
      </c>
      <c r="AA104" s="178">
        <f>'Q (t)'!J104</f>
        <v>0</v>
      </c>
      <c r="AB104" s="179">
        <f>'Q (t)'!K104</f>
        <v>0</v>
      </c>
      <c r="AC104" s="178">
        <f>'Q (t)'!L104</f>
        <v>0</v>
      </c>
      <c r="AD104" s="178">
        <f>'Q (t)'!M104</f>
        <v>0</v>
      </c>
      <c r="AE104" s="178">
        <f>'Q (t)'!N104</f>
        <v>0</v>
      </c>
      <c r="AF104" s="179">
        <f>'Q (t)'!O104</f>
        <v>0</v>
      </c>
      <c r="AG104" s="178">
        <f>'Q (t)'!P104</f>
        <v>0</v>
      </c>
      <c r="AH104" s="178">
        <f>'Q (t)'!Q104</f>
        <v>0</v>
      </c>
      <c r="AI104" s="179">
        <f>'Q (t)'!R104</f>
        <v>0</v>
      </c>
      <c r="AJ104" s="184">
        <f>'Q (t)'!S104</f>
        <v>1524599.5249999999</v>
      </c>
      <c r="AK104" s="178">
        <f>'Q (t)'!T104</f>
        <v>1825000</v>
      </c>
      <c r="AL104" s="184">
        <f>'Q (t)'!U104</f>
        <v>0</v>
      </c>
      <c r="AM104" s="179">
        <f>'Q (t)'!V104</f>
        <v>0</v>
      </c>
      <c r="AO104" s="183">
        <f t="shared" si="74"/>
        <v>0</v>
      </c>
      <c r="AP104" s="184">
        <f t="shared" si="127"/>
        <v>104.92434921760001</v>
      </c>
      <c r="AQ104" s="178">
        <f t="shared" si="128"/>
        <v>0</v>
      </c>
      <c r="AR104" s="178">
        <f t="shared" si="129"/>
        <v>0</v>
      </c>
      <c r="AS104" s="179">
        <f t="shared" si="130"/>
        <v>0</v>
      </c>
      <c r="AT104" s="178">
        <f t="shared" si="131"/>
        <v>0</v>
      </c>
      <c r="AU104" s="178">
        <f t="shared" si="132"/>
        <v>0</v>
      </c>
      <c r="AV104" s="178">
        <f t="shared" si="133"/>
        <v>0</v>
      </c>
      <c r="AW104" s="179">
        <f t="shared" si="134"/>
        <v>0</v>
      </c>
      <c r="AX104" s="178">
        <f t="shared" si="67"/>
        <v>0</v>
      </c>
      <c r="AY104" s="178">
        <f t="shared" si="68"/>
        <v>0</v>
      </c>
      <c r="AZ104" s="179">
        <f t="shared" si="69"/>
        <v>0</v>
      </c>
      <c r="BA104" s="184">
        <f t="shared" si="70"/>
        <v>63.118420334999996</v>
      </c>
      <c r="BB104" s="178">
        <f t="shared" si="71"/>
        <v>135.05000000000001</v>
      </c>
      <c r="BC104" s="184">
        <f t="shared" si="72"/>
        <v>0</v>
      </c>
      <c r="BD104" s="178">
        <f t="shared" si="73"/>
        <v>0</v>
      </c>
      <c r="BE104" s="251">
        <f t="shared" si="135"/>
        <v>1</v>
      </c>
      <c r="BF104" s="252">
        <f t="shared" si="76"/>
        <v>23846.443004000001</v>
      </c>
      <c r="BH104" s="262">
        <f t="shared" si="122"/>
        <v>0</v>
      </c>
      <c r="BI104" s="262">
        <f t="shared" si="123"/>
        <v>104.92434921760001</v>
      </c>
      <c r="BJ104" s="262">
        <f t="shared" si="124"/>
        <v>0</v>
      </c>
      <c r="BK104" s="263">
        <f t="shared" si="125"/>
        <v>198.16842033500001</v>
      </c>
      <c r="BL104" s="269">
        <f t="shared" si="126"/>
        <v>0</v>
      </c>
      <c r="BM104" s="264">
        <f t="shared" si="136"/>
        <v>303.09276955260003</v>
      </c>
      <c r="BO104" s="732">
        <f t="shared" si="78"/>
        <v>12.710187825570433</v>
      </c>
    </row>
    <row r="105" spans="2:67" ht="15" customHeight="1" x14ac:dyDescent="0.25">
      <c r="B105" s="156">
        <f t="shared" si="119"/>
        <v>10</v>
      </c>
      <c r="C105" s="180"/>
      <c r="D105" s="181" t="s">
        <v>129</v>
      </c>
      <c r="E105" s="210" t="s">
        <v>126</v>
      </c>
      <c r="G105" s="488">
        <f>'Cust Specific'!R253</f>
        <v>0</v>
      </c>
      <c r="H105" s="489">
        <f>'Cust Specific'!R256</f>
        <v>4.4000000000000003E-3</v>
      </c>
      <c r="I105" s="471"/>
      <c r="J105" s="471"/>
      <c r="K105" s="472"/>
      <c r="L105" s="471"/>
      <c r="M105" s="471"/>
      <c r="N105" s="471"/>
      <c r="O105" s="472"/>
      <c r="P105" s="471"/>
      <c r="Q105" s="471"/>
      <c r="R105" s="472"/>
      <c r="S105" s="489">
        <f>'Cust Specific'!R254</f>
        <v>4.1399999999999999E-2</v>
      </c>
      <c r="T105" s="494">
        <f>'Cust Specific'!R255</f>
        <v>7.3999999999999996E-2</v>
      </c>
      <c r="U105" s="491"/>
      <c r="V105" s="492"/>
      <c r="X105" s="183">
        <f>'Q (t)'!G105</f>
        <v>365</v>
      </c>
      <c r="Y105" s="184">
        <f>'Q (t)'!H105</f>
        <v>27300</v>
      </c>
      <c r="Z105" s="178">
        <f>'Q (t)'!I105</f>
        <v>0</v>
      </c>
      <c r="AA105" s="178">
        <f>'Q (t)'!J105</f>
        <v>0</v>
      </c>
      <c r="AB105" s="179">
        <f>'Q (t)'!K105</f>
        <v>0</v>
      </c>
      <c r="AC105" s="178">
        <f>'Q (t)'!L105</f>
        <v>0</v>
      </c>
      <c r="AD105" s="178">
        <f>'Q (t)'!M105</f>
        <v>0</v>
      </c>
      <c r="AE105" s="178">
        <f>'Q (t)'!N105</f>
        <v>0</v>
      </c>
      <c r="AF105" s="179">
        <f>'Q (t)'!O105</f>
        <v>0</v>
      </c>
      <c r="AG105" s="178">
        <f>'Q (t)'!P105</f>
        <v>0</v>
      </c>
      <c r="AH105" s="178">
        <f>'Q (t)'!Q105</f>
        <v>0</v>
      </c>
      <c r="AI105" s="179">
        <f>'Q (t)'!R105</f>
        <v>0</v>
      </c>
      <c r="AJ105" s="184">
        <f>'Q (t)'!S105</f>
        <v>3470830.26</v>
      </c>
      <c r="AK105" s="178">
        <f>'Q (t)'!T105</f>
        <v>3472358.15</v>
      </c>
      <c r="AL105" s="184">
        <f>'Q (t)'!U105</f>
        <v>0</v>
      </c>
      <c r="AM105" s="179">
        <f>'Q (t)'!V105</f>
        <v>0</v>
      </c>
      <c r="AO105" s="183">
        <f t="shared" si="74"/>
        <v>0</v>
      </c>
      <c r="AP105" s="184">
        <f t="shared" si="127"/>
        <v>120.12</v>
      </c>
      <c r="AQ105" s="178">
        <f t="shared" si="128"/>
        <v>0</v>
      </c>
      <c r="AR105" s="178">
        <f t="shared" si="129"/>
        <v>0</v>
      </c>
      <c r="AS105" s="179">
        <f t="shared" si="130"/>
        <v>0</v>
      </c>
      <c r="AT105" s="178">
        <f t="shared" si="131"/>
        <v>0</v>
      </c>
      <c r="AU105" s="178">
        <f t="shared" si="132"/>
        <v>0</v>
      </c>
      <c r="AV105" s="178">
        <f t="shared" si="133"/>
        <v>0</v>
      </c>
      <c r="AW105" s="179">
        <f t="shared" si="134"/>
        <v>0</v>
      </c>
      <c r="AX105" s="178">
        <f t="shared" si="67"/>
        <v>0</v>
      </c>
      <c r="AY105" s="178">
        <f t="shared" si="68"/>
        <v>0</v>
      </c>
      <c r="AZ105" s="179">
        <f t="shared" si="69"/>
        <v>0</v>
      </c>
      <c r="BA105" s="184">
        <f t="shared" si="70"/>
        <v>143.692372764</v>
      </c>
      <c r="BB105" s="178">
        <f t="shared" si="71"/>
        <v>256.95450309999995</v>
      </c>
      <c r="BC105" s="184">
        <f t="shared" si="72"/>
        <v>0</v>
      </c>
      <c r="BD105" s="178">
        <f t="shared" si="73"/>
        <v>0</v>
      </c>
      <c r="BE105" s="251">
        <f t="shared" si="135"/>
        <v>1</v>
      </c>
      <c r="BF105" s="252">
        <f t="shared" si="76"/>
        <v>27300</v>
      </c>
      <c r="BH105" s="262">
        <f t="shared" si="122"/>
        <v>0</v>
      </c>
      <c r="BI105" s="262">
        <f t="shared" si="123"/>
        <v>120.12</v>
      </c>
      <c r="BJ105" s="262">
        <f t="shared" si="124"/>
        <v>0</v>
      </c>
      <c r="BK105" s="263">
        <f t="shared" si="125"/>
        <v>400.64687586399998</v>
      </c>
      <c r="BL105" s="269">
        <f t="shared" si="126"/>
        <v>0</v>
      </c>
      <c r="BM105" s="264">
        <f t="shared" si="136"/>
        <v>520.76687586399999</v>
      </c>
      <c r="BO105" s="732">
        <f t="shared" si="78"/>
        <v>19.075709738608058</v>
      </c>
    </row>
    <row r="106" spans="2:67" ht="15" customHeight="1" x14ac:dyDescent="0.25">
      <c r="B106" s="156">
        <f t="shared" si="119"/>
        <v>11</v>
      </c>
      <c r="C106" s="180" t="s">
        <v>582</v>
      </c>
      <c r="D106" s="181"/>
      <c r="E106" s="210" t="s">
        <v>126</v>
      </c>
      <c r="G106" s="488">
        <f>'Cust Specific'!R260</f>
        <v>0</v>
      </c>
      <c r="H106" s="489">
        <f>'Cust Specific'!R263</f>
        <v>4.4000000000000003E-3</v>
      </c>
      <c r="I106" s="471"/>
      <c r="J106" s="471"/>
      <c r="K106" s="472"/>
      <c r="L106" s="471"/>
      <c r="M106" s="471"/>
      <c r="N106" s="471"/>
      <c r="O106" s="472"/>
      <c r="P106" s="471"/>
      <c r="Q106" s="471"/>
      <c r="R106" s="472"/>
      <c r="S106" s="489">
        <f>'Cust Specific'!R261</f>
        <v>4.1399999999999999E-2</v>
      </c>
      <c r="T106" s="494">
        <f>'Cust Specific'!R262</f>
        <v>7.3999999999999996E-2</v>
      </c>
      <c r="U106" s="491"/>
      <c r="V106" s="492"/>
      <c r="X106" s="183">
        <f>'Q (t)'!G106</f>
        <v>365</v>
      </c>
      <c r="Y106" s="184">
        <f>'Q (t)'!H106</f>
        <v>10600</v>
      </c>
      <c r="Z106" s="178">
        <f>'Q (t)'!I106</f>
        <v>0</v>
      </c>
      <c r="AA106" s="178">
        <f>'Q (t)'!J106</f>
        <v>0</v>
      </c>
      <c r="AB106" s="179">
        <f>'Q (t)'!K106</f>
        <v>0</v>
      </c>
      <c r="AC106" s="178">
        <f>'Q (t)'!L106</f>
        <v>0</v>
      </c>
      <c r="AD106" s="178">
        <f>'Q (t)'!M106</f>
        <v>0</v>
      </c>
      <c r="AE106" s="178">
        <f>'Q (t)'!N106</f>
        <v>0</v>
      </c>
      <c r="AF106" s="179">
        <f>'Q (t)'!O106</f>
        <v>0</v>
      </c>
      <c r="AG106" s="178">
        <f>'Q (t)'!P106</f>
        <v>0</v>
      </c>
      <c r="AH106" s="178">
        <f>'Q (t)'!Q106</f>
        <v>0</v>
      </c>
      <c r="AI106" s="179">
        <f>'Q (t)'!R106</f>
        <v>0</v>
      </c>
      <c r="AJ106" s="184">
        <f>'Q (t)'!S106</f>
        <v>1145428.3999999999</v>
      </c>
      <c r="AK106" s="178">
        <f>'Q (t)'!T106</f>
        <v>1825000</v>
      </c>
      <c r="AL106" s="184">
        <f>'Q (t)'!U106</f>
        <v>0</v>
      </c>
      <c r="AM106" s="179">
        <f>'Q (t)'!V106</f>
        <v>0</v>
      </c>
      <c r="AO106" s="183">
        <f t="shared" si="74"/>
        <v>0</v>
      </c>
      <c r="AP106" s="184">
        <f t="shared" si="127"/>
        <v>46.64</v>
      </c>
      <c r="AQ106" s="178">
        <f t="shared" si="128"/>
        <v>0</v>
      </c>
      <c r="AR106" s="178">
        <f t="shared" si="129"/>
        <v>0</v>
      </c>
      <c r="AS106" s="179">
        <f t="shared" si="130"/>
        <v>0</v>
      </c>
      <c r="AT106" s="178">
        <f t="shared" si="131"/>
        <v>0</v>
      </c>
      <c r="AU106" s="178">
        <f t="shared" si="132"/>
        <v>0</v>
      </c>
      <c r="AV106" s="178">
        <f t="shared" si="133"/>
        <v>0</v>
      </c>
      <c r="AW106" s="179">
        <f t="shared" si="134"/>
        <v>0</v>
      </c>
      <c r="AX106" s="178">
        <f t="shared" si="67"/>
        <v>0</v>
      </c>
      <c r="AY106" s="178">
        <f t="shared" si="68"/>
        <v>0</v>
      </c>
      <c r="AZ106" s="179">
        <f t="shared" si="69"/>
        <v>0</v>
      </c>
      <c r="BA106" s="184">
        <f t="shared" si="70"/>
        <v>47.420735759999999</v>
      </c>
      <c r="BB106" s="178">
        <f t="shared" si="71"/>
        <v>135.05000000000001</v>
      </c>
      <c r="BC106" s="184">
        <f t="shared" si="72"/>
        <v>0</v>
      </c>
      <c r="BD106" s="178">
        <f t="shared" si="73"/>
        <v>0</v>
      </c>
      <c r="BE106" s="251">
        <f t="shared" si="135"/>
        <v>1</v>
      </c>
      <c r="BF106" s="252">
        <f t="shared" si="76"/>
        <v>10600</v>
      </c>
      <c r="BH106" s="262">
        <f t="shared" si="122"/>
        <v>0</v>
      </c>
      <c r="BI106" s="262">
        <f t="shared" si="123"/>
        <v>46.64</v>
      </c>
      <c r="BJ106" s="262">
        <f t="shared" si="124"/>
        <v>0</v>
      </c>
      <c r="BK106" s="263">
        <f t="shared" si="125"/>
        <v>182.47073576000003</v>
      </c>
      <c r="BL106" s="269">
        <f t="shared" si="126"/>
        <v>0</v>
      </c>
      <c r="BM106" s="264">
        <f t="shared" si="136"/>
        <v>229.11073576000001</v>
      </c>
      <c r="BO106" s="732">
        <f t="shared" si="78"/>
        <v>21.614220354716981</v>
      </c>
    </row>
    <row r="107" spans="2:67" ht="15" customHeight="1" x14ac:dyDescent="0.25">
      <c r="B107" s="156">
        <f t="shared" si="119"/>
        <v>12</v>
      </c>
      <c r="C107" s="180" t="s">
        <v>583</v>
      </c>
      <c r="D107" s="181"/>
      <c r="E107" s="210" t="s">
        <v>126</v>
      </c>
      <c r="G107" s="488">
        <f>'Cust Specific'!R267</f>
        <v>0</v>
      </c>
      <c r="H107" s="489">
        <f>'Cust Specific'!R270</f>
        <v>4.4000000000000003E-3</v>
      </c>
      <c r="I107" s="471"/>
      <c r="J107" s="471"/>
      <c r="K107" s="472"/>
      <c r="L107" s="471"/>
      <c r="M107" s="471"/>
      <c r="N107" s="471"/>
      <c r="O107" s="472"/>
      <c r="P107" s="471"/>
      <c r="Q107" s="471"/>
      <c r="R107" s="472"/>
      <c r="S107" s="489">
        <f>'Cust Specific'!R268</f>
        <v>4.1399999999999999E-2</v>
      </c>
      <c r="T107" s="494">
        <f>'Cust Specific'!R269</f>
        <v>7.3999999999999996E-2</v>
      </c>
      <c r="U107" s="491"/>
      <c r="V107" s="492"/>
      <c r="X107" s="183">
        <f>'Q (t)'!G107</f>
        <v>365</v>
      </c>
      <c r="Y107" s="184">
        <f>'Q (t)'!H107</f>
        <v>10600</v>
      </c>
      <c r="Z107" s="178">
        <f>'Q (t)'!I107</f>
        <v>0</v>
      </c>
      <c r="AA107" s="178">
        <f>'Q (t)'!J107</f>
        <v>0</v>
      </c>
      <c r="AB107" s="179">
        <f>'Q (t)'!K107</f>
        <v>0</v>
      </c>
      <c r="AC107" s="178">
        <f>'Q (t)'!L107</f>
        <v>0</v>
      </c>
      <c r="AD107" s="178">
        <f>'Q (t)'!M107</f>
        <v>0</v>
      </c>
      <c r="AE107" s="178">
        <f>'Q (t)'!N107</f>
        <v>0</v>
      </c>
      <c r="AF107" s="179">
        <f>'Q (t)'!O107</f>
        <v>0</v>
      </c>
      <c r="AG107" s="178">
        <f>'Q (t)'!P107</f>
        <v>0</v>
      </c>
      <c r="AH107" s="178">
        <f>'Q (t)'!Q107</f>
        <v>0</v>
      </c>
      <c r="AI107" s="179">
        <f>'Q (t)'!R107</f>
        <v>0</v>
      </c>
      <c r="AJ107" s="184">
        <f>'Q (t)'!S107</f>
        <v>633535.245</v>
      </c>
      <c r="AK107" s="178">
        <f>'Q (t)'!T107</f>
        <v>1825000</v>
      </c>
      <c r="AL107" s="184">
        <f>'Q (t)'!U107</f>
        <v>0</v>
      </c>
      <c r="AM107" s="179">
        <f>'Q (t)'!V107</f>
        <v>0</v>
      </c>
      <c r="AO107" s="183">
        <f t="shared" si="74"/>
        <v>0</v>
      </c>
      <c r="AP107" s="184">
        <f t="shared" si="127"/>
        <v>46.64</v>
      </c>
      <c r="AQ107" s="178">
        <f t="shared" si="128"/>
        <v>0</v>
      </c>
      <c r="AR107" s="178">
        <f t="shared" si="129"/>
        <v>0</v>
      </c>
      <c r="AS107" s="179">
        <f t="shared" si="130"/>
        <v>0</v>
      </c>
      <c r="AT107" s="178">
        <f t="shared" si="131"/>
        <v>0</v>
      </c>
      <c r="AU107" s="178">
        <f t="shared" si="132"/>
        <v>0</v>
      </c>
      <c r="AV107" s="178">
        <f t="shared" si="133"/>
        <v>0</v>
      </c>
      <c r="AW107" s="179">
        <f t="shared" si="134"/>
        <v>0</v>
      </c>
      <c r="AX107" s="178">
        <f t="shared" si="67"/>
        <v>0</v>
      </c>
      <c r="AY107" s="178">
        <f t="shared" si="68"/>
        <v>0</v>
      </c>
      <c r="AZ107" s="179">
        <f t="shared" si="69"/>
        <v>0</v>
      </c>
      <c r="BA107" s="184">
        <f t="shared" si="70"/>
        <v>26.228359142999999</v>
      </c>
      <c r="BB107" s="178">
        <f t="shared" si="71"/>
        <v>135.05000000000001</v>
      </c>
      <c r="BC107" s="184">
        <f t="shared" si="72"/>
        <v>0</v>
      </c>
      <c r="BD107" s="178">
        <f t="shared" si="73"/>
        <v>0</v>
      </c>
      <c r="BE107" s="251">
        <f t="shared" si="135"/>
        <v>1</v>
      </c>
      <c r="BF107" s="252">
        <f t="shared" si="76"/>
        <v>10600</v>
      </c>
      <c r="BH107" s="262">
        <f t="shared" si="122"/>
        <v>0</v>
      </c>
      <c r="BI107" s="262">
        <f t="shared" si="123"/>
        <v>46.64</v>
      </c>
      <c r="BJ107" s="262">
        <f t="shared" si="124"/>
        <v>0</v>
      </c>
      <c r="BK107" s="263">
        <f t="shared" si="125"/>
        <v>161.27835914300002</v>
      </c>
      <c r="BL107" s="269">
        <f t="shared" si="126"/>
        <v>0</v>
      </c>
      <c r="BM107" s="264">
        <f t="shared" si="136"/>
        <v>207.91835914300003</v>
      </c>
      <c r="BO107" s="732">
        <f t="shared" si="78"/>
        <v>19.614939541792456</v>
      </c>
    </row>
    <row r="108" spans="2:67" ht="15" customHeight="1" x14ac:dyDescent="0.25">
      <c r="B108" s="156">
        <f t="shared" si="119"/>
        <v>13</v>
      </c>
      <c r="C108" s="180" t="s">
        <v>578</v>
      </c>
      <c r="D108" s="181"/>
      <c r="E108" s="210" t="s">
        <v>126</v>
      </c>
      <c r="G108" s="488">
        <f>'Cust Specific'!R274</f>
        <v>0</v>
      </c>
      <c r="H108" s="489">
        <f>'Cust Specific'!R277</f>
        <v>4.4000000000000003E-3</v>
      </c>
      <c r="I108" s="471"/>
      <c r="J108" s="471"/>
      <c r="K108" s="472"/>
      <c r="L108" s="471"/>
      <c r="M108" s="471"/>
      <c r="N108" s="471"/>
      <c r="O108" s="472"/>
      <c r="P108" s="471"/>
      <c r="Q108" s="471"/>
      <c r="R108" s="472"/>
      <c r="S108" s="489">
        <f>'Cust Specific'!R275</f>
        <v>4.1399999999999999E-2</v>
      </c>
      <c r="T108" s="494">
        <f>'Cust Specific'!R276</f>
        <v>7.3999999999999996E-2</v>
      </c>
      <c r="U108" s="491"/>
      <c r="V108" s="492"/>
      <c r="X108" s="183">
        <f>'Q (t)'!G108</f>
        <v>365</v>
      </c>
      <c r="Y108" s="184">
        <f>'Q (t)'!H108</f>
        <v>0</v>
      </c>
      <c r="Z108" s="178">
        <f>'Q (t)'!I108</f>
        <v>0</v>
      </c>
      <c r="AA108" s="178">
        <f>'Q (t)'!J108</f>
        <v>0</v>
      </c>
      <c r="AB108" s="179">
        <f>'Q (t)'!K108</f>
        <v>0</v>
      </c>
      <c r="AC108" s="178">
        <f>'Q (t)'!L108</f>
        <v>0</v>
      </c>
      <c r="AD108" s="178">
        <f>'Q (t)'!M108</f>
        <v>0</v>
      </c>
      <c r="AE108" s="178">
        <f>'Q (t)'!N108</f>
        <v>0</v>
      </c>
      <c r="AF108" s="179">
        <f>'Q (t)'!O108</f>
        <v>0</v>
      </c>
      <c r="AG108" s="178">
        <f>'Q (t)'!P108</f>
        <v>0</v>
      </c>
      <c r="AH108" s="178">
        <f>'Q (t)'!Q108</f>
        <v>0</v>
      </c>
      <c r="AI108" s="179">
        <f>'Q (t)'!R108</f>
        <v>0</v>
      </c>
      <c r="AJ108" s="184">
        <f>'Q (t)'!S108</f>
        <v>0</v>
      </c>
      <c r="AK108" s="178">
        <f>'Q (t)'!T108</f>
        <v>0</v>
      </c>
      <c r="AL108" s="184">
        <f>'Q (t)'!U108</f>
        <v>0</v>
      </c>
      <c r="AM108" s="179">
        <f>'Q (t)'!V108</f>
        <v>0</v>
      </c>
      <c r="AO108" s="183">
        <f t="shared" si="74"/>
        <v>0</v>
      </c>
      <c r="AP108" s="184">
        <f t="shared" si="127"/>
        <v>0</v>
      </c>
      <c r="AQ108" s="178">
        <f t="shared" si="128"/>
        <v>0</v>
      </c>
      <c r="AR108" s="178">
        <f t="shared" si="129"/>
        <v>0</v>
      </c>
      <c r="AS108" s="179">
        <f t="shared" si="130"/>
        <v>0</v>
      </c>
      <c r="AT108" s="178">
        <f t="shared" si="131"/>
        <v>0</v>
      </c>
      <c r="AU108" s="178">
        <f t="shared" si="132"/>
        <v>0</v>
      </c>
      <c r="AV108" s="178">
        <f t="shared" si="133"/>
        <v>0</v>
      </c>
      <c r="AW108" s="179">
        <f t="shared" si="134"/>
        <v>0</v>
      </c>
      <c r="AX108" s="178">
        <f t="shared" si="67"/>
        <v>0</v>
      </c>
      <c r="AY108" s="178">
        <f t="shared" si="68"/>
        <v>0</v>
      </c>
      <c r="AZ108" s="179">
        <f t="shared" si="69"/>
        <v>0</v>
      </c>
      <c r="BA108" s="184">
        <f t="shared" si="70"/>
        <v>0</v>
      </c>
      <c r="BB108" s="178">
        <f t="shared" si="71"/>
        <v>0</v>
      </c>
      <c r="BC108" s="184">
        <f t="shared" si="72"/>
        <v>0</v>
      </c>
      <c r="BD108" s="178">
        <f t="shared" si="73"/>
        <v>0</v>
      </c>
      <c r="BE108" s="251">
        <f t="shared" si="135"/>
        <v>1</v>
      </c>
      <c r="BF108" s="252">
        <f t="shared" si="76"/>
        <v>0</v>
      </c>
      <c r="BH108" s="262">
        <f t="shared" si="122"/>
        <v>0</v>
      </c>
      <c r="BI108" s="262">
        <f t="shared" si="123"/>
        <v>0</v>
      </c>
      <c r="BJ108" s="262">
        <f t="shared" si="124"/>
        <v>0</v>
      </c>
      <c r="BK108" s="263">
        <f t="shared" si="125"/>
        <v>0</v>
      </c>
      <c r="BL108" s="269">
        <f t="shared" si="126"/>
        <v>0</v>
      </c>
      <c r="BM108" s="264">
        <f t="shared" si="136"/>
        <v>0</v>
      </c>
      <c r="BO108" s="732" t="str">
        <f t="shared" si="78"/>
        <v/>
      </c>
    </row>
    <row r="109" spans="2:67" ht="15" customHeight="1" x14ac:dyDescent="0.25">
      <c r="B109" s="156">
        <f t="shared" si="119"/>
        <v>14</v>
      </c>
      <c r="C109" s="180" t="s">
        <v>130</v>
      </c>
      <c r="D109" s="181"/>
      <c r="E109" s="210" t="s">
        <v>126</v>
      </c>
      <c r="G109" s="488">
        <f>'Cust Specific'!R281</f>
        <v>0</v>
      </c>
      <c r="H109" s="489">
        <f>'Cust Specific'!R284</f>
        <v>4.4000000000000003E-3</v>
      </c>
      <c r="I109" s="471"/>
      <c r="J109" s="471"/>
      <c r="K109" s="472"/>
      <c r="L109" s="471"/>
      <c r="M109" s="471"/>
      <c r="N109" s="471"/>
      <c r="O109" s="472"/>
      <c r="P109" s="471"/>
      <c r="Q109" s="471"/>
      <c r="R109" s="472"/>
      <c r="S109" s="489">
        <f>'Cust Specific'!R282</f>
        <v>4.1399999999999999E-2</v>
      </c>
      <c r="T109" s="494">
        <f>'Cust Specific'!R283</f>
        <v>7.3999999999999996E-2</v>
      </c>
      <c r="U109" s="491"/>
      <c r="V109" s="492"/>
      <c r="X109" s="183">
        <f>'Q (t)'!G109</f>
        <v>365</v>
      </c>
      <c r="Y109" s="184">
        <f>'Q (t)'!H109</f>
        <v>32021</v>
      </c>
      <c r="Z109" s="178">
        <f>'Q (t)'!I109</f>
        <v>0</v>
      </c>
      <c r="AA109" s="178">
        <f>'Q (t)'!J109</f>
        <v>0</v>
      </c>
      <c r="AB109" s="179">
        <f>'Q (t)'!K109</f>
        <v>0</v>
      </c>
      <c r="AC109" s="178">
        <f>'Q (t)'!L109</f>
        <v>0</v>
      </c>
      <c r="AD109" s="178">
        <f>'Q (t)'!M109</f>
        <v>0</v>
      </c>
      <c r="AE109" s="178">
        <f>'Q (t)'!N109</f>
        <v>0</v>
      </c>
      <c r="AF109" s="179">
        <f>'Q (t)'!O109</f>
        <v>0</v>
      </c>
      <c r="AG109" s="178">
        <f>'Q (t)'!P109</f>
        <v>0</v>
      </c>
      <c r="AH109" s="178">
        <f>'Q (t)'!Q109</f>
        <v>0</v>
      </c>
      <c r="AI109" s="179">
        <f>'Q (t)'!R109</f>
        <v>0</v>
      </c>
      <c r="AJ109" s="184">
        <f>'Q (t)'!S109</f>
        <v>4581260.2699999996</v>
      </c>
      <c r="AK109" s="178">
        <f>'Q (t)'!T109</f>
        <v>4618258.8599999994</v>
      </c>
      <c r="AL109" s="184">
        <f>'Q (t)'!U109</f>
        <v>0</v>
      </c>
      <c r="AM109" s="179">
        <f>'Q (t)'!V109</f>
        <v>0</v>
      </c>
      <c r="AO109" s="183">
        <f t="shared" si="74"/>
        <v>0</v>
      </c>
      <c r="AP109" s="184">
        <f t="shared" si="127"/>
        <v>140.89240000000001</v>
      </c>
      <c r="AQ109" s="178">
        <f t="shared" si="128"/>
        <v>0</v>
      </c>
      <c r="AR109" s="178">
        <f t="shared" si="129"/>
        <v>0</v>
      </c>
      <c r="AS109" s="179">
        <f t="shared" si="130"/>
        <v>0</v>
      </c>
      <c r="AT109" s="178">
        <f t="shared" si="131"/>
        <v>0</v>
      </c>
      <c r="AU109" s="178">
        <f t="shared" si="132"/>
        <v>0</v>
      </c>
      <c r="AV109" s="178">
        <f t="shared" si="133"/>
        <v>0</v>
      </c>
      <c r="AW109" s="179">
        <f t="shared" si="134"/>
        <v>0</v>
      </c>
      <c r="AX109" s="178">
        <f t="shared" si="67"/>
        <v>0</v>
      </c>
      <c r="AY109" s="178">
        <f t="shared" si="68"/>
        <v>0</v>
      </c>
      <c r="AZ109" s="179">
        <f t="shared" si="69"/>
        <v>0</v>
      </c>
      <c r="BA109" s="184">
        <f t="shared" si="70"/>
        <v>189.66417517799997</v>
      </c>
      <c r="BB109" s="178">
        <f t="shared" si="71"/>
        <v>341.75115563999998</v>
      </c>
      <c r="BC109" s="184">
        <f t="shared" si="72"/>
        <v>0</v>
      </c>
      <c r="BD109" s="178">
        <f t="shared" si="73"/>
        <v>0</v>
      </c>
      <c r="BE109" s="251">
        <f t="shared" si="135"/>
        <v>1</v>
      </c>
      <c r="BF109" s="252">
        <f t="shared" ref="BF109:BF126" si="137">SUM(Y109:AF109)</f>
        <v>32021</v>
      </c>
      <c r="BH109" s="262">
        <f t="shared" si="122"/>
        <v>0</v>
      </c>
      <c r="BI109" s="262">
        <f t="shared" si="123"/>
        <v>140.89240000000001</v>
      </c>
      <c r="BJ109" s="262">
        <f t="shared" si="124"/>
        <v>0</v>
      </c>
      <c r="BK109" s="263">
        <f t="shared" si="125"/>
        <v>531.41533081799992</v>
      </c>
      <c r="BL109" s="269">
        <f t="shared" si="126"/>
        <v>0</v>
      </c>
      <c r="BM109" s="264">
        <f t="shared" si="136"/>
        <v>672.30773081799998</v>
      </c>
      <c r="BO109" s="732">
        <f t="shared" si="78"/>
        <v>20.995838069329501</v>
      </c>
    </row>
    <row r="110" spans="2:67" ht="15" customHeight="1" x14ac:dyDescent="0.25">
      <c r="B110" s="156">
        <f t="shared" si="119"/>
        <v>15</v>
      </c>
      <c r="C110" s="180" t="s">
        <v>131</v>
      </c>
      <c r="D110" s="181"/>
      <c r="E110" s="210" t="s">
        <v>126</v>
      </c>
      <c r="G110" s="488">
        <f>'Cust Specific'!R288</f>
        <v>84.04</v>
      </c>
      <c r="H110" s="489">
        <f>'Cust Specific'!R291</f>
        <v>4.4000000000000003E-3</v>
      </c>
      <c r="I110" s="471"/>
      <c r="J110" s="471"/>
      <c r="K110" s="472"/>
      <c r="L110" s="471"/>
      <c r="M110" s="471"/>
      <c r="N110" s="471"/>
      <c r="O110" s="472"/>
      <c r="P110" s="471"/>
      <c r="Q110" s="471"/>
      <c r="R110" s="472"/>
      <c r="S110" s="489">
        <f>'Cust Specific'!R289</f>
        <v>4.1399999999999999E-2</v>
      </c>
      <c r="T110" s="494">
        <f>'Cust Specific'!R290</f>
        <v>7.3999999999999996E-2</v>
      </c>
      <c r="U110" s="491"/>
      <c r="V110" s="492"/>
      <c r="X110" s="183">
        <f>'Q (t)'!G110</f>
        <v>365</v>
      </c>
      <c r="Y110" s="184">
        <f>'Q (t)'!H110</f>
        <v>51446</v>
      </c>
      <c r="Z110" s="178">
        <f>'Q (t)'!I110</f>
        <v>0</v>
      </c>
      <c r="AA110" s="178">
        <f>'Q (t)'!J110</f>
        <v>0</v>
      </c>
      <c r="AB110" s="179">
        <f>'Q (t)'!K110</f>
        <v>0</v>
      </c>
      <c r="AC110" s="178">
        <f>'Q (t)'!L110</f>
        <v>0</v>
      </c>
      <c r="AD110" s="178">
        <f>'Q (t)'!M110</f>
        <v>0</v>
      </c>
      <c r="AE110" s="178">
        <f>'Q (t)'!N110</f>
        <v>0</v>
      </c>
      <c r="AF110" s="179">
        <f>'Q (t)'!O110</f>
        <v>0</v>
      </c>
      <c r="AG110" s="178">
        <f>'Q (t)'!P110</f>
        <v>0</v>
      </c>
      <c r="AH110" s="178">
        <f>'Q (t)'!Q110</f>
        <v>0</v>
      </c>
      <c r="AI110" s="179">
        <f>'Q (t)'!R110</f>
        <v>0</v>
      </c>
      <c r="AJ110" s="184">
        <f>'Q (t)'!S110</f>
        <v>2717743.645</v>
      </c>
      <c r="AK110" s="178">
        <f>'Q (t)'!T110</f>
        <v>3040755.1399999997</v>
      </c>
      <c r="AL110" s="184">
        <f>'Q (t)'!U110</f>
        <v>0</v>
      </c>
      <c r="AM110" s="179">
        <f>'Q (t)'!V110</f>
        <v>0</v>
      </c>
      <c r="AO110" s="183">
        <f t="shared" si="74"/>
        <v>30.674600000000002</v>
      </c>
      <c r="AP110" s="184">
        <f t="shared" si="127"/>
        <v>226.36240000000001</v>
      </c>
      <c r="AQ110" s="178">
        <f t="shared" si="128"/>
        <v>0</v>
      </c>
      <c r="AR110" s="178">
        <f t="shared" si="129"/>
        <v>0</v>
      </c>
      <c r="AS110" s="179">
        <f t="shared" si="130"/>
        <v>0</v>
      </c>
      <c r="AT110" s="178">
        <f t="shared" si="131"/>
        <v>0</v>
      </c>
      <c r="AU110" s="178">
        <f t="shared" si="132"/>
        <v>0</v>
      </c>
      <c r="AV110" s="178">
        <f t="shared" si="133"/>
        <v>0</v>
      </c>
      <c r="AW110" s="179">
        <f t="shared" si="134"/>
        <v>0</v>
      </c>
      <c r="AX110" s="178">
        <f t="shared" si="67"/>
        <v>0</v>
      </c>
      <c r="AY110" s="178">
        <f t="shared" si="68"/>
        <v>0</v>
      </c>
      <c r="AZ110" s="179">
        <f t="shared" si="69"/>
        <v>0</v>
      </c>
      <c r="BA110" s="184">
        <f t="shared" si="70"/>
        <v>112.51458690300001</v>
      </c>
      <c r="BB110" s="178">
        <f t="shared" si="71"/>
        <v>225.01588035999995</v>
      </c>
      <c r="BC110" s="184">
        <f t="shared" si="72"/>
        <v>0</v>
      </c>
      <c r="BD110" s="178">
        <f t="shared" si="73"/>
        <v>0</v>
      </c>
      <c r="BE110" s="251">
        <f t="shared" si="135"/>
        <v>1</v>
      </c>
      <c r="BF110" s="252">
        <f t="shared" si="137"/>
        <v>51446</v>
      </c>
      <c r="BH110" s="262">
        <f t="shared" si="122"/>
        <v>30.674600000000002</v>
      </c>
      <c r="BI110" s="262">
        <f t="shared" si="123"/>
        <v>226.36240000000001</v>
      </c>
      <c r="BJ110" s="262">
        <f t="shared" si="124"/>
        <v>0</v>
      </c>
      <c r="BK110" s="263">
        <f t="shared" si="125"/>
        <v>337.53046726299999</v>
      </c>
      <c r="BL110" s="269">
        <f t="shared" si="126"/>
        <v>0</v>
      </c>
      <c r="BM110" s="264">
        <f t="shared" si="136"/>
        <v>594.56746726300003</v>
      </c>
      <c r="BO110" s="732">
        <f t="shared" si="78"/>
        <v>11.557117506958752</v>
      </c>
    </row>
    <row r="111" spans="2:67" ht="15" customHeight="1" x14ac:dyDescent="0.25">
      <c r="B111" s="156">
        <f t="shared" si="119"/>
        <v>16</v>
      </c>
      <c r="C111" s="180" t="s">
        <v>579</v>
      </c>
      <c r="D111" s="181"/>
      <c r="E111" s="210" t="s">
        <v>126</v>
      </c>
      <c r="G111" s="488">
        <f>'Cust Specific'!R295</f>
        <v>0</v>
      </c>
      <c r="H111" s="489">
        <f>'Cust Specific'!R298</f>
        <v>4.4000000000000003E-3</v>
      </c>
      <c r="I111" s="471"/>
      <c r="J111" s="471"/>
      <c r="K111" s="472"/>
      <c r="L111" s="471"/>
      <c r="M111" s="471"/>
      <c r="N111" s="471"/>
      <c r="O111" s="472"/>
      <c r="P111" s="471"/>
      <c r="Q111" s="471"/>
      <c r="R111" s="472"/>
      <c r="S111" s="489">
        <f>'Cust Specific'!R296</f>
        <v>4.1399999999999999E-2</v>
      </c>
      <c r="T111" s="494">
        <f>'Cust Specific'!R297</f>
        <v>7.3999999999999996E-2</v>
      </c>
      <c r="U111" s="491"/>
      <c r="V111" s="492"/>
      <c r="X111" s="183">
        <f>'Q (t)'!G111</f>
        <v>0</v>
      </c>
      <c r="Y111" s="184">
        <f>'Q (t)'!H111</f>
        <v>0</v>
      </c>
      <c r="Z111" s="178">
        <f>'Q (t)'!I111</f>
        <v>0</v>
      </c>
      <c r="AA111" s="178">
        <f>'Q (t)'!J111</f>
        <v>0</v>
      </c>
      <c r="AB111" s="179">
        <f>'Q (t)'!K111</f>
        <v>0</v>
      </c>
      <c r="AC111" s="178">
        <f>'Q (t)'!L111</f>
        <v>0</v>
      </c>
      <c r="AD111" s="178">
        <f>'Q (t)'!M111</f>
        <v>0</v>
      </c>
      <c r="AE111" s="178">
        <f>'Q (t)'!N111</f>
        <v>0</v>
      </c>
      <c r="AF111" s="179">
        <f>'Q (t)'!O111</f>
        <v>0</v>
      </c>
      <c r="AG111" s="178">
        <f>'Q (t)'!P111</f>
        <v>0</v>
      </c>
      <c r="AH111" s="178">
        <f>'Q (t)'!Q111</f>
        <v>0</v>
      </c>
      <c r="AI111" s="179">
        <f>'Q (t)'!R111</f>
        <v>0</v>
      </c>
      <c r="AJ111" s="184">
        <f>'Q (t)'!S111</f>
        <v>0</v>
      </c>
      <c r="AK111" s="178">
        <f>'Q (t)'!T111</f>
        <v>0</v>
      </c>
      <c r="AL111" s="184">
        <f>'Q (t)'!U111</f>
        <v>0</v>
      </c>
      <c r="AM111" s="179">
        <f>'Q (t)'!V111</f>
        <v>0</v>
      </c>
      <c r="AO111" s="183">
        <f t="shared" si="74"/>
        <v>0</v>
      </c>
      <c r="AP111" s="184">
        <f t="shared" si="127"/>
        <v>0</v>
      </c>
      <c r="AQ111" s="178">
        <f t="shared" si="128"/>
        <v>0</v>
      </c>
      <c r="AR111" s="178">
        <f t="shared" si="129"/>
        <v>0</v>
      </c>
      <c r="AS111" s="179">
        <f t="shared" si="130"/>
        <v>0</v>
      </c>
      <c r="AT111" s="178">
        <f t="shared" si="131"/>
        <v>0</v>
      </c>
      <c r="AU111" s="178">
        <f t="shared" si="132"/>
        <v>0</v>
      </c>
      <c r="AV111" s="178">
        <f t="shared" si="133"/>
        <v>0</v>
      </c>
      <c r="AW111" s="179">
        <f t="shared" si="134"/>
        <v>0</v>
      </c>
      <c r="AX111" s="178">
        <f t="shared" si="67"/>
        <v>0</v>
      </c>
      <c r="AY111" s="178">
        <f t="shared" si="68"/>
        <v>0</v>
      </c>
      <c r="AZ111" s="179">
        <f t="shared" si="69"/>
        <v>0</v>
      </c>
      <c r="BA111" s="184">
        <f t="shared" si="70"/>
        <v>0</v>
      </c>
      <c r="BB111" s="178">
        <f t="shared" si="71"/>
        <v>0</v>
      </c>
      <c r="BC111" s="184">
        <f t="shared" si="72"/>
        <v>0</v>
      </c>
      <c r="BD111" s="178">
        <f t="shared" si="73"/>
        <v>0</v>
      </c>
      <c r="BE111" s="251">
        <f t="shared" si="135"/>
        <v>0</v>
      </c>
      <c r="BF111" s="252">
        <f t="shared" si="137"/>
        <v>0</v>
      </c>
      <c r="BH111" s="262">
        <f t="shared" si="122"/>
        <v>0</v>
      </c>
      <c r="BI111" s="262">
        <f t="shared" si="123"/>
        <v>0</v>
      </c>
      <c r="BJ111" s="262">
        <f t="shared" si="124"/>
        <v>0</v>
      </c>
      <c r="BK111" s="263">
        <f t="shared" si="125"/>
        <v>0</v>
      </c>
      <c r="BL111" s="269">
        <f t="shared" si="126"/>
        <v>0</v>
      </c>
      <c r="BM111" s="264">
        <f t="shared" si="136"/>
        <v>0</v>
      </c>
      <c r="BO111" s="732" t="str">
        <f t="shared" si="78"/>
        <v/>
      </c>
    </row>
    <row r="112" spans="2:67" ht="15" customHeight="1" x14ac:dyDescent="0.25">
      <c r="B112" s="156"/>
      <c r="C112" s="126" t="s">
        <v>132</v>
      </c>
      <c r="D112" s="202"/>
      <c r="E112" s="202"/>
      <c r="G112" s="493"/>
      <c r="H112" s="490"/>
      <c r="I112" s="471"/>
      <c r="J112" s="471"/>
      <c r="K112" s="472"/>
      <c r="L112" s="471"/>
      <c r="M112" s="471"/>
      <c r="N112" s="471"/>
      <c r="O112" s="472"/>
      <c r="P112" s="471"/>
      <c r="Q112" s="471"/>
      <c r="R112" s="472"/>
      <c r="S112" s="490"/>
      <c r="T112" s="471"/>
      <c r="U112" s="490"/>
      <c r="V112" s="472"/>
      <c r="X112" s="183">
        <f>'Q (t)'!G112</f>
        <v>0</v>
      </c>
      <c r="Y112" s="184">
        <f>'Q (t)'!H112</f>
        <v>0</v>
      </c>
      <c r="Z112" s="178">
        <f>'Q (t)'!I112</f>
        <v>0</v>
      </c>
      <c r="AA112" s="178">
        <f>'Q (t)'!J112</f>
        <v>0</v>
      </c>
      <c r="AB112" s="179">
        <f>'Q (t)'!K112</f>
        <v>0</v>
      </c>
      <c r="AC112" s="178">
        <f>'Q (t)'!L112</f>
        <v>0</v>
      </c>
      <c r="AD112" s="178">
        <f>'Q (t)'!M112</f>
        <v>0</v>
      </c>
      <c r="AE112" s="178">
        <f>'Q (t)'!N112</f>
        <v>0</v>
      </c>
      <c r="AF112" s="179">
        <f>'Q (t)'!O112</f>
        <v>0</v>
      </c>
      <c r="AG112" s="178">
        <f>'Q (t)'!P112</f>
        <v>0</v>
      </c>
      <c r="AH112" s="178">
        <f>'Q (t)'!Q112</f>
        <v>0</v>
      </c>
      <c r="AI112" s="179">
        <f>'Q (t)'!R112</f>
        <v>0</v>
      </c>
      <c r="AJ112" s="184">
        <f>'Q (t)'!S112</f>
        <v>0</v>
      </c>
      <c r="AK112" s="178">
        <f>'Q (t)'!T112</f>
        <v>0</v>
      </c>
      <c r="AL112" s="184">
        <f>'Q (t)'!U112</f>
        <v>0</v>
      </c>
      <c r="AM112" s="179">
        <f>'Q (t)'!V112</f>
        <v>0</v>
      </c>
      <c r="AO112" s="183">
        <f t="shared" si="74"/>
        <v>0</v>
      </c>
      <c r="AP112" s="184">
        <f t="shared" si="118"/>
        <v>0</v>
      </c>
      <c r="AQ112" s="178">
        <f t="shared" si="118"/>
        <v>0</v>
      </c>
      <c r="AR112" s="178">
        <f t="shared" si="118"/>
        <v>0</v>
      </c>
      <c r="AS112" s="179">
        <f t="shared" si="118"/>
        <v>0</v>
      </c>
      <c r="AT112" s="178">
        <f t="shared" si="118"/>
        <v>0</v>
      </c>
      <c r="AU112" s="178">
        <f t="shared" si="118"/>
        <v>0</v>
      </c>
      <c r="AV112" s="178">
        <f t="shared" si="118"/>
        <v>0</v>
      </c>
      <c r="AW112" s="179">
        <f t="shared" si="118"/>
        <v>0</v>
      </c>
      <c r="AX112" s="178">
        <f t="shared" si="67"/>
        <v>0</v>
      </c>
      <c r="AY112" s="178">
        <f t="shared" si="68"/>
        <v>0</v>
      </c>
      <c r="AZ112" s="179">
        <f t="shared" si="69"/>
        <v>0</v>
      </c>
      <c r="BA112" s="184">
        <f t="shared" si="70"/>
        <v>0</v>
      </c>
      <c r="BB112" s="178">
        <f t="shared" si="71"/>
        <v>0</v>
      </c>
      <c r="BC112" s="184">
        <f t="shared" si="72"/>
        <v>0</v>
      </c>
      <c r="BD112" s="178">
        <f t="shared" si="73"/>
        <v>0</v>
      </c>
      <c r="BE112" s="251">
        <f t="shared" si="75"/>
        <v>0</v>
      </c>
      <c r="BF112" s="252">
        <f t="shared" si="137"/>
        <v>0</v>
      </c>
      <c r="BH112" s="259">
        <f>SUBTOTAL(9,BH113:BH116)</f>
        <v>530.00189999999998</v>
      </c>
      <c r="BI112" s="259">
        <f>SUBTOTAL(9,BI113:BI116)</f>
        <v>33.322574014400004</v>
      </c>
      <c r="BJ112" s="259">
        <f>SUBTOTAL(9,BJ113:BJ116)</f>
        <v>0</v>
      </c>
      <c r="BK112" s="259">
        <f>SUBTOTAL(9,BK113:BK116)</f>
        <v>186.977711376</v>
      </c>
      <c r="BL112" s="259">
        <f>SUBTOTAL(9,BL113:BL116)</f>
        <v>0</v>
      </c>
      <c r="BM112" s="264">
        <f t="shared" si="77"/>
        <v>750.30218539040004</v>
      </c>
      <c r="BO112" s="732" t="str">
        <f t="shared" si="78"/>
        <v/>
      </c>
    </row>
    <row r="113" spans="1:70" ht="15" customHeight="1" x14ac:dyDescent="0.25">
      <c r="B113" s="156">
        <f>B111+1</f>
        <v>17</v>
      </c>
      <c r="C113" s="180" t="s">
        <v>133</v>
      </c>
      <c r="D113" s="181"/>
      <c r="E113" s="210" t="s">
        <v>134</v>
      </c>
      <c r="G113" s="488">
        <v>0</v>
      </c>
      <c r="H113" s="489">
        <v>1.6000000000000001E-3</v>
      </c>
      <c r="I113" s="471"/>
      <c r="J113" s="471"/>
      <c r="K113" s="472"/>
      <c r="L113" s="471"/>
      <c r="M113" s="471"/>
      <c r="N113" s="471"/>
      <c r="O113" s="472"/>
      <c r="P113" s="471"/>
      <c r="Q113" s="471"/>
      <c r="R113" s="472"/>
      <c r="S113" s="489">
        <v>0</v>
      </c>
      <c r="T113" s="494">
        <v>4.1399999999999999E-2</v>
      </c>
      <c r="U113" s="491"/>
      <c r="V113" s="492"/>
      <c r="X113" s="183">
        <f>'Q (t)'!G113</f>
        <v>0</v>
      </c>
      <c r="Y113" s="184">
        <f>'Q (t)'!H113</f>
        <v>0</v>
      </c>
      <c r="Z113" s="178">
        <f>'Q (t)'!I113</f>
        <v>0</v>
      </c>
      <c r="AA113" s="178">
        <f>'Q (t)'!J113</f>
        <v>0</v>
      </c>
      <c r="AB113" s="179">
        <f>'Q (t)'!K113</f>
        <v>0</v>
      </c>
      <c r="AC113" s="178">
        <f>'Q (t)'!L113</f>
        <v>0</v>
      </c>
      <c r="AD113" s="178">
        <f>'Q (t)'!M113</f>
        <v>0</v>
      </c>
      <c r="AE113" s="178">
        <f>'Q (t)'!N113</f>
        <v>0</v>
      </c>
      <c r="AF113" s="179">
        <f>'Q (t)'!O113</f>
        <v>0</v>
      </c>
      <c r="AG113" s="178">
        <f>'Q (t)'!P113</f>
        <v>0</v>
      </c>
      <c r="AH113" s="178">
        <f>'Q (t)'!Q113</f>
        <v>0</v>
      </c>
      <c r="AI113" s="179">
        <f>'Q (t)'!R113</f>
        <v>0</v>
      </c>
      <c r="AJ113" s="184">
        <f>'Q (t)'!S113</f>
        <v>0</v>
      </c>
      <c r="AK113" s="178">
        <f>'Q (t)'!T113</f>
        <v>0</v>
      </c>
      <c r="AL113" s="184">
        <f>'Q (t)'!U113</f>
        <v>0</v>
      </c>
      <c r="AM113" s="179">
        <f>'Q (t)'!V113</f>
        <v>0</v>
      </c>
      <c r="AO113" s="183">
        <f t="shared" si="74"/>
        <v>0</v>
      </c>
      <c r="AP113" s="184">
        <f t="shared" si="118"/>
        <v>0</v>
      </c>
      <c r="AQ113" s="178">
        <f t="shared" si="118"/>
        <v>0</v>
      </c>
      <c r="AR113" s="178">
        <f t="shared" si="118"/>
        <v>0</v>
      </c>
      <c r="AS113" s="179">
        <f t="shared" si="118"/>
        <v>0</v>
      </c>
      <c r="AT113" s="178">
        <f t="shared" si="118"/>
        <v>0</v>
      </c>
      <c r="AU113" s="178">
        <f t="shared" si="118"/>
        <v>0</v>
      </c>
      <c r="AV113" s="178">
        <f t="shared" si="118"/>
        <v>0</v>
      </c>
      <c r="AW113" s="179">
        <f t="shared" si="118"/>
        <v>0</v>
      </c>
      <c r="AX113" s="178">
        <f t="shared" si="67"/>
        <v>0</v>
      </c>
      <c r="AY113" s="178">
        <f t="shared" si="68"/>
        <v>0</v>
      </c>
      <c r="AZ113" s="179">
        <f t="shared" si="69"/>
        <v>0</v>
      </c>
      <c r="BA113" s="184">
        <f t="shared" si="70"/>
        <v>0</v>
      </c>
      <c r="BB113" s="178">
        <f t="shared" si="71"/>
        <v>0</v>
      </c>
      <c r="BC113" s="184">
        <f t="shared" si="72"/>
        <v>0</v>
      </c>
      <c r="BD113" s="178">
        <f t="shared" si="73"/>
        <v>0</v>
      </c>
      <c r="BE113" s="251">
        <f t="shared" si="75"/>
        <v>0</v>
      </c>
      <c r="BF113" s="252">
        <f t="shared" si="137"/>
        <v>0</v>
      </c>
      <c r="BH113" s="262">
        <f>SUM(AO113)</f>
        <v>0</v>
      </c>
      <c r="BI113" s="262">
        <f>SUM(AP113:AS113)</f>
        <v>0</v>
      </c>
      <c r="BJ113" s="262">
        <f>SUM(AT113:AW113)</f>
        <v>0</v>
      </c>
      <c r="BK113" s="263">
        <f>SUM(AX113:BB113)</f>
        <v>0</v>
      </c>
      <c r="BL113" s="269">
        <f>SUM(BC113:BD113)</f>
        <v>0</v>
      </c>
      <c r="BM113" s="264">
        <f t="shared" si="77"/>
        <v>0</v>
      </c>
      <c r="BO113" s="732" t="str">
        <f t="shared" si="78"/>
        <v/>
      </c>
    </row>
    <row r="114" spans="1:70" ht="15" customHeight="1" x14ac:dyDescent="0.25">
      <c r="B114" s="156">
        <f>B113+1</f>
        <v>18</v>
      </c>
      <c r="C114" s="180" t="s">
        <v>135</v>
      </c>
      <c r="D114" s="181"/>
      <c r="E114" s="210" t="s">
        <v>136</v>
      </c>
      <c r="G114" s="488">
        <f>'Cust Specific'!R306</f>
        <v>0</v>
      </c>
      <c r="H114" s="489">
        <f>'Cust Specific'!R309</f>
        <v>1.6000000000000001E-3</v>
      </c>
      <c r="I114" s="471"/>
      <c r="J114" s="471"/>
      <c r="K114" s="472"/>
      <c r="L114" s="471"/>
      <c r="M114" s="471"/>
      <c r="N114" s="471"/>
      <c r="O114" s="472"/>
      <c r="P114" s="471"/>
      <c r="Q114" s="471"/>
      <c r="R114" s="472"/>
      <c r="S114" s="489">
        <f>'Cust Specific'!R307</f>
        <v>0</v>
      </c>
      <c r="T114" s="494">
        <f>'Cust Specific'!R308</f>
        <v>4.1399999999999999E-2</v>
      </c>
      <c r="U114" s="491"/>
      <c r="V114" s="492"/>
      <c r="X114" s="183">
        <f>'Q (t)'!G114</f>
        <v>365</v>
      </c>
      <c r="Y114" s="184">
        <f>'Q (t)'!H114</f>
        <v>8287.9185390000002</v>
      </c>
      <c r="Z114" s="178">
        <f>'Q (t)'!I114</f>
        <v>0</v>
      </c>
      <c r="AA114" s="178">
        <f>'Q (t)'!J114</f>
        <v>0</v>
      </c>
      <c r="AB114" s="179">
        <f>'Q (t)'!K114</f>
        <v>0</v>
      </c>
      <c r="AC114" s="178">
        <f>'Q (t)'!L114</f>
        <v>0</v>
      </c>
      <c r="AD114" s="178">
        <f>'Q (t)'!M114</f>
        <v>0</v>
      </c>
      <c r="AE114" s="178">
        <f>'Q (t)'!N114</f>
        <v>0</v>
      </c>
      <c r="AF114" s="179">
        <f>'Q (t)'!O114</f>
        <v>0</v>
      </c>
      <c r="AG114" s="178">
        <f>'Q (t)'!P114</f>
        <v>0</v>
      </c>
      <c r="AH114" s="178">
        <f>'Q (t)'!Q114</f>
        <v>0</v>
      </c>
      <c r="AI114" s="179">
        <f>'Q (t)'!R114</f>
        <v>0</v>
      </c>
      <c r="AJ114" s="184">
        <f>'Q (t)'!S114</f>
        <v>1070883.72</v>
      </c>
      <c r="AK114" s="178">
        <f>'Q (t)'!T114</f>
        <v>2372500</v>
      </c>
      <c r="AL114" s="184">
        <f>'Q (t)'!U114</f>
        <v>0</v>
      </c>
      <c r="AM114" s="179">
        <f>'Q (t)'!V114</f>
        <v>0</v>
      </c>
      <c r="AO114" s="183">
        <f t="shared" si="74"/>
        <v>0</v>
      </c>
      <c r="AP114" s="184">
        <f t="shared" si="118"/>
        <v>13.260669662400002</v>
      </c>
      <c r="AQ114" s="178">
        <f t="shared" si="118"/>
        <v>0</v>
      </c>
      <c r="AR114" s="178">
        <f t="shared" si="118"/>
        <v>0</v>
      </c>
      <c r="AS114" s="179">
        <f t="shared" si="118"/>
        <v>0</v>
      </c>
      <c r="AT114" s="178">
        <f t="shared" si="118"/>
        <v>0</v>
      </c>
      <c r="AU114" s="178">
        <f t="shared" si="118"/>
        <v>0</v>
      </c>
      <c r="AV114" s="178">
        <f t="shared" si="118"/>
        <v>0</v>
      </c>
      <c r="AW114" s="179">
        <f t="shared" si="118"/>
        <v>0</v>
      </c>
      <c r="AX114" s="178">
        <f t="shared" si="67"/>
        <v>0</v>
      </c>
      <c r="AY114" s="178">
        <f t="shared" si="68"/>
        <v>0</v>
      </c>
      <c r="AZ114" s="179">
        <f t="shared" si="69"/>
        <v>0</v>
      </c>
      <c r="BA114" s="184">
        <f t="shared" si="70"/>
        <v>0</v>
      </c>
      <c r="BB114" s="178">
        <f t="shared" si="71"/>
        <v>98.221500000000006</v>
      </c>
      <c r="BC114" s="184">
        <f t="shared" si="72"/>
        <v>0</v>
      </c>
      <c r="BD114" s="178">
        <f t="shared" si="73"/>
        <v>0</v>
      </c>
      <c r="BE114" s="251">
        <f t="shared" si="75"/>
        <v>1</v>
      </c>
      <c r="BF114" s="252">
        <f t="shared" si="137"/>
        <v>8287.9185390000002</v>
      </c>
      <c r="BH114" s="262">
        <f>SUM(AO114)</f>
        <v>0</v>
      </c>
      <c r="BI114" s="262">
        <f>SUM(AP114:AS114)</f>
        <v>13.260669662400002</v>
      </c>
      <c r="BJ114" s="262">
        <f>SUM(AT114:AW114)</f>
        <v>0</v>
      </c>
      <c r="BK114" s="263">
        <f>SUM(AX114:BB114)</f>
        <v>98.221500000000006</v>
      </c>
      <c r="BL114" s="269">
        <f>SUM(BC114:BD114)</f>
        <v>0</v>
      </c>
      <c r="BM114" s="264">
        <f t="shared" si="77"/>
        <v>111.48216966240001</v>
      </c>
      <c r="BO114" s="732">
        <f t="shared" si="78"/>
        <v>13.451166193032005</v>
      </c>
    </row>
    <row r="115" spans="1:70" ht="15" customHeight="1" x14ac:dyDescent="0.25">
      <c r="B115" s="156">
        <f t="shared" si="119"/>
        <v>19</v>
      </c>
      <c r="C115" s="180" t="s">
        <v>137</v>
      </c>
      <c r="D115" s="181"/>
      <c r="E115" s="210" t="s">
        <v>136</v>
      </c>
      <c r="G115" s="488">
        <f>'Cust Specific'!R313</f>
        <v>1019.18</v>
      </c>
      <c r="H115" s="489">
        <f>'Cust Specific'!R316</f>
        <v>1.6000000000000001E-3</v>
      </c>
      <c r="I115" s="471"/>
      <c r="J115" s="471"/>
      <c r="K115" s="472"/>
      <c r="L115" s="471"/>
      <c r="M115" s="471"/>
      <c r="N115" s="471"/>
      <c r="O115" s="472"/>
      <c r="P115" s="471"/>
      <c r="Q115" s="471"/>
      <c r="R115" s="472"/>
      <c r="S115" s="489">
        <f>'Cust Specific'!R314</f>
        <v>0</v>
      </c>
      <c r="T115" s="494">
        <f>'Cust Specific'!R315</f>
        <v>4.1399999999999999E-2</v>
      </c>
      <c r="U115" s="491"/>
      <c r="V115" s="492"/>
      <c r="X115" s="183">
        <f>'Q (t)'!G115</f>
        <v>365</v>
      </c>
      <c r="Y115" s="184">
        <f>'Q (t)'!H115</f>
        <v>2738.69022</v>
      </c>
      <c r="Z115" s="178">
        <f>'Q (t)'!I115</f>
        <v>0</v>
      </c>
      <c r="AA115" s="178">
        <f>'Q (t)'!J115</f>
        <v>0</v>
      </c>
      <c r="AB115" s="179">
        <f>'Q (t)'!K115</f>
        <v>0</v>
      </c>
      <c r="AC115" s="178">
        <f>'Q (t)'!L115</f>
        <v>0</v>
      </c>
      <c r="AD115" s="178">
        <f>'Q (t)'!M115</f>
        <v>0</v>
      </c>
      <c r="AE115" s="178">
        <f>'Q (t)'!N115</f>
        <v>0</v>
      </c>
      <c r="AF115" s="179">
        <f>'Q (t)'!O115</f>
        <v>0</v>
      </c>
      <c r="AG115" s="178">
        <f>'Q (t)'!P115</f>
        <v>0</v>
      </c>
      <c r="AH115" s="178">
        <f>'Q (t)'!Q115</f>
        <v>0</v>
      </c>
      <c r="AI115" s="179">
        <f>'Q (t)'!R115</f>
        <v>0</v>
      </c>
      <c r="AJ115" s="184">
        <f>'Q (t)'!S115</f>
        <v>308511.505</v>
      </c>
      <c r="AK115" s="178">
        <f>'Q (t)'!T115</f>
        <v>318869.83999999997</v>
      </c>
      <c r="AL115" s="184">
        <f>'Q (t)'!U115</f>
        <v>0</v>
      </c>
      <c r="AM115" s="179">
        <f>'Q (t)'!V115</f>
        <v>0</v>
      </c>
      <c r="AO115" s="183">
        <f t="shared" si="74"/>
        <v>372.00069999999994</v>
      </c>
      <c r="AP115" s="184">
        <f t="shared" ref="AP115:AW126" si="138">H115*Y115</f>
        <v>4.3819043520000003</v>
      </c>
      <c r="AQ115" s="178">
        <f t="shared" si="138"/>
        <v>0</v>
      </c>
      <c r="AR115" s="178">
        <f t="shared" si="138"/>
        <v>0</v>
      </c>
      <c r="AS115" s="179">
        <f t="shared" si="138"/>
        <v>0</v>
      </c>
      <c r="AT115" s="178">
        <f t="shared" si="138"/>
        <v>0</v>
      </c>
      <c r="AU115" s="178">
        <f t="shared" si="138"/>
        <v>0</v>
      </c>
      <c r="AV115" s="178">
        <f t="shared" si="138"/>
        <v>0</v>
      </c>
      <c r="AW115" s="179">
        <f t="shared" si="138"/>
        <v>0</v>
      </c>
      <c r="AX115" s="178">
        <f t="shared" si="67"/>
        <v>0</v>
      </c>
      <c r="AY115" s="178">
        <f t="shared" si="68"/>
        <v>0</v>
      </c>
      <c r="AZ115" s="179">
        <f t="shared" si="69"/>
        <v>0</v>
      </c>
      <c r="BA115" s="184">
        <f t="shared" si="70"/>
        <v>0</v>
      </c>
      <c r="BB115" s="178">
        <f t="shared" si="71"/>
        <v>13.201211376</v>
      </c>
      <c r="BC115" s="184">
        <f t="shared" si="72"/>
        <v>0</v>
      </c>
      <c r="BD115" s="178">
        <f t="shared" si="73"/>
        <v>0</v>
      </c>
      <c r="BE115" s="251">
        <f t="shared" si="75"/>
        <v>1</v>
      </c>
      <c r="BF115" s="252">
        <f t="shared" si="137"/>
        <v>2738.69022</v>
      </c>
      <c r="BH115" s="262">
        <f>SUM(AO115)</f>
        <v>372.00069999999994</v>
      </c>
      <c r="BI115" s="262">
        <f>SUM(AP115:AS115)</f>
        <v>4.3819043520000003</v>
      </c>
      <c r="BJ115" s="262">
        <f>SUM(AT115:AW115)</f>
        <v>0</v>
      </c>
      <c r="BK115" s="263">
        <f>SUM(AX115:BB115)</f>
        <v>13.201211376</v>
      </c>
      <c r="BL115" s="269">
        <f>SUM(BC115:BD115)</f>
        <v>0</v>
      </c>
      <c r="BM115" s="264">
        <f t="shared" si="77"/>
        <v>389.58381572799993</v>
      </c>
      <c r="BO115" s="732">
        <f t="shared" si="78"/>
        <v>142.2518738639962</v>
      </c>
    </row>
    <row r="116" spans="1:70" ht="15" customHeight="1" x14ac:dyDescent="0.25">
      <c r="B116" s="156">
        <f t="shared" si="119"/>
        <v>20</v>
      </c>
      <c r="C116" s="180" t="s">
        <v>138</v>
      </c>
      <c r="D116" s="181"/>
      <c r="E116" s="210" t="s">
        <v>136</v>
      </c>
      <c r="G116" s="488">
        <f>'Cust Specific'!R320</f>
        <v>432.88</v>
      </c>
      <c r="H116" s="489">
        <f>'Cust Specific'!R323</f>
        <v>1.6000000000000001E-3</v>
      </c>
      <c r="I116" s="471"/>
      <c r="J116" s="471"/>
      <c r="K116" s="472"/>
      <c r="L116" s="471"/>
      <c r="M116" s="471"/>
      <c r="N116" s="471"/>
      <c r="O116" s="472"/>
      <c r="P116" s="471"/>
      <c r="Q116" s="471"/>
      <c r="R116" s="472"/>
      <c r="S116" s="489">
        <f>'Cust Specific'!R321</f>
        <v>0</v>
      </c>
      <c r="T116" s="494">
        <f>'Cust Specific'!R322</f>
        <v>4.1399999999999999E-2</v>
      </c>
      <c r="U116" s="491"/>
      <c r="V116" s="492"/>
      <c r="X116" s="183">
        <f>'Q (t)'!G116</f>
        <v>365</v>
      </c>
      <c r="Y116" s="184">
        <f>'Q (t)'!H116</f>
        <v>9800</v>
      </c>
      <c r="Z116" s="178">
        <f>'Q (t)'!I116</f>
        <v>0</v>
      </c>
      <c r="AA116" s="178">
        <f>'Q (t)'!J116</f>
        <v>0</v>
      </c>
      <c r="AB116" s="179">
        <f>'Q (t)'!K116</f>
        <v>0</v>
      </c>
      <c r="AC116" s="178">
        <f>'Q (t)'!L116</f>
        <v>0</v>
      </c>
      <c r="AD116" s="178">
        <f>'Q (t)'!M116</f>
        <v>0</v>
      </c>
      <c r="AE116" s="178">
        <f>'Q (t)'!N116</f>
        <v>0</v>
      </c>
      <c r="AF116" s="179">
        <f>'Q (t)'!O116</f>
        <v>0</v>
      </c>
      <c r="AG116" s="178">
        <f>'Q (t)'!P116</f>
        <v>0</v>
      </c>
      <c r="AH116" s="178">
        <f>'Q (t)'!Q116</f>
        <v>0</v>
      </c>
      <c r="AI116" s="179">
        <f>'Q (t)'!R116</f>
        <v>0</v>
      </c>
      <c r="AJ116" s="184">
        <f>'Q (t)'!S116</f>
        <v>1414892.2050000001</v>
      </c>
      <c r="AK116" s="178">
        <f>'Q (t)'!T116</f>
        <v>1825000</v>
      </c>
      <c r="AL116" s="184">
        <f>'Q (t)'!U116</f>
        <v>0</v>
      </c>
      <c r="AM116" s="179">
        <f>'Q (t)'!V116</f>
        <v>0</v>
      </c>
      <c r="AO116" s="183">
        <f t="shared" si="74"/>
        <v>158.00120000000001</v>
      </c>
      <c r="AP116" s="184">
        <f t="shared" si="138"/>
        <v>15.680000000000001</v>
      </c>
      <c r="AQ116" s="178">
        <f t="shared" si="138"/>
        <v>0</v>
      </c>
      <c r="AR116" s="178">
        <f t="shared" si="138"/>
        <v>0</v>
      </c>
      <c r="AS116" s="179">
        <f t="shared" si="138"/>
        <v>0</v>
      </c>
      <c r="AT116" s="178">
        <f t="shared" si="138"/>
        <v>0</v>
      </c>
      <c r="AU116" s="178">
        <f t="shared" si="138"/>
        <v>0</v>
      </c>
      <c r="AV116" s="178">
        <f t="shared" si="138"/>
        <v>0</v>
      </c>
      <c r="AW116" s="179">
        <f t="shared" si="138"/>
        <v>0</v>
      </c>
      <c r="AX116" s="178">
        <f t="shared" si="67"/>
        <v>0</v>
      </c>
      <c r="AY116" s="178">
        <f t="shared" si="68"/>
        <v>0</v>
      </c>
      <c r="AZ116" s="179">
        <f t="shared" si="69"/>
        <v>0</v>
      </c>
      <c r="BA116" s="184">
        <f t="shared" si="70"/>
        <v>0</v>
      </c>
      <c r="BB116" s="178">
        <f t="shared" si="71"/>
        <v>75.555000000000007</v>
      </c>
      <c r="BC116" s="184">
        <f t="shared" si="72"/>
        <v>0</v>
      </c>
      <c r="BD116" s="178">
        <f t="shared" si="73"/>
        <v>0</v>
      </c>
      <c r="BE116" s="251">
        <f t="shared" si="75"/>
        <v>1</v>
      </c>
      <c r="BF116" s="252">
        <f t="shared" si="137"/>
        <v>9800</v>
      </c>
      <c r="BH116" s="262">
        <f>SUM(AO116)</f>
        <v>158.00120000000001</v>
      </c>
      <c r="BI116" s="262">
        <f>SUM(AP116:AS116)</f>
        <v>15.680000000000001</v>
      </c>
      <c r="BJ116" s="262">
        <f>SUM(AT116:AW116)</f>
        <v>0</v>
      </c>
      <c r="BK116" s="263">
        <f>SUM(AX116:BB116)</f>
        <v>75.555000000000007</v>
      </c>
      <c r="BL116" s="269">
        <f>SUM(BC116:BD116)</f>
        <v>0</v>
      </c>
      <c r="BM116" s="264">
        <f t="shared" si="77"/>
        <v>249.23620000000003</v>
      </c>
      <c r="BO116" s="732">
        <f t="shared" si="78"/>
        <v>25.432265306122449</v>
      </c>
    </row>
    <row r="117" spans="1:70" ht="15" customHeight="1" x14ac:dyDescent="0.25">
      <c r="B117" s="156"/>
      <c r="C117" s="126" t="s">
        <v>139</v>
      </c>
      <c r="D117" s="202"/>
      <c r="E117" s="202"/>
      <c r="G117" s="493"/>
      <c r="H117" s="490"/>
      <c r="I117" s="471"/>
      <c r="J117" s="471"/>
      <c r="K117" s="472"/>
      <c r="L117" s="471"/>
      <c r="M117" s="471"/>
      <c r="N117" s="471"/>
      <c r="O117" s="472"/>
      <c r="P117" s="471"/>
      <c r="Q117" s="471"/>
      <c r="R117" s="472"/>
      <c r="S117" s="490"/>
      <c r="T117" s="471"/>
      <c r="U117" s="490"/>
      <c r="V117" s="472"/>
      <c r="X117" s="183">
        <f>'Q (t)'!G117</f>
        <v>0</v>
      </c>
      <c r="Y117" s="184">
        <f>'Q (t)'!H117</f>
        <v>0</v>
      </c>
      <c r="Z117" s="178">
        <f>'Q (t)'!I117</f>
        <v>0</v>
      </c>
      <c r="AA117" s="178">
        <f>'Q (t)'!J117</f>
        <v>0</v>
      </c>
      <c r="AB117" s="179">
        <f>'Q (t)'!K117</f>
        <v>0</v>
      </c>
      <c r="AC117" s="178">
        <f>'Q (t)'!L117</f>
        <v>0</v>
      </c>
      <c r="AD117" s="178">
        <f>'Q (t)'!M117</f>
        <v>0</v>
      </c>
      <c r="AE117" s="178">
        <f>'Q (t)'!N117</f>
        <v>0</v>
      </c>
      <c r="AF117" s="179">
        <f>'Q (t)'!O117</f>
        <v>0</v>
      </c>
      <c r="AG117" s="178">
        <f>'Q (t)'!P117</f>
        <v>0</v>
      </c>
      <c r="AH117" s="178">
        <f>'Q (t)'!Q117</f>
        <v>0</v>
      </c>
      <c r="AI117" s="179">
        <f>'Q (t)'!R117</f>
        <v>0</v>
      </c>
      <c r="AJ117" s="184">
        <f>'Q (t)'!S117</f>
        <v>0</v>
      </c>
      <c r="AK117" s="178">
        <f>'Q (t)'!T117</f>
        <v>0</v>
      </c>
      <c r="AL117" s="184">
        <f>'Q (t)'!U117</f>
        <v>0</v>
      </c>
      <c r="AM117" s="179">
        <f>'Q (t)'!V117</f>
        <v>0</v>
      </c>
      <c r="AO117" s="183">
        <f t="shared" si="74"/>
        <v>0</v>
      </c>
      <c r="AP117" s="184">
        <f t="shared" si="138"/>
        <v>0</v>
      </c>
      <c r="AQ117" s="178">
        <f t="shared" si="138"/>
        <v>0</v>
      </c>
      <c r="AR117" s="178">
        <f t="shared" si="138"/>
        <v>0</v>
      </c>
      <c r="AS117" s="179">
        <f t="shared" si="138"/>
        <v>0</v>
      </c>
      <c r="AT117" s="178">
        <f t="shared" si="138"/>
        <v>0</v>
      </c>
      <c r="AU117" s="178">
        <f t="shared" si="138"/>
        <v>0</v>
      </c>
      <c r="AV117" s="178">
        <f t="shared" si="138"/>
        <v>0</v>
      </c>
      <c r="AW117" s="179">
        <f t="shared" si="138"/>
        <v>0</v>
      </c>
      <c r="AX117" s="178">
        <f t="shared" si="67"/>
        <v>0</v>
      </c>
      <c r="AY117" s="178">
        <f t="shared" si="68"/>
        <v>0</v>
      </c>
      <c r="AZ117" s="179">
        <f t="shared" si="69"/>
        <v>0</v>
      </c>
      <c r="BA117" s="184">
        <f t="shared" si="70"/>
        <v>0</v>
      </c>
      <c r="BB117" s="178">
        <f t="shared" si="71"/>
        <v>0</v>
      </c>
      <c r="BC117" s="184">
        <f t="shared" si="72"/>
        <v>0</v>
      </c>
      <c r="BD117" s="178">
        <f t="shared" si="73"/>
        <v>0</v>
      </c>
      <c r="BE117" s="251">
        <f t="shared" si="75"/>
        <v>0</v>
      </c>
      <c r="BF117" s="252">
        <f t="shared" si="137"/>
        <v>0</v>
      </c>
      <c r="BH117" s="259">
        <f>SUBTOTAL(9,BH118:BH126)</f>
        <v>0</v>
      </c>
      <c r="BI117" s="259">
        <f t="shared" ref="BI117:BL117" si="139">SUBTOTAL(9,BI118:BI126)</f>
        <v>1062.8044899327999</v>
      </c>
      <c r="BJ117" s="259">
        <f t="shared" si="139"/>
        <v>0</v>
      </c>
      <c r="BK117" s="259">
        <f t="shared" si="139"/>
        <v>2917.0376550360002</v>
      </c>
      <c r="BL117" s="259">
        <f t="shared" si="139"/>
        <v>0</v>
      </c>
      <c r="BM117" s="264">
        <f t="shared" si="77"/>
        <v>3979.8421449688003</v>
      </c>
      <c r="BO117" s="732" t="str">
        <f t="shared" si="78"/>
        <v/>
      </c>
    </row>
    <row r="118" spans="1:70" ht="15" customHeight="1" x14ac:dyDescent="0.25">
      <c r="B118" s="156">
        <f>B116+1</f>
        <v>21</v>
      </c>
      <c r="C118" s="180" t="s">
        <v>140</v>
      </c>
      <c r="D118" s="181"/>
      <c r="E118" s="210" t="s">
        <v>141</v>
      </c>
      <c r="G118" s="488">
        <f>'Cust Specific'!R331</f>
        <v>0</v>
      </c>
      <c r="H118" s="489">
        <f>'Cust Specific'!R334</f>
        <v>1.6000000000000001E-3</v>
      </c>
      <c r="I118" s="471"/>
      <c r="J118" s="471"/>
      <c r="K118" s="472"/>
      <c r="L118" s="471"/>
      <c r="M118" s="471"/>
      <c r="N118" s="471"/>
      <c r="O118" s="472"/>
      <c r="P118" s="471"/>
      <c r="Q118" s="471"/>
      <c r="R118" s="472"/>
      <c r="S118" s="489">
        <f>'Cust Specific'!R332</f>
        <v>0</v>
      </c>
      <c r="T118" s="494">
        <f>'Cust Specific'!R333</f>
        <v>4.1399999999999999E-2</v>
      </c>
      <c r="U118" s="491"/>
      <c r="V118" s="492"/>
      <c r="X118" s="183">
        <f>'Q (t)'!G118</f>
        <v>365</v>
      </c>
      <c r="Y118" s="184">
        <f>'Q (t)'!H118</f>
        <v>150000</v>
      </c>
      <c r="Z118" s="178">
        <f>'Q (t)'!I118</f>
        <v>0</v>
      </c>
      <c r="AA118" s="178">
        <f>'Q (t)'!J118</f>
        <v>0</v>
      </c>
      <c r="AB118" s="179">
        <f>'Q (t)'!K118</f>
        <v>0</v>
      </c>
      <c r="AC118" s="178">
        <f>'Q (t)'!L118</f>
        <v>0</v>
      </c>
      <c r="AD118" s="178">
        <f>'Q (t)'!M118</f>
        <v>0</v>
      </c>
      <c r="AE118" s="178">
        <f>'Q (t)'!N118</f>
        <v>0</v>
      </c>
      <c r="AF118" s="179">
        <f>'Q (t)'!O118</f>
        <v>0</v>
      </c>
      <c r="AG118" s="178">
        <f>'Q (t)'!P118</f>
        <v>0</v>
      </c>
      <c r="AH118" s="178">
        <f>'Q (t)'!Q118</f>
        <v>0</v>
      </c>
      <c r="AI118" s="179">
        <f>'Q (t)'!R118</f>
        <v>0</v>
      </c>
      <c r="AJ118" s="184">
        <f>'Q (t)'!S118</f>
        <v>7717962.2299999995</v>
      </c>
      <c r="AK118" s="178">
        <f>'Q (t)'!T118</f>
        <v>8005846.4900000002</v>
      </c>
      <c r="AL118" s="184">
        <f>'Q (t)'!U118</f>
        <v>0</v>
      </c>
      <c r="AM118" s="179">
        <f>'Q (t)'!V118</f>
        <v>0</v>
      </c>
      <c r="AO118" s="183">
        <f t="shared" si="74"/>
        <v>0</v>
      </c>
      <c r="AP118" s="184">
        <f t="shared" si="138"/>
        <v>240</v>
      </c>
      <c r="AQ118" s="178">
        <f t="shared" si="138"/>
        <v>0</v>
      </c>
      <c r="AR118" s="178">
        <f t="shared" si="138"/>
        <v>0</v>
      </c>
      <c r="AS118" s="179">
        <f t="shared" si="138"/>
        <v>0</v>
      </c>
      <c r="AT118" s="178">
        <f t="shared" si="138"/>
        <v>0</v>
      </c>
      <c r="AU118" s="178">
        <f t="shared" si="138"/>
        <v>0</v>
      </c>
      <c r="AV118" s="178">
        <f t="shared" si="138"/>
        <v>0</v>
      </c>
      <c r="AW118" s="179">
        <f t="shared" si="138"/>
        <v>0</v>
      </c>
      <c r="AX118" s="178">
        <f t="shared" si="67"/>
        <v>0</v>
      </c>
      <c r="AY118" s="178">
        <f t="shared" si="68"/>
        <v>0</v>
      </c>
      <c r="AZ118" s="179">
        <f t="shared" si="69"/>
        <v>0</v>
      </c>
      <c r="BA118" s="184">
        <f t="shared" si="70"/>
        <v>0</v>
      </c>
      <c r="BB118" s="178">
        <f t="shared" si="71"/>
        <v>331.44204468599997</v>
      </c>
      <c r="BC118" s="184">
        <f t="shared" si="72"/>
        <v>0</v>
      </c>
      <c r="BD118" s="178">
        <f t="shared" si="73"/>
        <v>0</v>
      </c>
      <c r="BE118" s="251">
        <f t="shared" si="75"/>
        <v>1</v>
      </c>
      <c r="BF118" s="252">
        <f t="shared" si="137"/>
        <v>150000</v>
      </c>
      <c r="BH118" s="262">
        <f t="shared" ref="BH118:BH126" si="140">SUM(AO118)</f>
        <v>0</v>
      </c>
      <c r="BI118" s="262">
        <f t="shared" ref="BI118:BI126" si="141">SUM(AP118:AS118)</f>
        <v>240</v>
      </c>
      <c r="BJ118" s="262">
        <f t="shared" ref="BJ118:BJ126" si="142">SUM(AT118:AW118)</f>
        <v>0</v>
      </c>
      <c r="BK118" s="263">
        <f t="shared" ref="BK118:BK126" si="143">SUM(AX118:BB118)</f>
        <v>331.44204468599997</v>
      </c>
      <c r="BL118" s="269">
        <f t="shared" ref="BL118:BL126" si="144">SUM(BC118:BD118)</f>
        <v>0</v>
      </c>
      <c r="BM118" s="264">
        <f t="shared" si="77"/>
        <v>571.44204468599992</v>
      </c>
      <c r="BO118" s="732">
        <f t="shared" si="78"/>
        <v>3.8096136312399991</v>
      </c>
    </row>
    <row r="119" spans="1:70" ht="15" customHeight="1" x14ac:dyDescent="0.25">
      <c r="B119" s="156">
        <f t="shared" si="119"/>
        <v>22</v>
      </c>
      <c r="C119" s="180" t="s">
        <v>142</v>
      </c>
      <c r="D119" s="181"/>
      <c r="E119" s="210" t="s">
        <v>141</v>
      </c>
      <c r="G119" s="488">
        <f>'Cust Specific'!R338</f>
        <v>0</v>
      </c>
      <c r="H119" s="489">
        <f>'Cust Specific'!R341</f>
        <v>1.6000000000000001E-3</v>
      </c>
      <c r="I119" s="471"/>
      <c r="J119" s="471"/>
      <c r="K119" s="472"/>
      <c r="L119" s="471"/>
      <c r="M119" s="471"/>
      <c r="N119" s="471"/>
      <c r="O119" s="472"/>
      <c r="P119" s="471"/>
      <c r="Q119" s="471"/>
      <c r="R119" s="472"/>
      <c r="S119" s="489">
        <f>'Cust Specific'!R339</f>
        <v>0</v>
      </c>
      <c r="T119" s="494">
        <f>'Cust Specific'!R340</f>
        <v>4.1399999999999999E-2</v>
      </c>
      <c r="U119" s="491"/>
      <c r="V119" s="492"/>
      <c r="X119" s="183">
        <f>'Q (t)'!G119</f>
        <v>365</v>
      </c>
      <c r="Y119" s="184">
        <f>'Q (t)'!H119</f>
        <v>229778.88508499999</v>
      </c>
      <c r="Z119" s="178">
        <f>'Q (t)'!I119</f>
        <v>0</v>
      </c>
      <c r="AA119" s="178">
        <f>'Q (t)'!J119</f>
        <v>0</v>
      </c>
      <c r="AB119" s="179">
        <f>'Q (t)'!K119</f>
        <v>0</v>
      </c>
      <c r="AC119" s="178">
        <f>'Q (t)'!L119</f>
        <v>0</v>
      </c>
      <c r="AD119" s="178">
        <f>'Q (t)'!M119</f>
        <v>0</v>
      </c>
      <c r="AE119" s="178">
        <f>'Q (t)'!N119</f>
        <v>0</v>
      </c>
      <c r="AF119" s="179">
        <f>'Q (t)'!O119</f>
        <v>0</v>
      </c>
      <c r="AG119" s="178">
        <f>'Q (t)'!P119</f>
        <v>0</v>
      </c>
      <c r="AH119" s="178">
        <f>'Q (t)'!Q119</f>
        <v>0</v>
      </c>
      <c r="AI119" s="179">
        <f>'Q (t)'!R119</f>
        <v>0</v>
      </c>
      <c r="AJ119" s="184">
        <f>'Q (t)'!S119</f>
        <v>10220000</v>
      </c>
      <c r="AK119" s="178">
        <f>'Q (t)'!T119</f>
        <v>18207293.905000001</v>
      </c>
      <c r="AL119" s="184">
        <f>'Q (t)'!U119</f>
        <v>0</v>
      </c>
      <c r="AM119" s="179">
        <f>'Q (t)'!V119</f>
        <v>0</v>
      </c>
      <c r="AO119" s="183">
        <f t="shared" si="74"/>
        <v>0</v>
      </c>
      <c r="AP119" s="184">
        <f t="shared" si="138"/>
        <v>367.64621613600002</v>
      </c>
      <c r="AQ119" s="178">
        <f t="shared" si="138"/>
        <v>0</v>
      </c>
      <c r="AR119" s="178">
        <f t="shared" si="138"/>
        <v>0</v>
      </c>
      <c r="AS119" s="179">
        <f t="shared" si="138"/>
        <v>0</v>
      </c>
      <c r="AT119" s="178">
        <f t="shared" si="138"/>
        <v>0</v>
      </c>
      <c r="AU119" s="178">
        <f t="shared" si="138"/>
        <v>0</v>
      </c>
      <c r="AV119" s="178">
        <f t="shared" si="138"/>
        <v>0</v>
      </c>
      <c r="AW119" s="179">
        <f t="shared" si="138"/>
        <v>0</v>
      </c>
      <c r="AX119" s="178">
        <f t="shared" si="67"/>
        <v>0</v>
      </c>
      <c r="AY119" s="178">
        <f t="shared" si="68"/>
        <v>0</v>
      </c>
      <c r="AZ119" s="179">
        <f t="shared" si="69"/>
        <v>0</v>
      </c>
      <c r="BA119" s="184">
        <f t="shared" si="70"/>
        <v>0</v>
      </c>
      <c r="BB119" s="178">
        <f t="shared" si="71"/>
        <v>753.781967667</v>
      </c>
      <c r="BC119" s="184">
        <f t="shared" si="72"/>
        <v>0</v>
      </c>
      <c r="BD119" s="178">
        <f t="shared" si="73"/>
        <v>0</v>
      </c>
      <c r="BE119" s="251">
        <f t="shared" si="75"/>
        <v>1</v>
      </c>
      <c r="BF119" s="252">
        <f t="shared" si="137"/>
        <v>229778.88508499999</v>
      </c>
      <c r="BH119" s="262">
        <f t="shared" si="140"/>
        <v>0</v>
      </c>
      <c r="BI119" s="262">
        <f t="shared" si="141"/>
        <v>367.64621613600002</v>
      </c>
      <c r="BJ119" s="262">
        <f t="shared" si="142"/>
        <v>0</v>
      </c>
      <c r="BK119" s="263">
        <f t="shared" si="143"/>
        <v>753.781967667</v>
      </c>
      <c r="BL119" s="269">
        <f t="shared" si="144"/>
        <v>0</v>
      </c>
      <c r="BM119" s="264">
        <f t="shared" si="77"/>
        <v>1121.4281838030001</v>
      </c>
      <c r="BO119" s="732">
        <f t="shared" si="78"/>
        <v>4.880466642477443</v>
      </c>
    </row>
    <row r="120" spans="1:70" ht="15" customHeight="1" x14ac:dyDescent="0.25">
      <c r="B120" s="156">
        <f t="shared" si="119"/>
        <v>23</v>
      </c>
      <c r="C120" s="180" t="s">
        <v>143</v>
      </c>
      <c r="D120" s="181"/>
      <c r="E120" s="210" t="s">
        <v>141</v>
      </c>
      <c r="G120" s="488">
        <f>'Cust Specific'!R345</f>
        <v>0</v>
      </c>
      <c r="H120" s="489">
        <f>'Cust Specific'!R348</f>
        <v>1.6000000000000001E-3</v>
      </c>
      <c r="I120" s="471"/>
      <c r="J120" s="471"/>
      <c r="K120" s="472"/>
      <c r="L120" s="471"/>
      <c r="M120" s="471"/>
      <c r="N120" s="471"/>
      <c r="O120" s="472"/>
      <c r="P120" s="471"/>
      <c r="Q120" s="471"/>
      <c r="R120" s="472"/>
      <c r="S120" s="489">
        <f>'Cust Specific'!R346</f>
        <v>0</v>
      </c>
      <c r="T120" s="494">
        <f>'Cust Specific'!R347</f>
        <v>4.1399999999999999E-2</v>
      </c>
      <c r="U120" s="491"/>
      <c r="V120" s="492"/>
      <c r="X120" s="183">
        <f>'Q (t)'!G120</f>
        <v>365</v>
      </c>
      <c r="Y120" s="184">
        <f>'Q (t)'!H120</f>
        <v>85000</v>
      </c>
      <c r="Z120" s="178">
        <f>'Q (t)'!I120</f>
        <v>0</v>
      </c>
      <c r="AA120" s="178">
        <f>'Q (t)'!J120</f>
        <v>0</v>
      </c>
      <c r="AB120" s="179">
        <f>'Q (t)'!K120</f>
        <v>0</v>
      </c>
      <c r="AC120" s="178">
        <f>'Q (t)'!L120</f>
        <v>0</v>
      </c>
      <c r="AD120" s="178">
        <f>'Q (t)'!M120</f>
        <v>0</v>
      </c>
      <c r="AE120" s="178">
        <f>'Q (t)'!N120</f>
        <v>0</v>
      </c>
      <c r="AF120" s="179">
        <f>'Q (t)'!O120</f>
        <v>0</v>
      </c>
      <c r="AG120" s="178">
        <f>'Q (t)'!P120</f>
        <v>0</v>
      </c>
      <c r="AH120" s="178">
        <f>'Q (t)'!Q120</f>
        <v>0</v>
      </c>
      <c r="AI120" s="179">
        <f>'Q (t)'!R120</f>
        <v>0</v>
      </c>
      <c r="AJ120" s="184">
        <f>'Q (t)'!S120</f>
        <v>14547318.455</v>
      </c>
      <c r="AK120" s="178">
        <f>'Q (t)'!T120</f>
        <v>15953731.345000001</v>
      </c>
      <c r="AL120" s="184">
        <f>'Q (t)'!U120</f>
        <v>0</v>
      </c>
      <c r="AM120" s="179">
        <f>'Q (t)'!V120</f>
        <v>0</v>
      </c>
      <c r="AO120" s="183">
        <f t="shared" si="74"/>
        <v>0</v>
      </c>
      <c r="AP120" s="184">
        <f t="shared" si="138"/>
        <v>136</v>
      </c>
      <c r="AQ120" s="178">
        <f t="shared" si="138"/>
        <v>0</v>
      </c>
      <c r="AR120" s="178">
        <f t="shared" si="138"/>
        <v>0</v>
      </c>
      <c r="AS120" s="179">
        <f t="shared" si="138"/>
        <v>0</v>
      </c>
      <c r="AT120" s="178">
        <f t="shared" si="138"/>
        <v>0</v>
      </c>
      <c r="AU120" s="178">
        <f t="shared" si="138"/>
        <v>0</v>
      </c>
      <c r="AV120" s="178">
        <f t="shared" si="138"/>
        <v>0</v>
      </c>
      <c r="AW120" s="179">
        <f t="shared" si="138"/>
        <v>0</v>
      </c>
      <c r="AX120" s="178">
        <f t="shared" si="67"/>
        <v>0</v>
      </c>
      <c r="AY120" s="178">
        <f t="shared" si="68"/>
        <v>0</v>
      </c>
      <c r="AZ120" s="179">
        <f t="shared" si="69"/>
        <v>0</v>
      </c>
      <c r="BA120" s="184">
        <f t="shared" si="70"/>
        <v>0</v>
      </c>
      <c r="BB120" s="178">
        <f t="shared" si="71"/>
        <v>660.48447768300002</v>
      </c>
      <c r="BC120" s="184">
        <f t="shared" si="72"/>
        <v>0</v>
      </c>
      <c r="BD120" s="178">
        <f t="shared" si="73"/>
        <v>0</v>
      </c>
      <c r="BE120" s="251">
        <f t="shared" si="75"/>
        <v>1</v>
      </c>
      <c r="BF120" s="252">
        <f t="shared" si="137"/>
        <v>85000</v>
      </c>
      <c r="BH120" s="262">
        <f t="shared" si="140"/>
        <v>0</v>
      </c>
      <c r="BI120" s="262">
        <f t="shared" si="141"/>
        <v>136</v>
      </c>
      <c r="BJ120" s="262">
        <f t="shared" si="142"/>
        <v>0</v>
      </c>
      <c r="BK120" s="263">
        <f t="shared" si="143"/>
        <v>660.48447768300002</v>
      </c>
      <c r="BL120" s="269">
        <f t="shared" si="144"/>
        <v>0</v>
      </c>
      <c r="BM120" s="264">
        <f t="shared" si="77"/>
        <v>796.48447768300002</v>
      </c>
      <c r="BO120" s="732">
        <f t="shared" si="78"/>
        <v>9.3704056197999996</v>
      </c>
    </row>
    <row r="121" spans="1:70" ht="15" customHeight="1" x14ac:dyDescent="0.25">
      <c r="B121" s="156">
        <f t="shared" si="119"/>
        <v>24</v>
      </c>
      <c r="C121" s="180" t="s">
        <v>144</v>
      </c>
      <c r="D121" s="181"/>
      <c r="E121" s="210" t="s">
        <v>141</v>
      </c>
      <c r="G121" s="488">
        <f>'Cust Specific'!R352</f>
        <v>0</v>
      </c>
      <c r="H121" s="489">
        <f>'Cust Specific'!R355</f>
        <v>1.6000000000000001E-3</v>
      </c>
      <c r="I121" s="471"/>
      <c r="J121" s="471"/>
      <c r="K121" s="472"/>
      <c r="L121" s="471"/>
      <c r="M121" s="471"/>
      <c r="N121" s="471"/>
      <c r="O121" s="472"/>
      <c r="P121" s="471"/>
      <c r="Q121" s="471"/>
      <c r="R121" s="472"/>
      <c r="S121" s="489">
        <f>'Cust Specific'!R353</f>
        <v>0</v>
      </c>
      <c r="T121" s="494">
        <f>'Cust Specific'!R354</f>
        <v>4.1399999999999999E-2</v>
      </c>
      <c r="U121" s="491"/>
      <c r="V121" s="492"/>
      <c r="X121" s="183">
        <f>'Q (t)'!G121</f>
        <v>365</v>
      </c>
      <c r="Y121" s="184">
        <f>'Q (t)'!H121</f>
        <v>15061.964</v>
      </c>
      <c r="Z121" s="178">
        <f>'Q (t)'!I121</f>
        <v>0</v>
      </c>
      <c r="AA121" s="178">
        <f>'Q (t)'!J121</f>
        <v>0</v>
      </c>
      <c r="AB121" s="179">
        <f>'Q (t)'!K121</f>
        <v>0</v>
      </c>
      <c r="AC121" s="178">
        <f>'Q (t)'!L121</f>
        <v>0</v>
      </c>
      <c r="AD121" s="178">
        <f>'Q (t)'!M121</f>
        <v>0</v>
      </c>
      <c r="AE121" s="178">
        <f>'Q (t)'!N121</f>
        <v>0</v>
      </c>
      <c r="AF121" s="179">
        <f>'Q (t)'!O121</f>
        <v>0</v>
      </c>
      <c r="AG121" s="178">
        <f>'Q (t)'!P121</f>
        <v>0</v>
      </c>
      <c r="AH121" s="178">
        <f>'Q (t)'!Q121</f>
        <v>0</v>
      </c>
      <c r="AI121" s="179">
        <f>'Q (t)'!R121</f>
        <v>0</v>
      </c>
      <c r="AJ121" s="184">
        <f>'Q (t)'!S121</f>
        <v>1836743.875</v>
      </c>
      <c r="AK121" s="178">
        <f>'Q (t)'!T121</f>
        <v>3650000</v>
      </c>
      <c r="AL121" s="184">
        <f>'Q (t)'!U121</f>
        <v>0</v>
      </c>
      <c r="AM121" s="179">
        <f>'Q (t)'!V121</f>
        <v>0</v>
      </c>
      <c r="AO121" s="183">
        <f t="shared" si="74"/>
        <v>0</v>
      </c>
      <c r="AP121" s="184">
        <f t="shared" si="138"/>
        <v>24.099142400000002</v>
      </c>
      <c r="AQ121" s="178">
        <f t="shared" si="138"/>
        <v>0</v>
      </c>
      <c r="AR121" s="178">
        <f t="shared" si="138"/>
        <v>0</v>
      </c>
      <c r="AS121" s="179">
        <f t="shared" si="138"/>
        <v>0</v>
      </c>
      <c r="AT121" s="178">
        <f t="shared" si="138"/>
        <v>0</v>
      </c>
      <c r="AU121" s="178">
        <f t="shared" si="138"/>
        <v>0</v>
      </c>
      <c r="AV121" s="178">
        <f t="shared" si="138"/>
        <v>0</v>
      </c>
      <c r="AW121" s="179">
        <f t="shared" si="138"/>
        <v>0</v>
      </c>
      <c r="AX121" s="178">
        <f t="shared" si="67"/>
        <v>0</v>
      </c>
      <c r="AY121" s="178">
        <f t="shared" si="68"/>
        <v>0</v>
      </c>
      <c r="AZ121" s="179">
        <f t="shared" si="69"/>
        <v>0</v>
      </c>
      <c r="BA121" s="184">
        <f t="shared" si="70"/>
        <v>0</v>
      </c>
      <c r="BB121" s="178">
        <f t="shared" si="71"/>
        <v>151.11000000000001</v>
      </c>
      <c r="BC121" s="184">
        <f t="shared" si="72"/>
        <v>0</v>
      </c>
      <c r="BD121" s="178">
        <f t="shared" si="73"/>
        <v>0</v>
      </c>
      <c r="BE121" s="251">
        <f t="shared" si="75"/>
        <v>1</v>
      </c>
      <c r="BF121" s="252">
        <f t="shared" si="137"/>
        <v>15061.964</v>
      </c>
      <c r="BH121" s="262">
        <f t="shared" si="140"/>
        <v>0</v>
      </c>
      <c r="BI121" s="262">
        <f t="shared" si="141"/>
        <v>24.099142400000002</v>
      </c>
      <c r="BJ121" s="262">
        <f t="shared" si="142"/>
        <v>0</v>
      </c>
      <c r="BK121" s="263">
        <f t="shared" si="143"/>
        <v>151.11000000000001</v>
      </c>
      <c r="BL121" s="269">
        <f t="shared" si="144"/>
        <v>0</v>
      </c>
      <c r="BM121" s="264">
        <f t="shared" si="77"/>
        <v>175.20914240000002</v>
      </c>
      <c r="BO121" s="732">
        <f t="shared" si="78"/>
        <v>11.632556179260554</v>
      </c>
    </row>
    <row r="122" spans="1:70" ht="15" customHeight="1" x14ac:dyDescent="0.25">
      <c r="B122" s="156">
        <f t="shared" si="119"/>
        <v>25</v>
      </c>
      <c r="C122" s="180" t="s">
        <v>145</v>
      </c>
      <c r="D122" s="181"/>
      <c r="E122" s="210" t="s">
        <v>141</v>
      </c>
      <c r="G122" s="488">
        <f>'Cust Specific'!R359</f>
        <v>0</v>
      </c>
      <c r="H122" s="489">
        <f>'Cust Specific'!R362</f>
        <v>1.6000000000000001E-3</v>
      </c>
      <c r="I122" s="471"/>
      <c r="J122" s="471"/>
      <c r="K122" s="472"/>
      <c r="L122" s="471"/>
      <c r="M122" s="471"/>
      <c r="N122" s="471"/>
      <c r="O122" s="472"/>
      <c r="P122" s="471"/>
      <c r="Q122" s="471"/>
      <c r="R122" s="472"/>
      <c r="S122" s="489">
        <f>'Cust Specific'!R360</f>
        <v>0</v>
      </c>
      <c r="T122" s="494">
        <f>'Cust Specific'!R361</f>
        <v>4.1399999999999999E-2</v>
      </c>
      <c r="U122" s="491"/>
      <c r="V122" s="492"/>
      <c r="X122" s="183">
        <f>'Q (t)'!G122</f>
        <v>365</v>
      </c>
      <c r="Y122" s="184">
        <f>'Q (t)'!H122</f>
        <v>90658.642500000002</v>
      </c>
      <c r="Z122" s="178">
        <f>'Q (t)'!I122</f>
        <v>0</v>
      </c>
      <c r="AA122" s="178">
        <f>'Q (t)'!J122</f>
        <v>0</v>
      </c>
      <c r="AB122" s="179">
        <f>'Q (t)'!K122</f>
        <v>0</v>
      </c>
      <c r="AC122" s="178">
        <f>'Q (t)'!L122</f>
        <v>0</v>
      </c>
      <c r="AD122" s="178">
        <f>'Q (t)'!M122</f>
        <v>0</v>
      </c>
      <c r="AE122" s="178">
        <f>'Q (t)'!N122</f>
        <v>0</v>
      </c>
      <c r="AF122" s="179">
        <f>'Q (t)'!O122</f>
        <v>0</v>
      </c>
      <c r="AG122" s="178">
        <f>'Q (t)'!P122</f>
        <v>0</v>
      </c>
      <c r="AH122" s="178">
        <f>'Q (t)'!Q122</f>
        <v>0</v>
      </c>
      <c r="AI122" s="179">
        <f>'Q (t)'!R122</f>
        <v>0</v>
      </c>
      <c r="AJ122" s="184">
        <f>'Q (t)'!S122</f>
        <v>4013540</v>
      </c>
      <c r="AK122" s="178">
        <f>'Q (t)'!T122</f>
        <v>5960337.9449999994</v>
      </c>
      <c r="AL122" s="184">
        <f>'Q (t)'!U122</f>
        <v>0</v>
      </c>
      <c r="AM122" s="179">
        <f>'Q (t)'!V122</f>
        <v>0</v>
      </c>
      <c r="AO122" s="183">
        <f t="shared" si="74"/>
        <v>0</v>
      </c>
      <c r="AP122" s="184">
        <f t="shared" si="138"/>
        <v>145.05382800000001</v>
      </c>
      <c r="AQ122" s="178">
        <f t="shared" si="138"/>
        <v>0</v>
      </c>
      <c r="AR122" s="178">
        <f t="shared" si="138"/>
        <v>0</v>
      </c>
      <c r="AS122" s="179">
        <f t="shared" si="138"/>
        <v>0</v>
      </c>
      <c r="AT122" s="178">
        <f t="shared" si="138"/>
        <v>0</v>
      </c>
      <c r="AU122" s="178">
        <f t="shared" si="138"/>
        <v>0</v>
      </c>
      <c r="AV122" s="178">
        <f t="shared" si="138"/>
        <v>0</v>
      </c>
      <c r="AW122" s="179">
        <f t="shared" si="138"/>
        <v>0</v>
      </c>
      <c r="AX122" s="178">
        <f t="shared" si="67"/>
        <v>0</v>
      </c>
      <c r="AY122" s="178">
        <f t="shared" si="68"/>
        <v>0</v>
      </c>
      <c r="AZ122" s="179">
        <f t="shared" si="69"/>
        <v>0</v>
      </c>
      <c r="BA122" s="184">
        <f t="shared" si="70"/>
        <v>0</v>
      </c>
      <c r="BB122" s="178">
        <f t="shared" si="71"/>
        <v>246.75799092299997</v>
      </c>
      <c r="BC122" s="184">
        <f t="shared" si="72"/>
        <v>0</v>
      </c>
      <c r="BD122" s="178">
        <f t="shared" si="73"/>
        <v>0</v>
      </c>
      <c r="BE122" s="251">
        <f t="shared" si="75"/>
        <v>1</v>
      </c>
      <c r="BF122" s="252">
        <f t="shared" si="137"/>
        <v>90658.642500000002</v>
      </c>
      <c r="BH122" s="262">
        <f t="shared" si="140"/>
        <v>0</v>
      </c>
      <c r="BI122" s="262">
        <f t="shared" si="141"/>
        <v>145.05382800000001</v>
      </c>
      <c r="BJ122" s="262">
        <f t="shared" si="142"/>
        <v>0</v>
      </c>
      <c r="BK122" s="263">
        <f t="shared" si="143"/>
        <v>246.75799092299997</v>
      </c>
      <c r="BL122" s="269">
        <f t="shared" si="144"/>
        <v>0</v>
      </c>
      <c r="BM122" s="264">
        <f t="shared" si="77"/>
        <v>391.81181892299998</v>
      </c>
      <c r="BO122" s="732">
        <f t="shared" si="78"/>
        <v>4.3218363756439429</v>
      </c>
    </row>
    <row r="123" spans="1:70" ht="15" customHeight="1" x14ac:dyDescent="0.25">
      <c r="B123" s="156">
        <f t="shared" si="119"/>
        <v>26</v>
      </c>
      <c r="C123" s="180" t="s">
        <v>146</v>
      </c>
      <c r="D123" s="181"/>
      <c r="E123" s="210" t="s">
        <v>141</v>
      </c>
      <c r="G123" s="488">
        <f>'Cust Specific'!R366</f>
        <v>0</v>
      </c>
      <c r="H123" s="489">
        <f>'Cust Specific'!R369</f>
        <v>1.6000000000000001E-3</v>
      </c>
      <c r="I123" s="471"/>
      <c r="J123" s="471"/>
      <c r="K123" s="472"/>
      <c r="L123" s="471"/>
      <c r="M123" s="471"/>
      <c r="N123" s="471"/>
      <c r="O123" s="472"/>
      <c r="P123" s="471"/>
      <c r="Q123" s="471"/>
      <c r="R123" s="472"/>
      <c r="S123" s="489">
        <f>'Cust Specific'!R367</f>
        <v>0</v>
      </c>
      <c r="T123" s="494">
        <f>'Cust Specific'!R368</f>
        <v>4.1399999999999999E-2</v>
      </c>
      <c r="U123" s="491"/>
      <c r="V123" s="492"/>
      <c r="X123" s="183">
        <f>'Q (t)'!G123</f>
        <v>365</v>
      </c>
      <c r="Y123" s="184">
        <f>'Q (t)'!H123</f>
        <v>31008.333723000003</v>
      </c>
      <c r="Z123" s="178">
        <f>'Q (t)'!I123</f>
        <v>0</v>
      </c>
      <c r="AA123" s="178">
        <f>'Q (t)'!J123</f>
        <v>0</v>
      </c>
      <c r="AB123" s="179">
        <f>'Q (t)'!K123</f>
        <v>0</v>
      </c>
      <c r="AC123" s="178">
        <f>'Q (t)'!L123</f>
        <v>0</v>
      </c>
      <c r="AD123" s="178">
        <f>'Q (t)'!M123</f>
        <v>0</v>
      </c>
      <c r="AE123" s="178">
        <f>'Q (t)'!N123</f>
        <v>0</v>
      </c>
      <c r="AF123" s="179">
        <f>'Q (t)'!O123</f>
        <v>0</v>
      </c>
      <c r="AG123" s="178">
        <f>'Q (t)'!P123</f>
        <v>0</v>
      </c>
      <c r="AH123" s="178">
        <f>'Q (t)'!Q123</f>
        <v>0</v>
      </c>
      <c r="AI123" s="179">
        <f>'Q (t)'!R123</f>
        <v>0</v>
      </c>
      <c r="AJ123" s="184">
        <f>'Q (t)'!S123</f>
        <v>3680831.55</v>
      </c>
      <c r="AK123" s="178">
        <f>'Q (t)'!T123</f>
        <v>3702753.8150000004</v>
      </c>
      <c r="AL123" s="184">
        <f>'Q (t)'!U123</f>
        <v>0</v>
      </c>
      <c r="AM123" s="179">
        <f>'Q (t)'!V123</f>
        <v>0</v>
      </c>
      <c r="AO123" s="183">
        <f t="shared" si="74"/>
        <v>0</v>
      </c>
      <c r="AP123" s="184">
        <f t="shared" si="138"/>
        <v>49.613333956800005</v>
      </c>
      <c r="AQ123" s="178">
        <f t="shared" si="138"/>
        <v>0</v>
      </c>
      <c r="AR123" s="178">
        <f t="shared" si="138"/>
        <v>0</v>
      </c>
      <c r="AS123" s="179">
        <f t="shared" si="138"/>
        <v>0</v>
      </c>
      <c r="AT123" s="178">
        <f t="shared" si="138"/>
        <v>0</v>
      </c>
      <c r="AU123" s="178">
        <f t="shared" si="138"/>
        <v>0</v>
      </c>
      <c r="AV123" s="178">
        <f t="shared" si="138"/>
        <v>0</v>
      </c>
      <c r="AW123" s="179">
        <f t="shared" si="138"/>
        <v>0</v>
      </c>
      <c r="AX123" s="178">
        <f t="shared" si="67"/>
        <v>0</v>
      </c>
      <c r="AY123" s="178">
        <f t="shared" si="68"/>
        <v>0</v>
      </c>
      <c r="AZ123" s="179">
        <f t="shared" si="69"/>
        <v>0</v>
      </c>
      <c r="BA123" s="184">
        <f t="shared" si="70"/>
        <v>0</v>
      </c>
      <c r="BB123" s="178">
        <f t="shared" si="71"/>
        <v>153.29400794100002</v>
      </c>
      <c r="BC123" s="184">
        <f t="shared" si="72"/>
        <v>0</v>
      </c>
      <c r="BD123" s="178">
        <f t="shared" si="73"/>
        <v>0</v>
      </c>
      <c r="BE123" s="251">
        <f t="shared" si="75"/>
        <v>1</v>
      </c>
      <c r="BF123" s="252">
        <f t="shared" si="137"/>
        <v>31008.333723000003</v>
      </c>
      <c r="BH123" s="262">
        <f t="shared" si="140"/>
        <v>0</v>
      </c>
      <c r="BI123" s="262">
        <f t="shared" si="141"/>
        <v>49.613333956800005</v>
      </c>
      <c r="BJ123" s="262">
        <f t="shared" si="142"/>
        <v>0</v>
      </c>
      <c r="BK123" s="263">
        <f t="shared" si="143"/>
        <v>153.29400794100002</v>
      </c>
      <c r="BL123" s="269">
        <f t="shared" si="144"/>
        <v>0</v>
      </c>
      <c r="BM123" s="264">
        <f t="shared" si="77"/>
        <v>202.90734189780002</v>
      </c>
      <c r="BO123" s="732">
        <f t="shared" si="78"/>
        <v>6.5436390007405105</v>
      </c>
    </row>
    <row r="124" spans="1:70" ht="15" customHeight="1" x14ac:dyDescent="0.25">
      <c r="B124" s="156">
        <f t="shared" si="119"/>
        <v>27</v>
      </c>
      <c r="C124" s="180" t="s">
        <v>147</v>
      </c>
      <c r="D124" s="181"/>
      <c r="E124" s="210" t="s">
        <v>141</v>
      </c>
      <c r="G124" s="488">
        <f>'Cust Specific'!R373</f>
        <v>0</v>
      </c>
      <c r="H124" s="489">
        <f>'Cust Specific'!R376</f>
        <v>1.6000000000000001E-3</v>
      </c>
      <c r="I124" s="471"/>
      <c r="J124" s="471"/>
      <c r="K124" s="472"/>
      <c r="L124" s="471"/>
      <c r="M124" s="471"/>
      <c r="N124" s="471"/>
      <c r="O124" s="472"/>
      <c r="P124" s="471"/>
      <c r="Q124" s="471"/>
      <c r="R124" s="472"/>
      <c r="S124" s="489">
        <f>'Cust Specific'!R374</f>
        <v>0</v>
      </c>
      <c r="T124" s="494">
        <f>'Cust Specific'!R375</f>
        <v>4.1399999999999999E-2</v>
      </c>
      <c r="U124" s="491"/>
      <c r="V124" s="492"/>
      <c r="X124" s="183">
        <f>'Q (t)'!G124</f>
        <v>365</v>
      </c>
      <c r="Y124" s="184">
        <f>'Q (t)'!H124</f>
        <v>17329.286500000002</v>
      </c>
      <c r="Z124" s="178">
        <f>'Q (t)'!I124</f>
        <v>0</v>
      </c>
      <c r="AA124" s="178">
        <f>'Q (t)'!J124</f>
        <v>0</v>
      </c>
      <c r="AB124" s="179">
        <f>'Q (t)'!K124</f>
        <v>0</v>
      </c>
      <c r="AC124" s="178">
        <f>'Q (t)'!L124</f>
        <v>0</v>
      </c>
      <c r="AD124" s="178">
        <f>'Q (t)'!M124</f>
        <v>0</v>
      </c>
      <c r="AE124" s="178">
        <f>'Q (t)'!N124</f>
        <v>0</v>
      </c>
      <c r="AF124" s="179">
        <f>'Q (t)'!O124</f>
        <v>0</v>
      </c>
      <c r="AG124" s="178">
        <f>'Q (t)'!P124</f>
        <v>0</v>
      </c>
      <c r="AH124" s="178">
        <f>'Q (t)'!Q124</f>
        <v>0</v>
      </c>
      <c r="AI124" s="179">
        <f>'Q (t)'!R124</f>
        <v>0</v>
      </c>
      <c r="AJ124" s="184">
        <f>'Q (t)'!S124</f>
        <v>2555000</v>
      </c>
      <c r="AK124" s="178">
        <f>'Q (t)'!T124</f>
        <v>9330396.8149999995</v>
      </c>
      <c r="AL124" s="184">
        <f>'Q (t)'!U124</f>
        <v>0</v>
      </c>
      <c r="AM124" s="179">
        <f>'Q (t)'!V124</f>
        <v>0</v>
      </c>
      <c r="AO124" s="183">
        <f t="shared" si="74"/>
        <v>0</v>
      </c>
      <c r="AP124" s="184">
        <f t="shared" si="138"/>
        <v>27.726858400000005</v>
      </c>
      <c r="AQ124" s="178">
        <f t="shared" si="138"/>
        <v>0</v>
      </c>
      <c r="AR124" s="178">
        <f t="shared" si="138"/>
        <v>0</v>
      </c>
      <c r="AS124" s="179">
        <f t="shared" si="138"/>
        <v>0</v>
      </c>
      <c r="AT124" s="178">
        <f t="shared" si="138"/>
        <v>0</v>
      </c>
      <c r="AU124" s="178">
        <f t="shared" si="138"/>
        <v>0</v>
      </c>
      <c r="AV124" s="178">
        <f t="shared" si="138"/>
        <v>0</v>
      </c>
      <c r="AW124" s="179">
        <f t="shared" si="138"/>
        <v>0</v>
      </c>
      <c r="AX124" s="178">
        <f t="shared" si="67"/>
        <v>0</v>
      </c>
      <c r="AY124" s="178">
        <f t="shared" si="68"/>
        <v>0</v>
      </c>
      <c r="AZ124" s="179">
        <f t="shared" si="69"/>
        <v>0</v>
      </c>
      <c r="BA124" s="184">
        <f t="shared" si="70"/>
        <v>0</v>
      </c>
      <c r="BB124" s="178">
        <f t="shared" si="71"/>
        <v>386.27842814100001</v>
      </c>
      <c r="BC124" s="184">
        <f t="shared" si="72"/>
        <v>0</v>
      </c>
      <c r="BD124" s="178">
        <f t="shared" si="73"/>
        <v>0</v>
      </c>
      <c r="BE124" s="251">
        <f t="shared" si="75"/>
        <v>1</v>
      </c>
      <c r="BF124" s="252">
        <f t="shared" si="137"/>
        <v>17329.286500000002</v>
      </c>
      <c r="BH124" s="262">
        <f t="shared" si="140"/>
        <v>0</v>
      </c>
      <c r="BI124" s="262">
        <f t="shared" si="141"/>
        <v>27.726858400000005</v>
      </c>
      <c r="BJ124" s="262">
        <f t="shared" si="142"/>
        <v>0</v>
      </c>
      <c r="BK124" s="263">
        <f t="shared" si="143"/>
        <v>386.27842814100001</v>
      </c>
      <c r="BL124" s="269">
        <f t="shared" si="144"/>
        <v>0</v>
      </c>
      <c r="BM124" s="264">
        <f t="shared" si="77"/>
        <v>414.00528654100003</v>
      </c>
      <c r="BO124" s="732">
        <f t="shared" si="78"/>
        <v>23.890498119527308</v>
      </c>
    </row>
    <row r="125" spans="1:70" ht="15" customHeight="1" x14ac:dyDescent="0.25">
      <c r="B125" s="156">
        <f t="shared" si="119"/>
        <v>28</v>
      </c>
      <c r="C125" s="180" t="s">
        <v>148</v>
      </c>
      <c r="D125" s="181"/>
      <c r="E125" s="210" t="s">
        <v>141</v>
      </c>
      <c r="G125" s="488">
        <f>'Cust Specific'!R380</f>
        <v>0</v>
      </c>
      <c r="H125" s="489">
        <f>'Cust Specific'!R383</f>
        <v>1.6000000000000001E-3</v>
      </c>
      <c r="I125" s="471"/>
      <c r="J125" s="471"/>
      <c r="K125" s="472"/>
      <c r="L125" s="471"/>
      <c r="M125" s="471"/>
      <c r="N125" s="471"/>
      <c r="O125" s="472"/>
      <c r="P125" s="471"/>
      <c r="Q125" s="471"/>
      <c r="R125" s="472"/>
      <c r="S125" s="489">
        <f>'Cust Specific'!R381</f>
        <v>0</v>
      </c>
      <c r="T125" s="494">
        <f>'Cust Specific'!R382</f>
        <v>4.1399999999999999E-2</v>
      </c>
      <c r="U125" s="491"/>
      <c r="V125" s="492"/>
      <c r="X125" s="183">
        <f>'Q (t)'!G125</f>
        <v>365</v>
      </c>
      <c r="Y125" s="184">
        <f>'Q (t)'!H125</f>
        <v>33415.6944</v>
      </c>
      <c r="Z125" s="178">
        <f>'Q (t)'!I125</f>
        <v>0</v>
      </c>
      <c r="AA125" s="178">
        <f>'Q (t)'!J125</f>
        <v>0</v>
      </c>
      <c r="AB125" s="179">
        <f>'Q (t)'!K125</f>
        <v>0</v>
      </c>
      <c r="AC125" s="178">
        <f>'Q (t)'!L125</f>
        <v>0</v>
      </c>
      <c r="AD125" s="178">
        <f>'Q (t)'!M125</f>
        <v>0</v>
      </c>
      <c r="AE125" s="178">
        <f>'Q (t)'!N125</f>
        <v>0</v>
      </c>
      <c r="AF125" s="179">
        <f>'Q (t)'!O125</f>
        <v>0</v>
      </c>
      <c r="AG125" s="178">
        <f>'Q (t)'!P125</f>
        <v>0</v>
      </c>
      <c r="AH125" s="178">
        <f>'Q (t)'!Q125</f>
        <v>0</v>
      </c>
      <c r="AI125" s="179">
        <f>'Q (t)'!R125</f>
        <v>0</v>
      </c>
      <c r="AJ125" s="184">
        <f>'Q (t)'!S125</f>
        <v>3308941.4450000003</v>
      </c>
      <c r="AK125" s="178">
        <f>'Q (t)'!T125</f>
        <v>3317635.38</v>
      </c>
      <c r="AL125" s="184">
        <f>'Q (t)'!U125</f>
        <v>0</v>
      </c>
      <c r="AM125" s="179">
        <f>'Q (t)'!V125</f>
        <v>0</v>
      </c>
      <c r="AO125" s="183">
        <f t="shared" si="74"/>
        <v>0</v>
      </c>
      <c r="AP125" s="184">
        <f t="shared" si="138"/>
        <v>53.465111040000004</v>
      </c>
      <c r="AQ125" s="178">
        <f t="shared" si="138"/>
        <v>0</v>
      </c>
      <c r="AR125" s="178">
        <f t="shared" si="138"/>
        <v>0</v>
      </c>
      <c r="AS125" s="179">
        <f t="shared" si="138"/>
        <v>0</v>
      </c>
      <c r="AT125" s="178">
        <f t="shared" si="138"/>
        <v>0</v>
      </c>
      <c r="AU125" s="178">
        <f t="shared" si="138"/>
        <v>0</v>
      </c>
      <c r="AV125" s="178">
        <f t="shared" si="138"/>
        <v>0</v>
      </c>
      <c r="AW125" s="179">
        <f t="shared" si="138"/>
        <v>0</v>
      </c>
      <c r="AX125" s="178">
        <f t="shared" si="67"/>
        <v>0</v>
      </c>
      <c r="AY125" s="178">
        <f t="shared" si="68"/>
        <v>0</v>
      </c>
      <c r="AZ125" s="179">
        <f t="shared" si="69"/>
        <v>0</v>
      </c>
      <c r="BA125" s="184">
        <f t="shared" si="70"/>
        <v>0</v>
      </c>
      <c r="BB125" s="178">
        <f t="shared" si="71"/>
        <v>137.35010473200001</v>
      </c>
      <c r="BC125" s="184">
        <f t="shared" si="72"/>
        <v>0</v>
      </c>
      <c r="BD125" s="178">
        <f t="shared" si="73"/>
        <v>0</v>
      </c>
      <c r="BE125" s="251">
        <f t="shared" si="75"/>
        <v>1</v>
      </c>
      <c r="BF125" s="252">
        <f t="shared" si="137"/>
        <v>33415.6944</v>
      </c>
      <c r="BH125" s="262">
        <f t="shared" si="140"/>
        <v>0</v>
      </c>
      <c r="BI125" s="262">
        <f t="shared" si="141"/>
        <v>53.465111040000004</v>
      </c>
      <c r="BJ125" s="262">
        <f t="shared" si="142"/>
        <v>0</v>
      </c>
      <c r="BK125" s="263">
        <f t="shared" si="143"/>
        <v>137.35010473200001</v>
      </c>
      <c r="BL125" s="269">
        <f t="shared" si="144"/>
        <v>0</v>
      </c>
      <c r="BM125" s="264">
        <f t="shared" si="77"/>
        <v>190.81521577200002</v>
      </c>
      <c r="BO125" s="732">
        <f t="shared" si="78"/>
        <v>5.710347164654463</v>
      </c>
    </row>
    <row r="126" spans="1:70" ht="15" customHeight="1" x14ac:dyDescent="0.25">
      <c r="A126" s="220"/>
      <c r="B126" s="162">
        <f t="shared" si="119"/>
        <v>29</v>
      </c>
      <c r="C126" s="187" t="s">
        <v>149</v>
      </c>
      <c r="D126" s="188"/>
      <c r="E126" s="221" t="s">
        <v>141</v>
      </c>
      <c r="G126" s="496">
        <f>'Cust Specific'!R387</f>
        <v>0</v>
      </c>
      <c r="H126" s="497">
        <f>'Cust Specific'!R390</f>
        <v>1.6000000000000001E-3</v>
      </c>
      <c r="I126" s="498"/>
      <c r="J126" s="498"/>
      <c r="K126" s="499"/>
      <c r="L126" s="498"/>
      <c r="M126" s="498"/>
      <c r="N126" s="498"/>
      <c r="O126" s="499"/>
      <c r="P126" s="498"/>
      <c r="Q126" s="498"/>
      <c r="R126" s="499"/>
      <c r="S126" s="497">
        <f>'Cust Specific'!R388</f>
        <v>0</v>
      </c>
      <c r="T126" s="500">
        <f>'Cust Specific'!R389</f>
        <v>4.1399999999999999E-2</v>
      </c>
      <c r="U126" s="503"/>
      <c r="V126" s="504"/>
      <c r="X126" s="190">
        <f>'Q (t)'!G126</f>
        <v>365</v>
      </c>
      <c r="Y126" s="197">
        <f>'Q (t)'!H126</f>
        <v>12000</v>
      </c>
      <c r="Z126" s="192">
        <f>'Q (t)'!I126</f>
        <v>0</v>
      </c>
      <c r="AA126" s="192">
        <f>'Q (t)'!J126</f>
        <v>0</v>
      </c>
      <c r="AB126" s="193">
        <f>'Q (t)'!K126</f>
        <v>0</v>
      </c>
      <c r="AC126" s="192">
        <f>'Q (t)'!L126</f>
        <v>0</v>
      </c>
      <c r="AD126" s="192">
        <f>'Q (t)'!M126</f>
        <v>0</v>
      </c>
      <c r="AE126" s="192">
        <f>'Q (t)'!N126</f>
        <v>0</v>
      </c>
      <c r="AF126" s="193">
        <f>'Q (t)'!O126</f>
        <v>0</v>
      </c>
      <c r="AG126" s="192">
        <f>'Q (t)'!P126</f>
        <v>0</v>
      </c>
      <c r="AH126" s="192">
        <f>'Q (t)'!Q126</f>
        <v>0</v>
      </c>
      <c r="AI126" s="193">
        <f>'Q (t)'!R126</f>
        <v>0</v>
      </c>
      <c r="AJ126" s="197">
        <f>'Q (t)'!S126</f>
        <v>2015820.54</v>
      </c>
      <c r="AK126" s="192">
        <f>'Q (t)'!T126</f>
        <v>2331851.0449999999</v>
      </c>
      <c r="AL126" s="197">
        <f>'Q (t)'!U126</f>
        <v>0</v>
      </c>
      <c r="AM126" s="193">
        <f>'Q (t)'!V126</f>
        <v>0</v>
      </c>
      <c r="AO126" s="190">
        <f t="shared" si="74"/>
        <v>0</v>
      </c>
      <c r="AP126" s="197">
        <f t="shared" si="138"/>
        <v>19.2</v>
      </c>
      <c r="AQ126" s="192">
        <f t="shared" si="138"/>
        <v>0</v>
      </c>
      <c r="AR126" s="192">
        <f t="shared" si="138"/>
        <v>0</v>
      </c>
      <c r="AS126" s="193">
        <f t="shared" si="138"/>
        <v>0</v>
      </c>
      <c r="AT126" s="192">
        <f t="shared" si="138"/>
        <v>0</v>
      </c>
      <c r="AU126" s="192">
        <f t="shared" si="138"/>
        <v>0</v>
      </c>
      <c r="AV126" s="192">
        <f t="shared" si="138"/>
        <v>0</v>
      </c>
      <c r="AW126" s="193">
        <f t="shared" si="138"/>
        <v>0</v>
      </c>
      <c r="AX126" s="192">
        <f t="shared" si="67"/>
        <v>0</v>
      </c>
      <c r="AY126" s="192">
        <f t="shared" si="68"/>
        <v>0</v>
      </c>
      <c r="AZ126" s="193">
        <f t="shared" si="69"/>
        <v>0</v>
      </c>
      <c r="BA126" s="197">
        <f t="shared" si="70"/>
        <v>0</v>
      </c>
      <c r="BB126" s="192">
        <f t="shared" si="71"/>
        <v>96.538633262999994</v>
      </c>
      <c r="BC126" s="197">
        <f t="shared" si="72"/>
        <v>0</v>
      </c>
      <c r="BD126" s="193">
        <f t="shared" si="73"/>
        <v>0</v>
      </c>
      <c r="BE126" s="253">
        <f t="shared" si="75"/>
        <v>1</v>
      </c>
      <c r="BF126" s="254">
        <f t="shared" si="137"/>
        <v>12000</v>
      </c>
      <c r="BH126" s="265">
        <f t="shared" si="140"/>
        <v>0</v>
      </c>
      <c r="BI126" s="265">
        <f t="shared" si="141"/>
        <v>19.2</v>
      </c>
      <c r="BJ126" s="265">
        <f t="shared" si="142"/>
        <v>0</v>
      </c>
      <c r="BK126" s="266">
        <f t="shared" si="143"/>
        <v>96.538633262999994</v>
      </c>
      <c r="BL126" s="270">
        <f t="shared" si="144"/>
        <v>0</v>
      </c>
      <c r="BM126" s="271">
        <f t="shared" si="77"/>
        <v>115.738633263</v>
      </c>
      <c r="BO126" s="732">
        <f t="shared" si="78"/>
        <v>9.6448861052500003</v>
      </c>
    </row>
    <row r="127" spans="1:70" x14ac:dyDescent="0.25">
      <c r="BE127" s="255"/>
      <c r="BF127" s="256"/>
    </row>
    <row r="128" spans="1:70" x14ac:dyDescent="0.25">
      <c r="C128" s="223" t="s">
        <v>150</v>
      </c>
      <c r="D128" s="224"/>
      <c r="E128" s="224"/>
      <c r="G128" s="224"/>
      <c r="H128" s="224"/>
      <c r="I128" s="224"/>
      <c r="J128" s="224"/>
      <c r="K128" s="224"/>
      <c r="L128" s="224"/>
      <c r="M128" s="224"/>
      <c r="N128" s="224"/>
      <c r="O128" s="224"/>
      <c r="P128" s="224"/>
      <c r="Q128" s="224"/>
      <c r="R128" s="224"/>
      <c r="S128" s="224"/>
      <c r="T128" s="224"/>
      <c r="U128" s="224"/>
      <c r="V128" s="224"/>
      <c r="X128" s="225">
        <f t="shared" ref="X128:AM128" si="145">SUM(X16:X25)</f>
        <v>291420380</v>
      </c>
      <c r="Y128" s="225">
        <f t="shared" si="145"/>
        <v>2657800</v>
      </c>
      <c r="Z128" s="225">
        <f t="shared" si="145"/>
        <v>354400</v>
      </c>
      <c r="AA128" s="225">
        <f t="shared" si="145"/>
        <v>69400</v>
      </c>
      <c r="AB128" s="225">
        <f t="shared" si="145"/>
        <v>105400</v>
      </c>
      <c r="AC128" s="225">
        <f t="shared" si="145"/>
        <v>361600</v>
      </c>
      <c r="AD128" s="225">
        <f t="shared" si="145"/>
        <v>0</v>
      </c>
      <c r="AE128" s="225">
        <f t="shared" si="145"/>
        <v>87500</v>
      </c>
      <c r="AF128" s="225">
        <f t="shared" si="145"/>
        <v>21900</v>
      </c>
      <c r="AG128" s="225">
        <f t="shared" si="145"/>
        <v>0</v>
      </c>
      <c r="AH128" s="225">
        <f t="shared" si="145"/>
        <v>0</v>
      </c>
      <c r="AI128" s="225">
        <f t="shared" si="145"/>
        <v>0</v>
      </c>
      <c r="AJ128" s="225">
        <f t="shared" si="145"/>
        <v>0</v>
      </c>
      <c r="AK128" s="225">
        <f t="shared" si="145"/>
        <v>0</v>
      </c>
      <c r="AL128" s="225">
        <f t="shared" si="145"/>
        <v>1752000</v>
      </c>
      <c r="AM128" s="225">
        <f t="shared" si="145"/>
        <v>0</v>
      </c>
      <c r="AO128" s="225">
        <f t="shared" ref="AO128:BD128" si="146">SUM(AO16:AO25)</f>
        <v>123766.23538600001</v>
      </c>
      <c r="AP128" s="225">
        <f t="shared" si="146"/>
        <v>245314.93999999997</v>
      </c>
      <c r="AQ128" s="225">
        <f t="shared" si="146"/>
        <v>40814.6</v>
      </c>
      <c r="AR128" s="225">
        <f t="shared" si="146"/>
        <v>3174.83</v>
      </c>
      <c r="AS128" s="225">
        <f t="shared" si="146"/>
        <v>2425.44</v>
      </c>
      <c r="AT128" s="225">
        <f t="shared" si="146"/>
        <v>16705.919999999998</v>
      </c>
      <c r="AU128" s="225">
        <f t="shared" si="146"/>
        <v>0</v>
      </c>
      <c r="AV128" s="225">
        <f t="shared" si="146"/>
        <v>4042.5</v>
      </c>
      <c r="AW128" s="225">
        <f t="shared" si="146"/>
        <v>505.89</v>
      </c>
      <c r="AX128" s="225">
        <f t="shared" si="146"/>
        <v>0</v>
      </c>
      <c r="AY128" s="225">
        <f t="shared" si="146"/>
        <v>0</v>
      </c>
      <c r="AZ128" s="225">
        <f t="shared" si="146"/>
        <v>0</v>
      </c>
      <c r="BA128" s="225">
        <f t="shared" si="146"/>
        <v>0</v>
      </c>
      <c r="BB128" s="225">
        <f t="shared" si="146"/>
        <v>0</v>
      </c>
      <c r="BC128" s="225">
        <f t="shared" si="146"/>
        <v>899.12639999999999</v>
      </c>
      <c r="BD128" s="225">
        <f t="shared" si="146"/>
        <v>0</v>
      </c>
      <c r="BE128" s="251">
        <f>SUM(BE17:BE25)</f>
        <v>798412</v>
      </c>
      <c r="BF128" s="252">
        <f>SUM(BF17:BF25)</f>
        <v>3658000</v>
      </c>
      <c r="BH128" s="225">
        <f t="shared" ref="BH128:BM128" si="147">BH16</f>
        <v>123766.23538600001</v>
      </c>
      <c r="BI128" s="225">
        <f t="shared" si="147"/>
        <v>291729.81</v>
      </c>
      <c r="BJ128" s="225">
        <f t="shared" si="147"/>
        <v>21254.309999999998</v>
      </c>
      <c r="BK128" s="225">
        <f t="shared" si="147"/>
        <v>0</v>
      </c>
      <c r="BL128" s="225">
        <f t="shared" si="147"/>
        <v>899.12639999999999</v>
      </c>
      <c r="BM128" s="225">
        <f t="shared" si="147"/>
        <v>437649.48178600002</v>
      </c>
      <c r="BN128" s="736">
        <f>BM128/$BM$133</f>
        <v>0.54122416185081701</v>
      </c>
      <c r="BO128" s="732">
        <f t="shared" ref="BO128:BO133" si="148">BM128*1000/BF128</f>
        <v>119.64173914324768</v>
      </c>
      <c r="BQ128" s="677">
        <f>'[14]DUOS (t)'!AR133</f>
        <v>125.03804282208803</v>
      </c>
      <c r="BR128" s="736">
        <f>BO128/BQ128-1</f>
        <v>-4.315729482841113E-2</v>
      </c>
    </row>
    <row r="129" spans="3:70" x14ac:dyDescent="0.25">
      <c r="C129" s="223" t="s">
        <v>151</v>
      </c>
      <c r="D129" s="224"/>
      <c r="E129" s="224"/>
      <c r="G129" s="224"/>
      <c r="H129" s="224"/>
      <c r="I129" s="224"/>
      <c r="J129" s="224"/>
      <c r="K129" s="224"/>
      <c r="L129" s="224"/>
      <c r="M129" s="224"/>
      <c r="N129" s="224"/>
      <c r="O129" s="224"/>
      <c r="P129" s="224"/>
      <c r="Q129" s="224"/>
      <c r="R129" s="224"/>
      <c r="S129" s="224"/>
      <c r="T129" s="224"/>
      <c r="U129" s="224"/>
      <c r="V129" s="224"/>
      <c r="X129" s="225">
        <f t="shared" ref="X129:AM129" si="149">SUM(X26:X39)</f>
        <v>33899740</v>
      </c>
      <c r="Y129" s="225">
        <f t="shared" si="149"/>
        <v>478700</v>
      </c>
      <c r="Z129" s="225">
        <f t="shared" si="149"/>
        <v>208600</v>
      </c>
      <c r="AA129" s="225">
        <f t="shared" si="149"/>
        <v>267600</v>
      </c>
      <c r="AB129" s="225">
        <f t="shared" si="149"/>
        <v>385400</v>
      </c>
      <c r="AC129" s="225">
        <f t="shared" si="149"/>
        <v>6000</v>
      </c>
      <c r="AD129" s="225">
        <f t="shared" si="149"/>
        <v>0</v>
      </c>
      <c r="AE129" s="225">
        <f t="shared" si="149"/>
        <v>0</v>
      </c>
      <c r="AF129" s="225">
        <f t="shared" si="149"/>
        <v>0</v>
      </c>
      <c r="AG129" s="225">
        <f t="shared" si="149"/>
        <v>0</v>
      </c>
      <c r="AH129" s="225">
        <f t="shared" si="149"/>
        <v>1825137</v>
      </c>
      <c r="AI129" s="225">
        <f t="shared" si="149"/>
        <v>4632215</v>
      </c>
      <c r="AJ129" s="225">
        <f t="shared" si="149"/>
        <v>0</v>
      </c>
      <c r="AK129" s="225">
        <f t="shared" si="149"/>
        <v>26073045</v>
      </c>
      <c r="AL129" s="225">
        <f t="shared" si="149"/>
        <v>0</v>
      </c>
      <c r="AM129" s="225">
        <f t="shared" si="149"/>
        <v>0</v>
      </c>
      <c r="AO129" s="225">
        <f t="shared" ref="AO129:BF129" si="150">SUM(AO26:AO39)</f>
        <v>16712.570068000001</v>
      </c>
      <c r="AP129" s="225">
        <f t="shared" si="150"/>
        <v>44461.55</v>
      </c>
      <c r="AQ129" s="225">
        <f t="shared" si="150"/>
        <v>25878.36</v>
      </c>
      <c r="AR129" s="225">
        <f t="shared" si="150"/>
        <v>28366.760000000002</v>
      </c>
      <c r="AS129" s="225">
        <f t="shared" si="150"/>
        <v>22396.800000000003</v>
      </c>
      <c r="AT129" s="225">
        <f t="shared" si="150"/>
        <v>277.2</v>
      </c>
      <c r="AU129" s="225">
        <f t="shared" si="150"/>
        <v>0</v>
      </c>
      <c r="AV129" s="225">
        <f t="shared" si="150"/>
        <v>0</v>
      </c>
      <c r="AW129" s="225">
        <f t="shared" si="150"/>
        <v>0</v>
      </c>
      <c r="AX129" s="225">
        <f t="shared" si="150"/>
        <v>0</v>
      </c>
      <c r="AY129" s="225">
        <f t="shared" si="150"/>
        <v>564.6973878</v>
      </c>
      <c r="AZ129" s="225">
        <f t="shared" si="150"/>
        <v>709.19211650000011</v>
      </c>
      <c r="BA129" s="225">
        <f t="shared" si="150"/>
        <v>0</v>
      </c>
      <c r="BB129" s="225">
        <f t="shared" si="150"/>
        <v>2122.345863</v>
      </c>
      <c r="BC129" s="225">
        <f t="shared" si="150"/>
        <v>0</v>
      </c>
      <c r="BD129" s="225">
        <f t="shared" si="150"/>
        <v>0</v>
      </c>
      <c r="BE129" s="251">
        <f t="shared" si="150"/>
        <v>92876</v>
      </c>
      <c r="BF129" s="252">
        <f t="shared" si="150"/>
        <v>1346300</v>
      </c>
      <c r="BH129" s="225">
        <f t="shared" ref="BH129:BM129" si="151">BH26</f>
        <v>16712.570068000001</v>
      </c>
      <c r="BI129" s="225">
        <f t="shared" si="151"/>
        <v>121103.47000000002</v>
      </c>
      <c r="BJ129" s="225">
        <f t="shared" si="151"/>
        <v>277.2</v>
      </c>
      <c r="BK129" s="225">
        <f t="shared" si="151"/>
        <v>3396.2353673000002</v>
      </c>
      <c r="BL129" s="225">
        <f t="shared" si="151"/>
        <v>0</v>
      </c>
      <c r="BM129" s="225">
        <f t="shared" si="151"/>
        <v>141489.47543530003</v>
      </c>
      <c r="BN129" s="736">
        <f t="shared" ref="BN129:BN136" si="152">BM129/$BM$133</f>
        <v>0.17497455370146325</v>
      </c>
      <c r="BO129" s="732">
        <f t="shared" si="148"/>
        <v>105.09505714573277</v>
      </c>
      <c r="BQ129" s="677">
        <f>'[14]DUOS (t)'!AR134</f>
        <v>107.65216721383861</v>
      </c>
      <c r="BR129" s="736">
        <f t="shared" ref="BR129:BR136" si="153">BO129/BQ129-1</f>
        <v>-2.3753447183524345E-2</v>
      </c>
    </row>
    <row r="130" spans="3:70" x14ac:dyDescent="0.25">
      <c r="C130" s="223" t="s">
        <v>152</v>
      </c>
      <c r="D130" s="224"/>
      <c r="E130" s="224"/>
      <c r="G130" s="224"/>
      <c r="H130" s="224"/>
      <c r="I130" s="224"/>
      <c r="J130" s="224"/>
      <c r="K130" s="224"/>
      <c r="L130" s="224"/>
      <c r="M130" s="224"/>
      <c r="N130" s="224"/>
      <c r="O130" s="224"/>
      <c r="P130" s="224"/>
      <c r="Q130" s="224"/>
      <c r="R130" s="224"/>
      <c r="S130" s="224"/>
      <c r="T130" s="224"/>
      <c r="U130" s="224"/>
      <c r="V130" s="224"/>
      <c r="X130" s="225">
        <f t="shared" ref="X130:AM130" si="154">SUM(X40:X67)</f>
        <v>1581050</v>
      </c>
      <c r="Y130" s="225">
        <f t="shared" si="154"/>
        <v>71100</v>
      </c>
      <c r="Z130" s="225">
        <f t="shared" si="154"/>
        <v>1376300</v>
      </c>
      <c r="AA130" s="225">
        <f t="shared" si="154"/>
        <v>0</v>
      </c>
      <c r="AB130" s="225">
        <f t="shared" si="154"/>
        <v>1303600</v>
      </c>
      <c r="AC130" s="225">
        <f t="shared" si="154"/>
        <v>0</v>
      </c>
      <c r="AD130" s="225">
        <f t="shared" si="154"/>
        <v>0</v>
      </c>
      <c r="AE130" s="225">
        <f t="shared" si="154"/>
        <v>0</v>
      </c>
      <c r="AF130" s="225">
        <f t="shared" si="154"/>
        <v>0</v>
      </c>
      <c r="AG130" s="225">
        <f t="shared" si="154"/>
        <v>3760806</v>
      </c>
      <c r="AH130" s="225">
        <f t="shared" si="154"/>
        <v>5382848</v>
      </c>
      <c r="AI130" s="225">
        <f t="shared" si="154"/>
        <v>11592765</v>
      </c>
      <c r="AJ130" s="225">
        <f t="shared" si="154"/>
        <v>238761465</v>
      </c>
      <c r="AK130" s="225">
        <f t="shared" si="154"/>
        <v>357781395</v>
      </c>
      <c r="AL130" s="225">
        <f t="shared" si="154"/>
        <v>0</v>
      </c>
      <c r="AM130" s="225">
        <f t="shared" si="154"/>
        <v>0</v>
      </c>
      <c r="AO130" s="225">
        <f t="shared" ref="AO130:BF130" si="155">SUM(AO40:AO67)</f>
        <v>10552.2546215</v>
      </c>
      <c r="AP130" s="225">
        <f t="shared" si="155"/>
        <v>3669.05</v>
      </c>
      <c r="AQ130" s="225">
        <f t="shared" si="155"/>
        <v>57952.159999999996</v>
      </c>
      <c r="AR130" s="225">
        <f t="shared" si="155"/>
        <v>0</v>
      </c>
      <c r="AS130" s="225">
        <f t="shared" si="155"/>
        <v>34286.49</v>
      </c>
      <c r="AT130" s="225">
        <f t="shared" si="155"/>
        <v>0</v>
      </c>
      <c r="AU130" s="225">
        <f t="shared" si="155"/>
        <v>0</v>
      </c>
      <c r="AV130" s="225">
        <f t="shared" si="155"/>
        <v>0</v>
      </c>
      <c r="AW130" s="225">
        <f t="shared" si="155"/>
        <v>0</v>
      </c>
      <c r="AX130" s="225">
        <f t="shared" si="155"/>
        <v>1977.0557141999998</v>
      </c>
      <c r="AY130" s="225">
        <f t="shared" si="155"/>
        <v>1665.4531712</v>
      </c>
      <c r="AZ130" s="225">
        <f t="shared" si="155"/>
        <v>1774.8523215</v>
      </c>
      <c r="BA130" s="225">
        <f t="shared" si="155"/>
        <v>34620.412424999995</v>
      </c>
      <c r="BB130" s="225">
        <f t="shared" si="155"/>
        <v>37066.152521999997</v>
      </c>
      <c r="BC130" s="225">
        <f t="shared" si="155"/>
        <v>0</v>
      </c>
      <c r="BD130" s="225">
        <f t="shared" si="155"/>
        <v>0</v>
      </c>
      <c r="BE130" s="251">
        <f t="shared" si="155"/>
        <v>4331.6438356164381</v>
      </c>
      <c r="BF130" s="252">
        <f t="shared" si="155"/>
        <v>2751000</v>
      </c>
      <c r="BH130" s="225">
        <f t="shared" ref="BH130:BM130" si="156">BH40</f>
        <v>10552.2546215</v>
      </c>
      <c r="BI130" s="225">
        <f t="shared" si="156"/>
        <v>95907.7</v>
      </c>
      <c r="BJ130" s="225">
        <f t="shared" si="156"/>
        <v>0</v>
      </c>
      <c r="BK130" s="225">
        <f t="shared" si="156"/>
        <v>77103.9261539</v>
      </c>
      <c r="BL130" s="225">
        <f t="shared" si="156"/>
        <v>0</v>
      </c>
      <c r="BM130" s="225">
        <f t="shared" si="156"/>
        <v>183563.8807754</v>
      </c>
      <c r="BN130" s="736">
        <f t="shared" si="152"/>
        <v>0.22700634104104464</v>
      </c>
      <c r="BO130" s="732">
        <f t="shared" si="148"/>
        <v>66.726238013595065</v>
      </c>
      <c r="BQ130" s="677">
        <f>'[14]DUOS (t)'!AR135</f>
        <v>70.599075896771254</v>
      </c>
      <c r="BR130" s="736">
        <f t="shared" si="153"/>
        <v>-5.4856778704001519E-2</v>
      </c>
    </row>
    <row r="131" spans="3:70" x14ac:dyDescent="0.25">
      <c r="C131" s="223" t="s">
        <v>153</v>
      </c>
      <c r="D131" s="224"/>
      <c r="E131" s="224"/>
      <c r="G131" s="224"/>
      <c r="H131" s="224"/>
      <c r="I131" s="224"/>
      <c r="J131" s="224"/>
      <c r="K131" s="224"/>
      <c r="L131" s="224"/>
      <c r="M131" s="224"/>
      <c r="N131" s="224"/>
      <c r="O131" s="224"/>
      <c r="P131" s="224"/>
      <c r="Q131" s="224"/>
      <c r="R131" s="224"/>
      <c r="S131" s="224"/>
      <c r="T131" s="224"/>
      <c r="U131" s="224"/>
      <c r="V131" s="224"/>
      <c r="X131" s="225">
        <f t="shared" ref="X131:AM131" si="157">SUM(X68:X91)</f>
        <v>69715</v>
      </c>
      <c r="Y131" s="225">
        <f t="shared" si="157"/>
        <v>12500</v>
      </c>
      <c r="Z131" s="225">
        <f t="shared" si="157"/>
        <v>353600</v>
      </c>
      <c r="AA131" s="225">
        <f t="shared" si="157"/>
        <v>0</v>
      </c>
      <c r="AB131" s="225">
        <f t="shared" si="157"/>
        <v>377600</v>
      </c>
      <c r="AC131" s="225">
        <f t="shared" si="157"/>
        <v>0</v>
      </c>
      <c r="AD131" s="225">
        <f t="shared" si="157"/>
        <v>0</v>
      </c>
      <c r="AE131" s="225">
        <f t="shared" si="157"/>
        <v>0</v>
      </c>
      <c r="AF131" s="225">
        <f t="shared" si="157"/>
        <v>0</v>
      </c>
      <c r="AG131" s="225">
        <f t="shared" si="157"/>
        <v>546922</v>
      </c>
      <c r="AH131" s="225">
        <f t="shared" si="157"/>
        <v>449678</v>
      </c>
      <c r="AI131" s="225">
        <f t="shared" si="157"/>
        <v>1623520</v>
      </c>
      <c r="AJ131" s="225">
        <f t="shared" si="157"/>
        <v>62775255</v>
      </c>
      <c r="AK131" s="225">
        <f t="shared" si="157"/>
        <v>85346125</v>
      </c>
      <c r="AL131" s="225">
        <f t="shared" si="157"/>
        <v>0</v>
      </c>
      <c r="AM131" s="225">
        <f t="shared" si="157"/>
        <v>0</v>
      </c>
      <c r="AO131" s="225">
        <f t="shared" ref="AO131:BF131" si="158">SUM(AO68:AO91)</f>
        <v>2528.3342314999982</v>
      </c>
      <c r="AP131" s="225">
        <f t="shared" si="158"/>
        <v>643.75</v>
      </c>
      <c r="AQ131" s="225">
        <f t="shared" si="158"/>
        <v>8518.3799999999992</v>
      </c>
      <c r="AR131" s="225">
        <f t="shared" si="158"/>
        <v>0</v>
      </c>
      <c r="AS131" s="225">
        <f t="shared" si="158"/>
        <v>5668.42</v>
      </c>
      <c r="AT131" s="225">
        <f t="shared" si="158"/>
        <v>0</v>
      </c>
      <c r="AU131" s="225">
        <f t="shared" si="158"/>
        <v>0</v>
      </c>
      <c r="AV131" s="225">
        <f t="shared" si="158"/>
        <v>0</v>
      </c>
      <c r="AW131" s="225">
        <f t="shared" si="158"/>
        <v>0</v>
      </c>
      <c r="AX131" s="225">
        <f t="shared" si="158"/>
        <v>211.22127639999999</v>
      </c>
      <c r="AY131" s="225">
        <f t="shared" si="158"/>
        <v>139.13037320000001</v>
      </c>
      <c r="AZ131" s="225">
        <f t="shared" si="158"/>
        <v>248.560912</v>
      </c>
      <c r="BA131" s="225">
        <f t="shared" si="158"/>
        <v>6711.0839974999999</v>
      </c>
      <c r="BB131" s="225">
        <f t="shared" si="158"/>
        <v>8841.8585500000008</v>
      </c>
      <c r="BC131" s="225">
        <f t="shared" si="158"/>
        <v>0</v>
      </c>
      <c r="BD131" s="225">
        <f t="shared" si="158"/>
        <v>0</v>
      </c>
      <c r="BE131" s="251">
        <f t="shared" si="158"/>
        <v>191</v>
      </c>
      <c r="BF131" s="252">
        <f t="shared" si="158"/>
        <v>743700</v>
      </c>
      <c r="BH131" s="225">
        <f t="shared" ref="BH131:BM131" si="159">BH68</f>
        <v>2528.3342314999982</v>
      </c>
      <c r="BI131" s="225">
        <f t="shared" si="159"/>
        <v>14830.549999999997</v>
      </c>
      <c r="BJ131" s="225">
        <f t="shared" si="159"/>
        <v>0</v>
      </c>
      <c r="BK131" s="225">
        <f t="shared" si="159"/>
        <v>16151.855109099995</v>
      </c>
      <c r="BL131" s="225">
        <f t="shared" si="159"/>
        <v>0</v>
      </c>
      <c r="BM131" s="225">
        <f t="shared" si="159"/>
        <v>33510.73934059999</v>
      </c>
      <c r="BN131" s="736">
        <f t="shared" si="152"/>
        <v>4.1441433310061351E-2</v>
      </c>
      <c r="BO131" s="732">
        <f t="shared" si="148"/>
        <v>45.059485465375815</v>
      </c>
      <c r="BQ131" s="677">
        <f>'[14]DUOS (t)'!AR136</f>
        <v>47.914679556219781</v>
      </c>
      <c r="BR131" s="736">
        <f t="shared" si="153"/>
        <v>-5.958913045622849E-2</v>
      </c>
    </row>
    <row r="132" spans="3:70" x14ac:dyDescent="0.25">
      <c r="C132" s="223" t="s">
        <v>154</v>
      </c>
      <c r="D132" s="224"/>
      <c r="E132" s="224"/>
      <c r="G132" s="224"/>
      <c r="H132" s="224"/>
      <c r="I132" s="224"/>
      <c r="J132" s="224"/>
      <c r="K132" s="224"/>
      <c r="L132" s="224"/>
      <c r="M132" s="224"/>
      <c r="N132" s="224"/>
      <c r="O132" s="224"/>
      <c r="P132" s="224"/>
      <c r="Q132" s="224"/>
      <c r="R132" s="224"/>
      <c r="S132" s="224"/>
      <c r="T132" s="224"/>
      <c r="U132" s="224"/>
      <c r="V132" s="224"/>
      <c r="X132" s="225">
        <f t="shared" ref="X132:AM132" si="160">SUM(X92:X126)</f>
        <v>9855</v>
      </c>
      <c r="Y132" s="225">
        <f t="shared" si="160"/>
        <v>1194167.5054229998</v>
      </c>
      <c r="Z132" s="225">
        <f t="shared" si="160"/>
        <v>0</v>
      </c>
      <c r="AA132" s="225">
        <f t="shared" si="160"/>
        <v>0</v>
      </c>
      <c r="AB132" s="225">
        <f t="shared" si="160"/>
        <v>0</v>
      </c>
      <c r="AC132" s="225">
        <f t="shared" si="160"/>
        <v>0</v>
      </c>
      <c r="AD132" s="225">
        <f t="shared" si="160"/>
        <v>0</v>
      </c>
      <c r="AE132" s="225">
        <f t="shared" si="160"/>
        <v>0</v>
      </c>
      <c r="AF132" s="225">
        <f t="shared" si="160"/>
        <v>0</v>
      </c>
      <c r="AG132" s="225">
        <f t="shared" si="160"/>
        <v>0</v>
      </c>
      <c r="AH132" s="225">
        <f t="shared" si="160"/>
        <v>0</v>
      </c>
      <c r="AI132" s="225">
        <f t="shared" si="160"/>
        <v>0</v>
      </c>
      <c r="AJ132" s="225">
        <f t="shared" si="160"/>
        <v>90514331.184999987</v>
      </c>
      <c r="AK132" s="225">
        <f t="shared" si="160"/>
        <v>118491241.00499998</v>
      </c>
      <c r="AL132" s="225">
        <f t="shared" si="160"/>
        <v>0</v>
      </c>
      <c r="AM132" s="225">
        <f t="shared" si="160"/>
        <v>0</v>
      </c>
      <c r="AO132" s="225">
        <f t="shared" ref="AO132:BF132" si="161">SUM(AO92:AO126)</f>
        <v>1189.1407999999999</v>
      </c>
      <c r="AP132" s="225">
        <f t="shared" si="161"/>
        <v>3336.1146619535998</v>
      </c>
      <c r="AQ132" s="225">
        <f t="shared" si="161"/>
        <v>0</v>
      </c>
      <c r="AR132" s="225">
        <f t="shared" si="161"/>
        <v>0</v>
      </c>
      <c r="AS132" s="225">
        <f t="shared" si="161"/>
        <v>0</v>
      </c>
      <c r="AT132" s="225">
        <f t="shared" si="161"/>
        <v>0</v>
      </c>
      <c r="AU132" s="225">
        <f t="shared" si="161"/>
        <v>0</v>
      </c>
      <c r="AV132" s="225">
        <f t="shared" si="161"/>
        <v>0</v>
      </c>
      <c r="AW132" s="225">
        <f t="shared" si="161"/>
        <v>0</v>
      </c>
      <c r="AX132" s="225">
        <f t="shared" si="161"/>
        <v>0</v>
      </c>
      <c r="AY132" s="225">
        <f t="shared" si="161"/>
        <v>0</v>
      </c>
      <c r="AZ132" s="225">
        <f t="shared" si="161"/>
        <v>0</v>
      </c>
      <c r="BA132" s="225">
        <f t="shared" si="161"/>
        <v>1565.9088663240002</v>
      </c>
      <c r="BB132" s="225">
        <f t="shared" si="161"/>
        <v>6324.1271738619998</v>
      </c>
      <c r="BC132" s="225">
        <f t="shared" si="161"/>
        <v>0</v>
      </c>
      <c r="BD132" s="225">
        <f t="shared" si="161"/>
        <v>0</v>
      </c>
      <c r="BE132" s="251">
        <f t="shared" si="161"/>
        <v>27</v>
      </c>
      <c r="BF132" s="252">
        <f t="shared" si="161"/>
        <v>1194167.5054229998</v>
      </c>
      <c r="BH132" s="225">
        <f t="shared" ref="BH132:BM132" si="162">BH92</f>
        <v>1189.1407999999999</v>
      </c>
      <c r="BI132" s="225">
        <f t="shared" si="162"/>
        <v>3336.1146619535998</v>
      </c>
      <c r="BJ132" s="225">
        <f t="shared" si="162"/>
        <v>0</v>
      </c>
      <c r="BK132" s="225">
        <f t="shared" si="162"/>
        <v>7890.0360401859998</v>
      </c>
      <c r="BL132" s="225">
        <f t="shared" si="162"/>
        <v>0</v>
      </c>
      <c r="BM132" s="225">
        <f t="shared" si="162"/>
        <v>12415.2915021396</v>
      </c>
      <c r="BN132" s="736">
        <f t="shared" si="152"/>
        <v>1.5353510096613635E-2</v>
      </c>
      <c r="BO132" s="732">
        <f t="shared" si="148"/>
        <v>10.396608051851015</v>
      </c>
      <c r="BQ132" s="677">
        <f>'[14]DUOS (t)'!AR137</f>
        <v>10.79123501975532</v>
      </c>
      <c r="BR132" s="736">
        <f t="shared" si="153"/>
        <v>-3.6569212623195457E-2</v>
      </c>
    </row>
    <row r="133" spans="3:70" s="126" customFormat="1" ht="15.75" thickBot="1" x14ac:dyDescent="0.3">
      <c r="C133" s="226" t="s">
        <v>155</v>
      </c>
      <c r="D133" s="227"/>
      <c r="E133" s="227"/>
      <c r="G133" s="227"/>
      <c r="H133" s="227"/>
      <c r="I133" s="227"/>
      <c r="J133" s="227"/>
      <c r="K133" s="227"/>
      <c r="L133" s="227"/>
      <c r="M133" s="227"/>
      <c r="N133" s="227"/>
      <c r="O133" s="227"/>
      <c r="P133" s="227"/>
      <c r="Q133" s="227"/>
      <c r="R133" s="227"/>
      <c r="S133" s="227"/>
      <c r="T133" s="227"/>
      <c r="U133" s="227"/>
      <c r="V133" s="227"/>
      <c r="X133" s="228">
        <f t="shared" ref="X133:AL133" si="163">SUM(X128:X132)</f>
        <v>326980740</v>
      </c>
      <c r="Y133" s="228">
        <f t="shared" si="163"/>
        <v>4414267.5054230001</v>
      </c>
      <c r="Z133" s="228">
        <f t="shared" si="163"/>
        <v>2292900</v>
      </c>
      <c r="AA133" s="228">
        <f t="shared" si="163"/>
        <v>337000</v>
      </c>
      <c r="AB133" s="228">
        <f t="shared" si="163"/>
        <v>2172000</v>
      </c>
      <c r="AC133" s="228">
        <f t="shared" si="163"/>
        <v>367600</v>
      </c>
      <c r="AD133" s="228">
        <f t="shared" si="163"/>
        <v>0</v>
      </c>
      <c r="AE133" s="228">
        <f t="shared" si="163"/>
        <v>87500</v>
      </c>
      <c r="AF133" s="228">
        <f t="shared" si="163"/>
        <v>21900</v>
      </c>
      <c r="AG133" s="228">
        <f t="shared" si="163"/>
        <v>4307728</v>
      </c>
      <c r="AH133" s="228">
        <f t="shared" si="163"/>
        <v>7657663</v>
      </c>
      <c r="AI133" s="228">
        <f t="shared" si="163"/>
        <v>17848500</v>
      </c>
      <c r="AJ133" s="228">
        <f t="shared" si="163"/>
        <v>392051051.185</v>
      </c>
      <c r="AK133" s="228">
        <f t="shared" si="163"/>
        <v>587691806.005</v>
      </c>
      <c r="AL133" s="228">
        <f t="shared" si="163"/>
        <v>1752000</v>
      </c>
      <c r="AM133" s="228">
        <f>SUM(AM128:AM132)</f>
        <v>0</v>
      </c>
      <c r="AO133" s="228">
        <f>SUM(AO128:AO132)</f>
        <v>154748.535107</v>
      </c>
      <c r="AP133" s="228">
        <f t="shared" ref="AP133:BD133" si="164">SUM(AP128:AP132)</f>
        <v>297425.40466195357</v>
      </c>
      <c r="AQ133" s="228">
        <f t="shared" si="164"/>
        <v>133163.5</v>
      </c>
      <c r="AR133" s="228">
        <f t="shared" si="164"/>
        <v>31541.590000000004</v>
      </c>
      <c r="AS133" s="228">
        <f t="shared" si="164"/>
        <v>64777.149999999994</v>
      </c>
      <c r="AT133" s="228">
        <f t="shared" si="164"/>
        <v>16983.12</v>
      </c>
      <c r="AU133" s="228">
        <f t="shared" si="164"/>
        <v>0</v>
      </c>
      <c r="AV133" s="228">
        <f t="shared" si="164"/>
        <v>4042.5</v>
      </c>
      <c r="AW133" s="228">
        <f t="shared" si="164"/>
        <v>505.89</v>
      </c>
      <c r="AX133" s="228">
        <f t="shared" si="164"/>
        <v>2188.2769905999999</v>
      </c>
      <c r="AY133" s="228">
        <f t="shared" si="164"/>
        <v>2369.2809322000003</v>
      </c>
      <c r="AZ133" s="228">
        <f t="shared" si="164"/>
        <v>2732.6053499999998</v>
      </c>
      <c r="BA133" s="228">
        <f t="shared" si="164"/>
        <v>42897.405288823997</v>
      </c>
      <c r="BB133" s="228">
        <f t="shared" si="164"/>
        <v>54354.484108862001</v>
      </c>
      <c r="BC133" s="228">
        <f t="shared" si="164"/>
        <v>899.12639999999999</v>
      </c>
      <c r="BD133" s="228">
        <f t="shared" si="164"/>
        <v>0</v>
      </c>
      <c r="BE133" s="245">
        <f>SUM(BE128:BE132)</f>
        <v>895837.64383561641</v>
      </c>
      <c r="BF133" s="246">
        <f>SUM(BF128:BF132)</f>
        <v>9693167.5054230001</v>
      </c>
      <c r="BH133" s="228">
        <f>SUM(BH128:BH132)</f>
        <v>154748.535107</v>
      </c>
      <c r="BI133" s="228">
        <f t="shared" ref="BI133:BM133" si="165">SUM(BI128:BI132)</f>
        <v>526907.64466195367</v>
      </c>
      <c r="BJ133" s="228">
        <f t="shared" si="165"/>
        <v>21531.51</v>
      </c>
      <c r="BK133" s="228">
        <f t="shared" si="165"/>
        <v>104542.05267048599</v>
      </c>
      <c r="BL133" s="228">
        <f t="shared" si="165"/>
        <v>899.12639999999999</v>
      </c>
      <c r="BM133" s="228">
        <f t="shared" si="165"/>
        <v>808628.8688394397</v>
      </c>
      <c r="BN133" s="736">
        <f t="shared" si="152"/>
        <v>1</v>
      </c>
      <c r="BO133" s="733">
        <f t="shared" si="148"/>
        <v>83.422562169387788</v>
      </c>
      <c r="BQ133" s="677">
        <f>'[14]DUOS (t)'!AR138</f>
        <v>87.18378705254095</v>
      </c>
      <c r="BR133" s="736">
        <f t="shared" si="153"/>
        <v>-4.3141334074952242E-2</v>
      </c>
    </row>
    <row r="134" spans="3:70" x14ac:dyDescent="0.25">
      <c r="C134" s="222"/>
      <c r="D134" s="222"/>
      <c r="K134" s="136"/>
      <c r="L134" s="136"/>
      <c r="M134" s="136"/>
      <c r="N134" s="136"/>
      <c r="O134" s="136"/>
      <c r="P134" s="136"/>
      <c r="Q134" s="136"/>
      <c r="R134" s="136"/>
      <c r="S134" s="136"/>
      <c r="T134" s="136"/>
      <c r="U134" s="136"/>
      <c r="V134" s="136"/>
      <c r="AB134" s="136"/>
      <c r="AC134" s="136"/>
      <c r="AD134" s="136"/>
      <c r="AE134" s="136"/>
      <c r="AF134" s="136"/>
      <c r="AG134" s="136"/>
      <c r="AH134" s="136"/>
      <c r="AI134" s="136"/>
      <c r="AJ134" s="136"/>
      <c r="AK134" s="136"/>
      <c r="AL134" s="136"/>
      <c r="AM134" s="136"/>
      <c r="AS134" s="136"/>
      <c r="AT134" s="136"/>
      <c r="AU134" s="136"/>
      <c r="AV134" s="136"/>
      <c r="AW134" s="136"/>
      <c r="AX134" s="136"/>
      <c r="AY134" s="136"/>
      <c r="AZ134" s="136"/>
      <c r="BA134" s="136"/>
      <c r="BB134" s="136"/>
      <c r="BC134" s="136"/>
      <c r="BD134" s="136"/>
      <c r="BE134" s="257"/>
      <c r="BF134" s="257"/>
      <c r="BN134" s="736"/>
      <c r="BO134" s="731"/>
      <c r="BR134" s="736"/>
    </row>
    <row r="135" spans="3:70" x14ac:dyDescent="0.25">
      <c r="C135" s="223" t="s">
        <v>617</v>
      </c>
      <c r="D135" s="224"/>
      <c r="J135" s="136"/>
      <c r="K135" s="136"/>
      <c r="L135" s="136"/>
      <c r="M135" s="136"/>
      <c r="N135" s="136"/>
      <c r="O135" s="136"/>
      <c r="P135" s="136"/>
      <c r="Q135" s="136"/>
      <c r="R135" s="136"/>
      <c r="S135" s="136"/>
      <c r="T135" s="136"/>
      <c r="U135" s="136"/>
      <c r="AB135" s="136"/>
      <c r="AC135" s="136"/>
      <c r="AD135" s="136"/>
      <c r="AE135" s="136"/>
      <c r="AF135" s="136"/>
      <c r="AG135" s="136"/>
      <c r="AH135" s="136"/>
      <c r="AI135" s="136"/>
      <c r="AJ135" s="136"/>
      <c r="AK135" s="136"/>
      <c r="AL135" s="136"/>
      <c r="AS135" s="136"/>
      <c r="AT135" s="136"/>
      <c r="AU135" s="136"/>
      <c r="AV135" s="136"/>
      <c r="AW135" s="136"/>
      <c r="AX135" s="136"/>
      <c r="AY135" s="136"/>
      <c r="AZ135" s="136"/>
      <c r="BA135" s="136"/>
      <c r="BB135" s="136"/>
      <c r="BC135" s="136"/>
      <c r="BD135" s="136"/>
      <c r="BE135" s="257"/>
      <c r="BF135" s="252">
        <f>BF128-BF136</f>
        <v>3187000</v>
      </c>
      <c r="BH135" s="225">
        <f>BH128</f>
        <v>123766.23538600001</v>
      </c>
      <c r="BI135" s="225">
        <f>BI128</f>
        <v>291729.81</v>
      </c>
      <c r="BJ135" s="225"/>
      <c r="BK135" s="225">
        <f>BK128</f>
        <v>0</v>
      </c>
      <c r="BL135" s="225">
        <f>BL128</f>
        <v>899.12639999999999</v>
      </c>
      <c r="BM135" s="225">
        <f>SUM(BH135:BL135)</f>
        <v>416395.17178600002</v>
      </c>
      <c r="BN135" s="736">
        <f t="shared" si="152"/>
        <v>0.51493977995569051</v>
      </c>
      <c r="BO135" s="732">
        <f>BM135*1000/BF135</f>
        <v>130.65427417194854</v>
      </c>
      <c r="BQ135" s="677">
        <f>'[14]DUOS (t)'!AR131</f>
        <v>137.00785523498408</v>
      </c>
      <c r="BR135" s="736">
        <f t="shared" si="153"/>
        <v>-4.6373845150253779E-2</v>
      </c>
    </row>
    <row r="136" spans="3:70" x14ac:dyDescent="0.25">
      <c r="C136" s="223" t="s">
        <v>616</v>
      </c>
      <c r="D136" s="224"/>
      <c r="J136" s="136"/>
      <c r="K136" s="136"/>
      <c r="L136" s="136"/>
      <c r="M136" s="136"/>
      <c r="N136" s="136"/>
      <c r="O136" s="136"/>
      <c r="P136" s="136"/>
      <c r="Q136" s="136"/>
      <c r="R136" s="136"/>
      <c r="S136" s="136"/>
      <c r="T136" s="136"/>
      <c r="U136" s="136"/>
      <c r="AB136" s="136"/>
      <c r="AC136" s="136"/>
      <c r="AD136" s="136"/>
      <c r="AE136" s="136"/>
      <c r="AF136" s="136"/>
      <c r="AG136" s="136"/>
      <c r="AH136" s="136"/>
      <c r="AI136" s="136"/>
      <c r="AJ136" s="136"/>
      <c r="AK136" s="136"/>
      <c r="AL136" s="136"/>
      <c r="AS136" s="136"/>
      <c r="AT136" s="136"/>
      <c r="AU136" s="136"/>
      <c r="AV136" s="136"/>
      <c r="AW136" s="136"/>
      <c r="AX136" s="136"/>
      <c r="AY136" s="136"/>
      <c r="AZ136" s="136"/>
      <c r="BA136" s="136"/>
      <c r="BB136" s="136"/>
      <c r="BC136" s="136"/>
      <c r="BD136" s="136"/>
      <c r="BE136" s="257"/>
      <c r="BF136" s="252">
        <f>SUM(AC16:AF25)</f>
        <v>471000</v>
      </c>
      <c r="BH136" s="225"/>
      <c r="BI136" s="225"/>
      <c r="BJ136" s="225">
        <f>BJ128</f>
        <v>21254.309999999998</v>
      </c>
      <c r="BK136" s="225"/>
      <c r="BL136" s="225"/>
      <c r="BM136" s="225">
        <f>SUM(BH136:BL136)</f>
        <v>21254.309999999998</v>
      </c>
      <c r="BN136" s="736">
        <f t="shared" si="152"/>
        <v>2.628438189512651E-2</v>
      </c>
      <c r="BO136" s="732">
        <f>BM136*1000/BF136</f>
        <v>45.125923566878974</v>
      </c>
      <c r="BQ136" s="677">
        <f>'[14]DUOS (t)'!AR132</f>
        <v>45.2</v>
      </c>
      <c r="BR136" s="736">
        <f t="shared" si="153"/>
        <v>-1.6388591398457386E-3</v>
      </c>
    </row>
    <row r="137" spans="3:70" x14ac:dyDescent="0.25">
      <c r="J137" s="136"/>
      <c r="K137" s="136"/>
      <c r="L137" s="136"/>
      <c r="M137" s="136"/>
      <c r="N137" s="136"/>
      <c r="O137" s="136"/>
      <c r="P137" s="136"/>
      <c r="Q137" s="136"/>
      <c r="R137" s="136"/>
      <c r="S137" s="136"/>
      <c r="T137" s="136"/>
      <c r="U137" s="136"/>
      <c r="AB137" s="136"/>
      <c r="AC137" s="136"/>
      <c r="AD137" s="136"/>
      <c r="AE137" s="136"/>
      <c r="AF137" s="136"/>
      <c r="AG137" s="136"/>
      <c r="AH137" s="136"/>
      <c r="AI137" s="136"/>
      <c r="AJ137" s="136"/>
      <c r="AK137" s="136"/>
      <c r="AL137" s="136"/>
      <c r="AS137" s="136"/>
      <c r="AT137" s="136"/>
      <c r="AU137" s="136"/>
      <c r="AV137" s="136"/>
      <c r="AW137" s="136"/>
      <c r="AX137" s="136"/>
      <c r="AY137" s="136"/>
      <c r="AZ137" s="136"/>
      <c r="BA137" s="136"/>
      <c r="BB137" s="136"/>
      <c r="BC137" s="136"/>
      <c r="BD137" s="136"/>
      <c r="BE137" s="257"/>
    </row>
    <row r="138" spans="3:70" x14ac:dyDescent="0.25">
      <c r="J138" s="136"/>
      <c r="K138" s="136"/>
      <c r="L138" s="136"/>
      <c r="M138" s="136"/>
      <c r="N138" s="136"/>
      <c r="O138" s="136"/>
      <c r="P138" s="136"/>
      <c r="Q138" s="136"/>
      <c r="R138" s="136"/>
      <c r="S138" s="136"/>
      <c r="T138" s="136"/>
      <c r="U138" s="136"/>
      <c r="AB138" s="136"/>
      <c r="AC138" s="136"/>
      <c r="AD138" s="136"/>
      <c r="AE138" s="136"/>
      <c r="AF138" s="136"/>
      <c r="AG138" s="136"/>
      <c r="AH138" s="136"/>
      <c r="AI138" s="136"/>
      <c r="AJ138" s="136"/>
      <c r="AK138" s="136"/>
      <c r="AL138" s="136"/>
      <c r="AS138" s="136"/>
      <c r="AT138" s="136"/>
      <c r="AU138" s="136"/>
      <c r="AV138" s="136"/>
      <c r="AW138" s="136"/>
      <c r="AX138" s="136"/>
      <c r="AY138" s="136"/>
      <c r="AZ138" s="136"/>
      <c r="BA138" s="136"/>
      <c r="BB138" s="136"/>
      <c r="BC138" s="136"/>
      <c r="BD138" s="136"/>
      <c r="BE138" s="257"/>
    </row>
    <row r="139" spans="3:70" x14ac:dyDescent="0.25">
      <c r="E139" s="229" t="s">
        <v>197</v>
      </c>
      <c r="F139" s="229"/>
      <c r="G139" s="230" t="s">
        <v>156</v>
      </c>
      <c r="H139" s="230" t="s">
        <v>157</v>
      </c>
      <c r="I139" s="230" t="s">
        <v>155</v>
      </c>
      <c r="J139" s="136"/>
      <c r="K139" s="136"/>
      <c r="L139" s="136"/>
      <c r="M139" s="136"/>
      <c r="N139" s="136"/>
      <c r="O139" s="136"/>
      <c r="P139" s="136"/>
      <c r="Q139" s="136"/>
      <c r="R139" s="136"/>
      <c r="S139" s="136"/>
      <c r="T139" s="136"/>
      <c r="U139" s="136"/>
      <c r="AB139" s="136"/>
      <c r="AC139" s="136"/>
      <c r="AD139" s="136"/>
      <c r="AE139" s="136"/>
      <c r="AF139" s="136"/>
      <c r="AG139" s="136"/>
      <c r="AH139" s="136"/>
      <c r="AI139" s="136"/>
      <c r="AJ139" s="136"/>
      <c r="AK139" s="136"/>
      <c r="AL139" s="136"/>
      <c r="AS139" s="136"/>
      <c r="AT139" s="136"/>
      <c r="AU139" s="136"/>
      <c r="AV139" s="136"/>
      <c r="AW139" s="136"/>
      <c r="AX139" s="136"/>
      <c r="AY139" s="136"/>
      <c r="AZ139" s="136"/>
      <c r="BA139" s="136"/>
      <c r="BB139" s="136"/>
      <c r="BC139" s="136"/>
      <c r="BD139" s="136"/>
      <c r="BE139" s="257"/>
    </row>
    <row r="140" spans="3:70" x14ac:dyDescent="0.25">
      <c r="E140" s="231" t="s">
        <v>45</v>
      </c>
      <c r="F140" s="231"/>
      <c r="G140" s="232">
        <f>SUM(AO18:AO19,AX18:BD19)</f>
        <v>103118.6358325</v>
      </c>
      <c r="H140" s="232">
        <f>SUM(AP18:AS19)</f>
        <v>245314.93999999997</v>
      </c>
      <c r="I140" s="232">
        <f>SUM(G140:H140)</f>
        <v>348433.57583250001</v>
      </c>
      <c r="J140" s="136"/>
      <c r="K140" s="136"/>
      <c r="L140" s="136"/>
      <c r="M140" s="136"/>
      <c r="N140" s="136"/>
      <c r="O140" s="136"/>
      <c r="P140" s="136"/>
      <c r="Q140" s="136"/>
      <c r="R140" s="136"/>
      <c r="S140" s="136"/>
      <c r="T140" s="136"/>
      <c r="U140" s="136"/>
      <c r="AB140" s="136"/>
      <c r="AC140" s="136"/>
      <c r="AD140" s="136"/>
      <c r="AE140" s="136"/>
      <c r="AF140" s="136"/>
      <c r="AG140" s="136"/>
      <c r="AH140" s="136"/>
      <c r="AI140" s="136"/>
      <c r="AJ140" s="136"/>
      <c r="AK140" s="136"/>
      <c r="AL140" s="136"/>
      <c r="AS140" s="136"/>
      <c r="AT140" s="136"/>
      <c r="AU140" s="136"/>
      <c r="AV140" s="136"/>
      <c r="AW140" s="136"/>
      <c r="AX140" s="136"/>
      <c r="AY140" s="136"/>
      <c r="AZ140" s="136"/>
      <c r="BA140" s="136"/>
      <c r="BB140" s="136"/>
      <c r="BC140" s="136"/>
      <c r="BD140" s="136"/>
      <c r="BE140" s="257"/>
    </row>
    <row r="141" spans="3:70" x14ac:dyDescent="0.25">
      <c r="E141" s="231" t="s">
        <v>158</v>
      </c>
      <c r="F141" s="231"/>
      <c r="G141" s="232">
        <f>SUM(AO22:AO23,AX22:BD23)</f>
        <v>20027.537553500002</v>
      </c>
      <c r="H141" s="232">
        <f>SUM(AP22:AS23)</f>
        <v>46229.42</v>
      </c>
      <c r="I141" s="232">
        <f t="shared" ref="I141:I159" si="166">SUM(G141:H141)</f>
        <v>66256.957553500004</v>
      </c>
      <c r="J141" s="136"/>
      <c r="K141" s="136"/>
      <c r="L141" s="136"/>
      <c r="M141" s="136"/>
      <c r="N141" s="136"/>
      <c r="O141" s="136"/>
      <c r="P141" s="136"/>
      <c r="Q141" s="136"/>
      <c r="R141" s="136"/>
      <c r="S141" s="136"/>
      <c r="T141" s="136"/>
      <c r="U141" s="136"/>
      <c r="AB141" s="136"/>
      <c r="AC141" s="136"/>
      <c r="AD141" s="136"/>
      <c r="AE141" s="136"/>
      <c r="AF141" s="136"/>
      <c r="AG141" s="136"/>
      <c r="AH141" s="136"/>
      <c r="AI141" s="136"/>
      <c r="AJ141" s="136"/>
      <c r="AK141" s="136"/>
      <c r="AL141" s="136"/>
      <c r="AS141" s="136"/>
      <c r="AT141" s="136"/>
      <c r="AU141" s="136"/>
      <c r="AV141" s="136"/>
      <c r="AW141" s="136"/>
      <c r="AX141" s="136"/>
      <c r="AY141" s="136"/>
      <c r="AZ141" s="136"/>
      <c r="BA141" s="136"/>
      <c r="BB141" s="136"/>
      <c r="BC141" s="136"/>
      <c r="BD141" s="136"/>
      <c r="BE141" s="257"/>
    </row>
    <row r="142" spans="3:70" x14ac:dyDescent="0.25">
      <c r="E142" s="231" t="s">
        <v>54</v>
      </c>
      <c r="F142" s="231"/>
      <c r="G142" s="232">
        <f>SUM(AO24:AO25,AX24:BD25)</f>
        <v>1519.1884</v>
      </c>
      <c r="H142" s="232">
        <f>SUM(AP24:AS25)</f>
        <v>185.45000000000002</v>
      </c>
      <c r="I142" s="232">
        <f t="shared" si="166"/>
        <v>1704.6384</v>
      </c>
      <c r="J142" s="136"/>
      <c r="K142" s="136"/>
      <c r="L142" s="136"/>
      <c r="M142" s="136"/>
      <c r="N142" s="136"/>
      <c r="O142" s="136"/>
      <c r="P142" s="136"/>
      <c r="Q142" s="136"/>
      <c r="R142" s="136"/>
      <c r="S142" s="136"/>
      <c r="T142" s="136"/>
      <c r="U142" s="136"/>
      <c r="AB142" s="136"/>
      <c r="AC142" s="136"/>
      <c r="AD142" s="136"/>
      <c r="AE142" s="136"/>
      <c r="AF142" s="136"/>
      <c r="AG142" s="136"/>
      <c r="AH142" s="136"/>
      <c r="AI142" s="136"/>
      <c r="AJ142" s="136"/>
      <c r="AK142" s="136"/>
      <c r="AL142" s="136"/>
      <c r="AS142" s="136"/>
      <c r="AT142" s="136"/>
      <c r="AU142" s="136"/>
      <c r="AV142" s="136"/>
      <c r="AW142" s="136"/>
      <c r="AX142" s="136"/>
      <c r="AY142" s="136"/>
      <c r="AZ142" s="136"/>
      <c r="BA142" s="136"/>
      <c r="BB142" s="136"/>
      <c r="BC142" s="136"/>
      <c r="BD142" s="136"/>
      <c r="BE142" s="257"/>
    </row>
    <row r="143" spans="3:70" x14ac:dyDescent="0.25">
      <c r="E143" s="231" t="s">
        <v>159</v>
      </c>
      <c r="F143" s="231"/>
      <c r="G143" s="232"/>
      <c r="H143" s="232">
        <f>SUM(AT16:AW126)-H144</f>
        <v>16983.119999999995</v>
      </c>
      <c r="I143" s="232">
        <f t="shared" si="166"/>
        <v>16983.119999999995</v>
      </c>
      <c r="J143" s="136"/>
      <c r="K143" s="136"/>
      <c r="L143" s="136"/>
      <c r="M143" s="136"/>
      <c r="N143" s="136"/>
      <c r="O143" s="136"/>
      <c r="P143" s="136"/>
      <c r="Q143" s="136"/>
      <c r="R143" s="136"/>
      <c r="S143" s="136"/>
      <c r="T143" s="136"/>
      <c r="U143" s="136"/>
      <c r="AB143" s="136"/>
      <c r="AC143" s="136"/>
      <c r="AD143" s="136"/>
      <c r="AE143" s="136"/>
      <c r="AF143" s="136"/>
      <c r="AG143" s="136"/>
      <c r="AH143" s="136"/>
      <c r="AI143" s="136"/>
      <c r="AJ143" s="136"/>
      <c r="AK143" s="136"/>
      <c r="AL143" s="136"/>
      <c r="AS143" s="136"/>
      <c r="AT143" s="136"/>
      <c r="AU143" s="136"/>
      <c r="AV143" s="136"/>
      <c r="AW143" s="136"/>
      <c r="AX143" s="136"/>
      <c r="AY143" s="136"/>
      <c r="AZ143" s="136"/>
      <c r="BA143" s="136"/>
      <c r="BB143" s="136"/>
      <c r="BC143" s="136"/>
      <c r="BD143" s="136"/>
      <c r="BE143" s="257"/>
    </row>
    <row r="144" spans="3:70" x14ac:dyDescent="0.25">
      <c r="E144" s="231" t="s">
        <v>160</v>
      </c>
      <c r="F144" s="231"/>
      <c r="G144" s="232"/>
      <c r="H144" s="232">
        <f>SUM(AT22:AW25,AT37:AW38,AT47:AW51)</f>
        <v>4548.3900000000003</v>
      </c>
      <c r="I144" s="232">
        <f t="shared" si="166"/>
        <v>4548.3900000000003</v>
      </c>
      <c r="J144" s="136"/>
      <c r="K144" s="136"/>
      <c r="L144" s="136"/>
      <c r="M144" s="136"/>
      <c r="N144" s="136"/>
      <c r="O144" s="136"/>
      <c r="P144" s="136"/>
      <c r="Q144" s="136"/>
      <c r="R144" s="136"/>
      <c r="S144" s="136"/>
      <c r="T144" s="136"/>
      <c r="U144" s="136"/>
      <c r="AB144" s="136"/>
      <c r="AC144" s="136"/>
      <c r="AD144" s="136"/>
      <c r="AE144" s="136"/>
      <c r="AF144" s="136"/>
      <c r="AG144" s="136"/>
      <c r="AH144" s="136"/>
      <c r="AI144" s="136"/>
      <c r="AJ144" s="136"/>
      <c r="AK144" s="136"/>
      <c r="AL144" s="136"/>
      <c r="AS144" s="136"/>
      <c r="AT144" s="136"/>
      <c r="AU144" s="136"/>
      <c r="AV144" s="136"/>
      <c r="AW144" s="136"/>
      <c r="AX144" s="136"/>
      <c r="AY144" s="136"/>
      <c r="AZ144" s="136"/>
      <c r="BA144" s="136"/>
      <c r="BB144" s="136"/>
      <c r="BC144" s="136"/>
      <c r="BD144" s="136"/>
      <c r="BE144" s="257"/>
    </row>
    <row r="145" spans="3:57" x14ac:dyDescent="0.25">
      <c r="E145" s="231" t="s">
        <v>161</v>
      </c>
      <c r="F145" s="231"/>
      <c r="G145" s="232">
        <f>SUM(AO28:AO29,AX28:BD29)</f>
        <v>0</v>
      </c>
      <c r="H145" s="232">
        <f>SUM(AP28:AS29)</f>
        <v>7480</v>
      </c>
      <c r="I145" s="232">
        <f t="shared" si="166"/>
        <v>7480</v>
      </c>
      <c r="J145" s="136"/>
      <c r="K145" s="136"/>
      <c r="L145" s="136"/>
      <c r="M145" s="136"/>
      <c r="N145" s="136"/>
      <c r="O145" s="136"/>
      <c r="P145" s="136"/>
      <c r="Q145" s="136"/>
      <c r="R145" s="136"/>
      <c r="S145" s="136"/>
      <c r="T145" s="136"/>
      <c r="U145" s="136"/>
      <c r="AB145" s="136"/>
      <c r="AC145" s="136"/>
      <c r="AD145" s="136"/>
      <c r="AE145" s="136"/>
      <c r="AF145" s="136"/>
      <c r="AG145" s="136"/>
      <c r="AH145" s="136"/>
      <c r="AI145" s="136"/>
      <c r="AJ145" s="136"/>
      <c r="AK145" s="136"/>
      <c r="AL145" s="136"/>
      <c r="AS145" s="136"/>
      <c r="AT145" s="136"/>
      <c r="AU145" s="136"/>
      <c r="AV145" s="136"/>
      <c r="AW145" s="136"/>
      <c r="AX145" s="136"/>
      <c r="AY145" s="136"/>
      <c r="AZ145" s="136"/>
      <c r="BA145" s="136"/>
      <c r="BB145" s="136"/>
      <c r="BC145" s="136"/>
      <c r="BD145" s="136"/>
      <c r="BE145" s="257"/>
    </row>
    <row r="146" spans="3:57" x14ac:dyDescent="0.25">
      <c r="E146" s="231" t="s">
        <v>162</v>
      </c>
      <c r="F146" s="231"/>
      <c r="G146" s="232">
        <f>SUM(AO31:AO35,AO42:AO45,AX31:BD35,AX42:BD45)</f>
        <v>11943.109350000001</v>
      </c>
      <c r="H146" s="232">
        <f>SUM(AP31:AS35,AP42:AS45)</f>
        <v>64831.93</v>
      </c>
      <c r="I146" s="232">
        <f t="shared" si="166"/>
        <v>76775.039350000006</v>
      </c>
      <c r="J146" s="136"/>
      <c r="K146" s="136"/>
      <c r="L146" s="136"/>
      <c r="M146" s="136"/>
      <c r="N146" s="136"/>
      <c r="O146" s="136"/>
      <c r="P146" s="136"/>
      <c r="Q146" s="136"/>
      <c r="R146" s="136"/>
      <c r="S146" s="136"/>
      <c r="T146" s="136"/>
      <c r="U146" s="136"/>
      <c r="AB146" s="136"/>
      <c r="AC146" s="136"/>
      <c r="AD146" s="136"/>
      <c r="AE146" s="136"/>
      <c r="AF146" s="136"/>
      <c r="AG146" s="136"/>
      <c r="AH146" s="136"/>
      <c r="AI146" s="136"/>
      <c r="AJ146" s="136"/>
      <c r="AK146" s="136"/>
      <c r="AL146" s="136"/>
      <c r="AS146" s="136"/>
      <c r="AT146" s="136"/>
      <c r="AU146" s="136"/>
      <c r="AV146" s="136"/>
      <c r="AW146" s="136"/>
      <c r="AX146" s="136"/>
      <c r="AY146" s="136"/>
      <c r="AZ146" s="136"/>
      <c r="BA146" s="136"/>
      <c r="BB146" s="136"/>
      <c r="BC146" s="136"/>
      <c r="BD146" s="136"/>
      <c r="BE146" s="257"/>
    </row>
    <row r="147" spans="3:57" x14ac:dyDescent="0.25">
      <c r="E147" s="231" t="s">
        <v>163</v>
      </c>
      <c r="F147" s="231"/>
      <c r="G147" s="232">
        <f>SUM(AO37:AO37,AX37:BD37)</f>
        <v>3406.40922</v>
      </c>
      <c r="H147" s="232">
        <f>SUM(AP37:AS37)</f>
        <v>42241.43</v>
      </c>
      <c r="I147" s="232">
        <f t="shared" si="166"/>
        <v>45647.839220000002</v>
      </c>
      <c r="J147" s="136"/>
      <c r="K147" s="136"/>
      <c r="L147" s="136"/>
      <c r="M147" s="136"/>
      <c r="N147" s="136"/>
      <c r="O147" s="136"/>
      <c r="P147" s="136"/>
      <c r="Q147" s="136"/>
      <c r="R147" s="136"/>
      <c r="S147" s="136"/>
      <c r="T147" s="136"/>
      <c r="U147" s="136"/>
      <c r="AB147" s="136"/>
      <c r="AC147" s="136"/>
      <c r="AD147" s="136"/>
      <c r="AE147" s="136"/>
      <c r="AF147" s="136"/>
      <c r="AG147" s="136"/>
      <c r="AH147" s="136"/>
      <c r="AI147" s="136"/>
      <c r="AJ147" s="136"/>
      <c r="AK147" s="136"/>
      <c r="AL147" s="136"/>
      <c r="AS147" s="136"/>
      <c r="AT147" s="136"/>
      <c r="AU147" s="136"/>
      <c r="AV147" s="136"/>
      <c r="AW147" s="136"/>
      <c r="AX147" s="136"/>
      <c r="AY147" s="136"/>
      <c r="AZ147" s="136"/>
      <c r="BA147" s="136"/>
      <c r="BB147" s="136"/>
      <c r="BC147" s="136"/>
      <c r="BD147" s="136"/>
      <c r="BE147" s="257"/>
    </row>
    <row r="148" spans="3:57" x14ac:dyDescent="0.25">
      <c r="E148" s="231" t="s">
        <v>164</v>
      </c>
      <c r="F148" s="231"/>
      <c r="G148" s="232">
        <f>SUM(AO38:AO38,AX38:BD38)</f>
        <v>2370.6873734999999</v>
      </c>
      <c r="H148" s="232">
        <f>SUM(AP38:AS38)</f>
        <v>5080.0700000000006</v>
      </c>
      <c r="I148" s="232">
        <f t="shared" si="166"/>
        <v>7450.7573735000005</v>
      </c>
      <c r="J148" s="136"/>
      <c r="K148" s="136"/>
      <c r="L148" s="136"/>
      <c r="M148" s="136"/>
      <c r="N148" s="136"/>
      <c r="O148" s="136"/>
      <c r="P148" s="136"/>
      <c r="Q148" s="136"/>
      <c r="R148" s="136"/>
      <c r="S148" s="136"/>
      <c r="T148" s="136"/>
      <c r="U148" s="136"/>
      <c r="AB148" s="136"/>
      <c r="AC148" s="136"/>
      <c r="AD148" s="136"/>
      <c r="AE148" s="136"/>
      <c r="AF148" s="136"/>
      <c r="AG148" s="136"/>
      <c r="AH148" s="136"/>
      <c r="AI148" s="136"/>
      <c r="AJ148" s="136"/>
      <c r="AK148" s="136"/>
      <c r="AL148" s="136"/>
      <c r="AS148" s="136"/>
      <c r="AT148" s="136"/>
      <c r="AU148" s="136"/>
      <c r="AV148" s="136"/>
      <c r="AW148" s="136"/>
      <c r="AX148" s="136"/>
      <c r="AY148" s="136"/>
      <c r="AZ148" s="136"/>
      <c r="BA148" s="136"/>
      <c r="BB148" s="136"/>
      <c r="BC148" s="136"/>
      <c r="BD148" s="136"/>
      <c r="BE148" s="257"/>
    </row>
    <row r="149" spans="3:57" x14ac:dyDescent="0.25">
      <c r="E149" s="231" t="s">
        <v>165</v>
      </c>
      <c r="F149" s="231"/>
      <c r="G149" s="232">
        <f>SUM(AO39:AO39,AX39:BD39)</f>
        <v>2388.8789118000004</v>
      </c>
      <c r="H149" s="232">
        <f>SUM(AP39:AS39)</f>
        <v>1503.8</v>
      </c>
      <c r="I149" s="232">
        <f t="shared" si="166"/>
        <v>3892.6789118000006</v>
      </c>
      <c r="J149" s="136"/>
      <c r="K149" s="136"/>
      <c r="L149" s="136"/>
      <c r="M149" s="136"/>
      <c r="N149" s="136"/>
      <c r="O149" s="136"/>
      <c r="P149" s="136"/>
      <c r="Q149" s="136"/>
      <c r="R149" s="136"/>
      <c r="S149" s="136"/>
      <c r="T149" s="136"/>
      <c r="U149" s="136"/>
      <c r="AB149" s="136"/>
      <c r="AC149" s="136"/>
      <c r="AD149" s="136"/>
      <c r="AE149" s="136"/>
      <c r="AF149" s="136"/>
      <c r="AG149" s="136"/>
      <c r="AH149" s="136"/>
      <c r="AI149" s="136"/>
      <c r="AJ149" s="136"/>
      <c r="AK149" s="136"/>
      <c r="AL149" s="136"/>
      <c r="AS149" s="136"/>
      <c r="AT149" s="136"/>
      <c r="AU149" s="136"/>
      <c r="AV149" s="136"/>
      <c r="AW149" s="136"/>
      <c r="AX149" s="136"/>
      <c r="AY149" s="136"/>
      <c r="AZ149" s="136"/>
      <c r="BA149" s="136"/>
      <c r="BB149" s="136"/>
      <c r="BC149" s="136"/>
      <c r="BD149" s="136"/>
      <c r="BE149" s="257"/>
    </row>
    <row r="150" spans="3:57" x14ac:dyDescent="0.25">
      <c r="E150" s="231" t="s">
        <v>166</v>
      </c>
      <c r="F150" s="231"/>
      <c r="G150" s="232">
        <f>SUM(AO47:AO47,AO53:AO64,AX47:BD47,AX53:BD64)</f>
        <v>78187.310136500004</v>
      </c>
      <c r="H150" s="232">
        <f>SUM(AP47:AS47,AP53:AS64)</f>
        <v>87450.29</v>
      </c>
      <c r="I150" s="232">
        <f t="shared" si="166"/>
        <v>165637.6001365</v>
      </c>
      <c r="J150" s="136"/>
      <c r="K150" s="136"/>
      <c r="L150" s="136"/>
      <c r="M150" s="136"/>
      <c r="N150" s="136"/>
      <c r="O150" s="136"/>
      <c r="P150" s="136"/>
      <c r="Q150" s="136"/>
      <c r="R150" s="136"/>
      <c r="S150" s="136"/>
      <c r="T150" s="136"/>
      <c r="U150" s="136"/>
      <c r="AB150" s="136"/>
      <c r="AC150" s="136"/>
      <c r="AD150" s="136"/>
      <c r="AE150" s="136"/>
      <c r="AF150" s="136"/>
      <c r="AG150" s="136"/>
      <c r="AH150" s="136"/>
      <c r="AI150" s="136"/>
      <c r="AJ150" s="136"/>
      <c r="AK150" s="136"/>
      <c r="AL150" s="136"/>
      <c r="AS150" s="136"/>
      <c r="AT150" s="136"/>
      <c r="AU150" s="136"/>
      <c r="AV150" s="136"/>
      <c r="AW150" s="136"/>
      <c r="AX150" s="136"/>
      <c r="AY150" s="136"/>
      <c r="AZ150" s="136"/>
      <c r="BA150" s="136"/>
      <c r="BB150" s="136"/>
      <c r="BC150" s="136"/>
      <c r="BD150" s="136"/>
      <c r="BE150" s="257"/>
    </row>
    <row r="151" spans="3:57" x14ac:dyDescent="0.25">
      <c r="E151" s="231" t="s">
        <v>167</v>
      </c>
      <c r="F151" s="231"/>
      <c r="G151" s="232">
        <f>SUM(AO48:AO49,AX48:BD49)</f>
        <v>5808.7877932000001</v>
      </c>
      <c r="H151" s="232">
        <f>SUM(AP48:AS49)</f>
        <v>4767.1499999999996</v>
      </c>
      <c r="I151" s="232">
        <f t="shared" si="166"/>
        <v>10575.937793199999</v>
      </c>
      <c r="J151" s="136"/>
      <c r="K151" s="136"/>
      <c r="L151" s="136"/>
      <c r="M151" s="136"/>
      <c r="N151" s="136"/>
      <c r="O151" s="136"/>
      <c r="P151" s="136"/>
      <c r="Q151" s="136"/>
      <c r="R151" s="136"/>
      <c r="S151" s="136"/>
      <c r="T151" s="136"/>
      <c r="U151" s="136"/>
      <c r="AB151" s="136"/>
      <c r="AC151" s="136"/>
      <c r="AD151" s="136"/>
      <c r="AE151" s="136"/>
      <c r="AF151" s="136"/>
      <c r="AG151" s="136"/>
      <c r="AH151" s="136"/>
      <c r="AI151" s="136"/>
      <c r="AJ151" s="136"/>
      <c r="AK151" s="136"/>
      <c r="AL151" s="136"/>
      <c r="AS151" s="136"/>
      <c r="AT151" s="136"/>
      <c r="AU151" s="136"/>
      <c r="AV151" s="136"/>
      <c r="AW151" s="136"/>
      <c r="AX151" s="136"/>
      <c r="AY151" s="136"/>
      <c r="AZ151" s="136"/>
      <c r="BA151" s="136"/>
      <c r="BB151" s="136"/>
      <c r="BC151" s="136"/>
      <c r="BD151" s="136"/>
      <c r="BE151" s="257"/>
    </row>
    <row r="152" spans="3:57" x14ac:dyDescent="0.25">
      <c r="E152" s="231" t="s">
        <v>168</v>
      </c>
      <c r="F152" s="231"/>
      <c r="G152" s="232">
        <f>SUM(AO50:AO51,AX50:BD51)</f>
        <v>3659.8034256999999</v>
      </c>
      <c r="H152" s="232">
        <f>SUM(AP50:AS51)</f>
        <v>3656.5</v>
      </c>
      <c r="I152" s="232">
        <f t="shared" si="166"/>
        <v>7316.3034256999999</v>
      </c>
      <c r="J152" s="136"/>
      <c r="K152" s="136"/>
      <c r="L152" s="136"/>
      <c r="M152" s="136"/>
      <c r="N152" s="136"/>
      <c r="O152" s="136"/>
      <c r="P152" s="136"/>
      <c r="Q152" s="136"/>
      <c r="R152" s="136"/>
      <c r="S152" s="136"/>
      <c r="T152" s="136"/>
      <c r="U152" s="136"/>
      <c r="AB152" s="136"/>
      <c r="AC152" s="136"/>
      <c r="AD152" s="136"/>
      <c r="AE152" s="136"/>
      <c r="AF152" s="136"/>
      <c r="AG152" s="136"/>
      <c r="AH152" s="136"/>
      <c r="AI152" s="136"/>
      <c r="AJ152" s="136"/>
      <c r="AK152" s="136"/>
      <c r="AL152" s="136"/>
      <c r="AS152" s="136"/>
      <c r="AT152" s="136"/>
      <c r="AU152" s="136"/>
      <c r="AV152" s="136"/>
      <c r="AW152" s="136"/>
      <c r="AX152" s="136"/>
      <c r="AY152" s="136"/>
      <c r="AZ152" s="136"/>
      <c r="BA152" s="136"/>
      <c r="BB152" s="136"/>
      <c r="BC152" s="136"/>
      <c r="BD152" s="136"/>
      <c r="BE152" s="257"/>
    </row>
    <row r="153" spans="3:57" x14ac:dyDescent="0.25">
      <c r="E153" s="231" t="s">
        <v>169</v>
      </c>
      <c r="F153" s="231"/>
      <c r="G153" s="232">
        <f>SUM(AO70:AO70,AO74,AO77:AO85,AX70:BD70,AX74:BD74,AX77:BD85)</f>
        <v>17637.043345499991</v>
      </c>
      <c r="H153" s="232">
        <f>SUM(AP70:AS70,AP74:AS74,AP77:AS85)</f>
        <v>13844.239999999998</v>
      </c>
      <c r="I153" s="232">
        <f t="shared" si="166"/>
        <v>31481.283345499989</v>
      </c>
      <c r="J153" s="136"/>
      <c r="K153" s="136"/>
      <c r="L153" s="136"/>
      <c r="M153" s="136"/>
      <c r="N153" s="136"/>
      <c r="O153" s="136"/>
      <c r="P153" s="136"/>
      <c r="Q153" s="136"/>
      <c r="R153" s="136"/>
      <c r="S153" s="136"/>
      <c r="T153" s="136"/>
      <c r="U153" s="136"/>
      <c r="AB153" s="136"/>
      <c r="AC153" s="136"/>
      <c r="AD153" s="136"/>
      <c r="AE153" s="136"/>
      <c r="AF153" s="136"/>
      <c r="AG153" s="136"/>
      <c r="AH153" s="136"/>
      <c r="AI153" s="136"/>
      <c r="AJ153" s="136"/>
      <c r="AK153" s="136"/>
      <c r="AL153" s="136"/>
      <c r="AS153" s="136"/>
      <c r="AT153" s="136"/>
      <c r="AU153" s="136"/>
      <c r="AV153" s="136"/>
      <c r="AW153" s="136"/>
      <c r="AX153" s="136"/>
      <c r="AY153" s="136"/>
      <c r="AZ153" s="136"/>
      <c r="BA153" s="136"/>
      <c r="BB153" s="136"/>
      <c r="BC153" s="136"/>
      <c r="BD153" s="136"/>
      <c r="BE153" s="257"/>
    </row>
    <row r="154" spans="3:57" x14ac:dyDescent="0.25">
      <c r="E154" s="231" t="s">
        <v>170</v>
      </c>
      <c r="F154" s="231"/>
      <c r="G154" s="232">
        <f>SUM(AO71:AO72,AX71:BD72)</f>
        <v>642.45483339999998</v>
      </c>
      <c r="H154" s="232">
        <f>SUM(AP71:AS72)</f>
        <v>342.56</v>
      </c>
      <c r="I154" s="232">
        <f t="shared" si="166"/>
        <v>985.01483340000004</v>
      </c>
      <c r="J154" s="136"/>
      <c r="K154" s="136"/>
      <c r="L154" s="136"/>
      <c r="M154" s="136"/>
      <c r="N154" s="136"/>
      <c r="O154" s="136"/>
      <c r="P154" s="136"/>
      <c r="Q154" s="136"/>
      <c r="R154" s="136"/>
      <c r="S154" s="136"/>
      <c r="T154" s="136"/>
      <c r="U154" s="136"/>
      <c r="AB154" s="136"/>
      <c r="AC154" s="136"/>
      <c r="AD154" s="136"/>
      <c r="AE154" s="136"/>
      <c r="AF154" s="136"/>
      <c r="AG154" s="136"/>
      <c r="AH154" s="136"/>
      <c r="AI154" s="136"/>
      <c r="AJ154" s="136"/>
      <c r="AK154" s="136"/>
      <c r="AL154" s="136"/>
      <c r="AS154" s="136"/>
      <c r="AT154" s="136"/>
      <c r="AU154" s="136"/>
      <c r="AV154" s="136"/>
      <c r="AW154" s="136"/>
      <c r="AX154" s="136"/>
      <c r="AY154" s="136"/>
      <c r="AZ154" s="136"/>
      <c r="BA154" s="136"/>
      <c r="BB154" s="136"/>
      <c r="BC154" s="136"/>
      <c r="BD154" s="136"/>
      <c r="BE154" s="257"/>
    </row>
    <row r="155" spans="3:57" x14ac:dyDescent="0.25">
      <c r="E155" s="231" t="s">
        <v>171</v>
      </c>
      <c r="F155" s="231"/>
      <c r="G155" s="232">
        <f>SUM(AO73,AO75:AO75,AX73:BD73,AX75:BD75)</f>
        <v>400.69116170000001</v>
      </c>
      <c r="H155" s="232">
        <f>SUM(AP73:AS73,AP75:AS75)</f>
        <v>643.75</v>
      </c>
      <c r="I155" s="232">
        <f t="shared" si="166"/>
        <v>1044.4411617000001</v>
      </c>
      <c r="J155" s="136"/>
      <c r="K155" s="136"/>
      <c r="L155" s="136"/>
      <c r="M155" s="136"/>
      <c r="N155" s="136"/>
      <c r="O155" s="136"/>
      <c r="P155" s="136"/>
      <c r="Q155" s="136"/>
      <c r="R155" s="136"/>
      <c r="S155" s="136"/>
      <c r="T155" s="136"/>
      <c r="U155" s="136"/>
      <c r="AB155" s="136"/>
      <c r="AC155" s="136"/>
      <c r="AD155" s="136"/>
      <c r="AE155" s="136"/>
      <c r="AF155" s="136"/>
      <c r="AG155" s="136"/>
      <c r="AH155" s="136"/>
      <c r="AI155" s="136"/>
      <c r="AJ155" s="136"/>
      <c r="AK155" s="136"/>
      <c r="AL155" s="136"/>
      <c r="AS155" s="136"/>
      <c r="AT155" s="136"/>
      <c r="AU155" s="136"/>
      <c r="AV155" s="136"/>
      <c r="AW155" s="136"/>
      <c r="AX155" s="136"/>
      <c r="AY155" s="136"/>
      <c r="AZ155" s="136"/>
      <c r="BA155" s="136"/>
      <c r="BB155" s="136"/>
      <c r="BC155" s="136"/>
      <c r="BD155" s="136"/>
      <c r="BE155" s="257"/>
    </row>
    <row r="156" spans="3:57" x14ac:dyDescent="0.25">
      <c r="C156" s="222"/>
      <c r="D156" s="222"/>
      <c r="E156" s="231" t="s">
        <v>172</v>
      </c>
      <c r="F156" s="231"/>
      <c r="G156" s="232">
        <f>SUM(AO94:AO100,AX94:BD100)</f>
        <v>1922.7620273419996</v>
      </c>
      <c r="H156" s="232">
        <f>SUM(AP94:AS100)</f>
        <v>463.18034158880005</v>
      </c>
      <c r="I156" s="232">
        <f t="shared" si="166"/>
        <v>2385.9423689307996</v>
      </c>
      <c r="J156" s="136"/>
      <c r="K156" s="136"/>
      <c r="L156" s="136"/>
      <c r="M156" s="136"/>
      <c r="N156" s="136"/>
      <c r="O156" s="136"/>
      <c r="P156" s="136"/>
      <c r="Q156" s="136"/>
      <c r="R156" s="136"/>
      <c r="S156" s="136"/>
      <c r="T156" s="136"/>
      <c r="U156" s="136"/>
      <c r="AB156" s="136"/>
      <c r="AC156" s="136"/>
      <c r="AD156" s="136"/>
      <c r="AE156" s="136"/>
      <c r="AF156" s="136"/>
      <c r="AG156" s="136"/>
      <c r="AH156" s="136"/>
      <c r="AI156" s="136"/>
      <c r="AJ156" s="136"/>
      <c r="AK156" s="136"/>
      <c r="AL156" s="136"/>
      <c r="AS156" s="136"/>
      <c r="AT156" s="136"/>
      <c r="AU156" s="136"/>
      <c r="AV156" s="136"/>
      <c r="AW156" s="136"/>
      <c r="AX156" s="136"/>
      <c r="AY156" s="136"/>
      <c r="AZ156" s="136"/>
      <c r="BA156" s="136"/>
      <c r="BB156" s="136"/>
      <c r="BC156" s="136"/>
      <c r="BD156" s="136"/>
      <c r="BE156" s="257"/>
    </row>
    <row r="157" spans="3:57" x14ac:dyDescent="0.25">
      <c r="C157" s="222"/>
      <c r="D157" s="222"/>
      <c r="E157" s="231" t="s">
        <v>173</v>
      </c>
      <c r="F157" s="231"/>
      <c r="G157" s="232">
        <f>SUM(AO102:AO110,AX102:BD110)</f>
        <v>3522.3975464319992</v>
      </c>
      <c r="H157" s="232">
        <f>SUM(AP102:AS110)</f>
        <v>1776.8072564176002</v>
      </c>
      <c r="I157" s="232">
        <f t="shared" si="166"/>
        <v>5299.2048028495992</v>
      </c>
      <c r="J157" s="136"/>
      <c r="K157" s="136"/>
      <c r="L157" s="136"/>
      <c r="M157" s="136"/>
      <c r="N157" s="136"/>
      <c r="O157" s="136"/>
      <c r="P157" s="136"/>
      <c r="Q157" s="136"/>
      <c r="R157" s="136"/>
      <c r="S157" s="136"/>
      <c r="T157" s="136"/>
      <c r="U157" s="136"/>
      <c r="AB157" s="136"/>
      <c r="AC157" s="136"/>
      <c r="AD157" s="136"/>
      <c r="AE157" s="136"/>
      <c r="AF157" s="136"/>
      <c r="AG157" s="136"/>
      <c r="AH157" s="136"/>
      <c r="AI157" s="136"/>
      <c r="AJ157" s="136"/>
      <c r="AK157" s="136"/>
      <c r="AL157" s="136"/>
      <c r="AS157" s="136"/>
      <c r="AT157" s="136"/>
      <c r="AU157" s="136"/>
      <c r="AV157" s="136"/>
      <c r="AW157" s="136"/>
      <c r="AX157" s="136"/>
      <c r="AY157" s="136"/>
      <c r="AZ157" s="136"/>
      <c r="BA157" s="136"/>
      <c r="BB157" s="136"/>
      <c r="BC157" s="136"/>
      <c r="BD157" s="136"/>
      <c r="BE157" s="257"/>
    </row>
    <row r="158" spans="3:57" x14ac:dyDescent="0.25">
      <c r="C158" s="222"/>
      <c r="D158" s="222"/>
      <c r="E158" s="231" t="s">
        <v>174</v>
      </c>
      <c r="F158" s="231"/>
      <c r="G158" s="232">
        <f>SUM(AO113:AO116,AX113:BD116)</f>
        <v>716.97961137599987</v>
      </c>
      <c r="H158" s="232">
        <f>SUM(AP113:AS116)</f>
        <v>33.322574014400004</v>
      </c>
      <c r="I158" s="232">
        <f t="shared" si="166"/>
        <v>750.30218539039993</v>
      </c>
      <c r="J158" s="136"/>
      <c r="K158" s="136"/>
      <c r="L158" s="136"/>
      <c r="M158" s="136"/>
      <c r="N158" s="136"/>
      <c r="O158" s="136"/>
      <c r="P158" s="136"/>
      <c r="Q158" s="136"/>
      <c r="R158" s="136"/>
      <c r="S158" s="136"/>
      <c r="T158" s="136"/>
      <c r="U158" s="136"/>
      <c r="AB158" s="136"/>
      <c r="AC158" s="136"/>
      <c r="AD158" s="136"/>
      <c r="AE158" s="136"/>
      <c r="AF158" s="136"/>
      <c r="AG158" s="136"/>
      <c r="AH158" s="136"/>
      <c r="AI158" s="136"/>
      <c r="AJ158" s="136"/>
      <c r="AK158" s="136"/>
      <c r="AL158" s="136"/>
      <c r="AS158" s="136"/>
      <c r="AT158" s="136"/>
      <c r="AU158" s="136"/>
      <c r="AV158" s="136"/>
      <c r="AW158" s="136"/>
      <c r="AX158" s="136"/>
      <c r="AY158" s="136"/>
      <c r="AZ158" s="136"/>
      <c r="BA158" s="136"/>
      <c r="BB158" s="136"/>
      <c r="BC158" s="136"/>
      <c r="BD158" s="136"/>
      <c r="BE158" s="257"/>
    </row>
    <row r="159" spans="3:57" x14ac:dyDescent="0.25">
      <c r="E159" s="231" t="s">
        <v>175</v>
      </c>
      <c r="F159" s="231"/>
      <c r="G159" s="232">
        <f>SUM(AO118:AO126,AX118:BD126)</f>
        <v>2917.0376550360002</v>
      </c>
      <c r="H159" s="232">
        <f>SUM(AP118:AS126)</f>
        <v>1062.8044899327999</v>
      </c>
      <c r="I159" s="232">
        <f t="shared" si="166"/>
        <v>3979.8421449688003</v>
      </c>
    </row>
    <row r="160" spans="3:57" ht="15.75" thickBot="1" x14ac:dyDescent="0.3">
      <c r="E160" s="231"/>
      <c r="F160" s="231"/>
      <c r="G160" s="233">
        <f>SUM(G140:G159)</f>
        <v>260189.71417748602</v>
      </c>
      <c r="H160" s="233">
        <f>SUM(H140:H159)</f>
        <v>548439.15466195368</v>
      </c>
      <c r="I160" s="233">
        <f>SUM(I140:I159)</f>
        <v>808628.86883943959</v>
      </c>
    </row>
    <row r="161" spans="5:42" x14ac:dyDescent="0.25">
      <c r="E161" s="229" t="s">
        <v>176</v>
      </c>
      <c r="F161" s="229"/>
      <c r="G161" s="234"/>
      <c r="H161" s="234"/>
      <c r="I161" s="235">
        <f>SUM(BM133)</f>
        <v>808628.8688394397</v>
      </c>
    </row>
    <row r="162" spans="5:42" x14ac:dyDescent="0.25">
      <c r="E162" s="229" t="s">
        <v>177</v>
      </c>
      <c r="F162" s="229"/>
      <c r="G162" s="235"/>
      <c r="H162" s="235"/>
      <c r="I162" s="235">
        <f>I161-I160</f>
        <v>0</v>
      </c>
      <c r="Y162" s="137"/>
      <c r="AP162" s="137"/>
    </row>
    <row r="163" spans="5:42" x14ac:dyDescent="0.25">
      <c r="Y163" s="137"/>
      <c r="AP163" s="137"/>
    </row>
    <row r="164" spans="5:42" x14ac:dyDescent="0.25">
      <c r="Y164" s="137"/>
      <c r="AP164" s="137"/>
    </row>
    <row r="165" spans="5:42" x14ac:dyDescent="0.25">
      <c r="Y165" s="137"/>
      <c r="AP165" s="137"/>
    </row>
    <row r="166" spans="5:42" x14ac:dyDescent="0.25">
      <c r="H166" s="137"/>
      <c r="Y166" s="137"/>
      <c r="AP166" s="137"/>
    </row>
    <row r="167" spans="5:42" x14ac:dyDescent="0.25">
      <c r="H167" s="137"/>
      <c r="Y167" s="137"/>
      <c r="AP167" s="137"/>
    </row>
    <row r="168" spans="5:42" x14ac:dyDescent="0.25">
      <c r="H168" s="137"/>
      <c r="Y168" s="137"/>
      <c r="AP168" s="137"/>
    </row>
    <row r="169" spans="5:42" x14ac:dyDescent="0.25">
      <c r="H169" s="137"/>
      <c r="Y169" s="137"/>
      <c r="AP169" s="137"/>
    </row>
    <row r="170" spans="5:42" x14ac:dyDescent="0.25">
      <c r="H170" s="137"/>
      <c r="Y170" s="137"/>
      <c r="AP170" s="137"/>
    </row>
    <row r="171" spans="5:42" x14ac:dyDescent="0.25">
      <c r="H171" s="137"/>
      <c r="Y171" s="137"/>
      <c r="AP171" s="137"/>
    </row>
    <row r="172" spans="5:42" x14ac:dyDescent="0.25">
      <c r="H172" s="137"/>
      <c r="Y172" s="137"/>
      <c r="AP172" s="137"/>
    </row>
    <row r="173" spans="5:42" x14ac:dyDescent="0.25">
      <c r="H173" s="137"/>
      <c r="Y173" s="137"/>
      <c r="AP173" s="137"/>
    </row>
    <row r="174" spans="5:42" x14ac:dyDescent="0.25">
      <c r="H174" s="137"/>
      <c r="Y174" s="137"/>
      <c r="AP174" s="137"/>
    </row>
    <row r="175" spans="5:42" x14ac:dyDescent="0.25">
      <c r="H175" s="137"/>
      <c r="Y175" s="137"/>
      <c r="AP175" s="137"/>
    </row>
    <row r="176" spans="5:42" x14ac:dyDescent="0.25">
      <c r="H176" s="137"/>
      <c r="Y176" s="137"/>
      <c r="AP176" s="137"/>
    </row>
    <row r="177" spans="3:45" x14ac:dyDescent="0.25">
      <c r="H177" s="137"/>
      <c r="Y177" s="137"/>
      <c r="AP177" s="137"/>
    </row>
    <row r="178" spans="3:45" x14ac:dyDescent="0.25">
      <c r="H178" s="137"/>
      <c r="Y178" s="137"/>
      <c r="AP178" s="137"/>
    </row>
    <row r="179" spans="3:45" x14ac:dyDescent="0.25">
      <c r="H179" s="137"/>
      <c r="Y179" s="137"/>
      <c r="AP179" s="137"/>
    </row>
    <row r="180" spans="3:45" x14ac:dyDescent="0.25">
      <c r="H180" s="137"/>
      <c r="Y180" s="137"/>
      <c r="AP180" s="137"/>
    </row>
    <row r="181" spans="3:45" x14ac:dyDescent="0.25">
      <c r="C181" s="135"/>
      <c r="D181" s="135"/>
      <c r="H181" s="137"/>
      <c r="Y181" s="137"/>
      <c r="AP181" s="137"/>
    </row>
    <row r="182" spans="3:45" x14ac:dyDescent="0.25">
      <c r="C182" s="135"/>
      <c r="D182" s="135"/>
      <c r="H182" s="137"/>
      <c r="Y182" s="137"/>
      <c r="AP182" s="137"/>
    </row>
    <row r="183" spans="3:45" x14ac:dyDescent="0.25">
      <c r="C183" s="135"/>
      <c r="D183" s="135"/>
      <c r="H183" s="137"/>
      <c r="Y183" s="137"/>
      <c r="Z183" s="137"/>
      <c r="AP183" s="137"/>
      <c r="AQ183" s="137"/>
    </row>
    <row r="184" spans="3:45" x14ac:dyDescent="0.25">
      <c r="C184" s="135"/>
      <c r="D184" s="135"/>
      <c r="H184" s="137"/>
      <c r="K184" s="137"/>
      <c r="Y184" s="137"/>
      <c r="Z184" s="137"/>
      <c r="AB184" s="137"/>
      <c r="AP184" s="137"/>
      <c r="AQ184" s="137"/>
      <c r="AS184" s="137"/>
    </row>
    <row r="185" spans="3:45" x14ac:dyDescent="0.25">
      <c r="C185" s="135"/>
      <c r="D185" s="135"/>
      <c r="H185" s="137"/>
      <c r="K185" s="137"/>
      <c r="Y185" s="137"/>
      <c r="Z185" s="137"/>
      <c r="AB185" s="137"/>
      <c r="AP185" s="137"/>
      <c r="AQ185" s="137"/>
      <c r="AS185" s="137"/>
    </row>
    <row r="186" spans="3:45" x14ac:dyDescent="0.25">
      <c r="C186" s="135"/>
      <c r="D186" s="135"/>
      <c r="E186" s="126"/>
      <c r="F186" s="126"/>
      <c r="H186" s="137"/>
      <c r="K186" s="137"/>
      <c r="Y186" s="137"/>
      <c r="Z186" s="137"/>
      <c r="AB186" s="137"/>
      <c r="AP186" s="137"/>
      <c r="AQ186" s="137"/>
      <c r="AS186" s="137"/>
    </row>
    <row r="187" spans="3:45" x14ac:dyDescent="0.25">
      <c r="C187" s="135"/>
      <c r="D187" s="135"/>
      <c r="H187" s="137"/>
      <c r="I187" s="137"/>
      <c r="K187" s="137"/>
      <c r="Y187" s="137"/>
      <c r="Z187" s="137"/>
      <c r="AB187" s="137"/>
      <c r="AP187" s="137"/>
      <c r="AQ187" s="137"/>
      <c r="AS187" s="137"/>
    </row>
    <row r="188" spans="3:45" x14ac:dyDescent="0.25">
      <c r="C188" s="135"/>
      <c r="D188" s="135"/>
      <c r="H188" s="137"/>
      <c r="I188" s="137"/>
      <c r="K188" s="137"/>
      <c r="Y188" s="137"/>
      <c r="Z188" s="137"/>
      <c r="AB188" s="137"/>
      <c r="AP188" s="137"/>
      <c r="AQ188" s="137"/>
      <c r="AS188" s="137"/>
    </row>
    <row r="189" spans="3:45" x14ac:dyDescent="0.25">
      <c r="C189" s="135"/>
      <c r="D189" s="135"/>
      <c r="H189" s="137"/>
      <c r="I189" s="137"/>
      <c r="K189" s="137"/>
      <c r="Y189" s="137"/>
      <c r="Z189" s="137"/>
      <c r="AB189" s="137"/>
      <c r="AP189" s="137"/>
      <c r="AQ189" s="137"/>
      <c r="AS189" s="137"/>
    </row>
    <row r="190" spans="3:45" x14ac:dyDescent="0.25">
      <c r="C190" s="135"/>
      <c r="D190" s="135"/>
      <c r="H190" s="137"/>
      <c r="I190" s="137"/>
      <c r="K190" s="137"/>
      <c r="Y190" s="137"/>
      <c r="Z190" s="137"/>
      <c r="AB190" s="137"/>
      <c r="AP190" s="137"/>
      <c r="AQ190" s="137"/>
      <c r="AS190" s="137"/>
    </row>
    <row r="191" spans="3:45" x14ac:dyDescent="0.25">
      <c r="C191" s="135"/>
      <c r="D191" s="135"/>
      <c r="H191" s="137"/>
      <c r="I191" s="137"/>
      <c r="K191" s="137"/>
      <c r="Y191" s="137"/>
      <c r="Z191" s="137"/>
      <c r="AB191" s="137"/>
      <c r="AP191" s="137"/>
      <c r="AQ191" s="137"/>
      <c r="AS191" s="137"/>
    </row>
    <row r="192" spans="3:45" x14ac:dyDescent="0.25">
      <c r="C192" s="135"/>
      <c r="D192" s="135"/>
      <c r="H192" s="137"/>
      <c r="I192" s="137"/>
      <c r="Y192" s="137"/>
      <c r="AP192" s="137"/>
    </row>
    <row r="193" spans="3:45" x14ac:dyDescent="0.25">
      <c r="C193" s="135"/>
      <c r="D193" s="135"/>
      <c r="H193" s="137"/>
      <c r="I193" s="137"/>
      <c r="Y193" s="137"/>
      <c r="AP193" s="137"/>
    </row>
    <row r="194" spans="3:45" x14ac:dyDescent="0.25">
      <c r="C194" s="135"/>
      <c r="D194" s="135"/>
      <c r="H194" s="137"/>
      <c r="I194" s="137"/>
      <c r="Y194" s="137"/>
      <c r="Z194" s="137"/>
      <c r="AP194" s="137"/>
      <c r="AQ194" s="137"/>
    </row>
    <row r="195" spans="3:45" x14ac:dyDescent="0.25">
      <c r="C195" s="135"/>
      <c r="D195" s="135"/>
      <c r="H195" s="137"/>
      <c r="I195" s="137"/>
      <c r="K195" s="137"/>
      <c r="Y195" s="137"/>
      <c r="Z195" s="137"/>
      <c r="AB195" s="137"/>
      <c r="AP195" s="137"/>
      <c r="AQ195" s="137"/>
      <c r="AS195" s="137"/>
    </row>
    <row r="196" spans="3:45" x14ac:dyDescent="0.25">
      <c r="C196" s="135"/>
      <c r="D196" s="135"/>
      <c r="H196" s="137"/>
      <c r="K196" s="137"/>
      <c r="Y196" s="137"/>
      <c r="AB196" s="137"/>
      <c r="AP196" s="137"/>
      <c r="AS196" s="137"/>
    </row>
    <row r="197" spans="3:45" x14ac:dyDescent="0.25">
      <c r="C197" s="135"/>
      <c r="D197" s="135"/>
      <c r="H197" s="137"/>
      <c r="Y197" s="137"/>
      <c r="AP197" s="137"/>
    </row>
    <row r="198" spans="3:45" x14ac:dyDescent="0.25">
      <c r="C198" s="135"/>
      <c r="D198" s="135"/>
      <c r="H198" s="137"/>
      <c r="I198" s="137"/>
      <c r="Y198" s="137"/>
      <c r="AP198" s="137"/>
    </row>
    <row r="199" spans="3:45" x14ac:dyDescent="0.25">
      <c r="C199" s="135"/>
      <c r="D199" s="135"/>
      <c r="H199" s="137"/>
      <c r="I199" s="137"/>
      <c r="Y199" s="137"/>
      <c r="Z199" s="137"/>
      <c r="AP199" s="137"/>
      <c r="AQ199" s="137"/>
    </row>
    <row r="200" spans="3:45" x14ac:dyDescent="0.25">
      <c r="C200" s="135"/>
      <c r="D200" s="135"/>
      <c r="H200" s="137"/>
      <c r="K200" s="137"/>
      <c r="Y200" s="137"/>
      <c r="Z200" s="137"/>
      <c r="AB200" s="137"/>
      <c r="AP200" s="137"/>
      <c r="AQ200" s="137"/>
      <c r="AS200" s="137"/>
    </row>
    <row r="201" spans="3:45" x14ac:dyDescent="0.25">
      <c r="C201" s="135"/>
      <c r="D201" s="135"/>
      <c r="H201" s="137"/>
      <c r="K201" s="137"/>
      <c r="Y201" s="137"/>
      <c r="Z201" s="137"/>
      <c r="AB201" s="137"/>
      <c r="AP201" s="137"/>
      <c r="AQ201" s="137"/>
      <c r="AS201" s="137"/>
    </row>
    <row r="202" spans="3:45" x14ac:dyDescent="0.25">
      <c r="C202" s="135"/>
      <c r="D202" s="135"/>
      <c r="H202" s="137"/>
      <c r="K202" s="137"/>
      <c r="Y202" s="137"/>
      <c r="AB202" s="137"/>
      <c r="AP202" s="137"/>
      <c r="AS202" s="137"/>
    </row>
    <row r="203" spans="3:45" x14ac:dyDescent="0.25">
      <c r="C203" s="135"/>
      <c r="D203" s="135"/>
      <c r="H203" s="137"/>
      <c r="I203" s="137"/>
      <c r="Y203" s="137"/>
      <c r="Z203" s="137"/>
      <c r="AP203" s="137"/>
      <c r="AQ203" s="137"/>
    </row>
    <row r="204" spans="3:45" x14ac:dyDescent="0.25">
      <c r="C204" s="135"/>
      <c r="D204" s="135"/>
      <c r="H204" s="137"/>
      <c r="I204" s="137"/>
      <c r="K204" s="137"/>
      <c r="Y204" s="137"/>
      <c r="Z204" s="137"/>
      <c r="AB204" s="137"/>
      <c r="AP204" s="137"/>
      <c r="AQ204" s="137"/>
      <c r="AS204" s="137"/>
    </row>
    <row r="205" spans="3:45" x14ac:dyDescent="0.25">
      <c r="C205" s="135"/>
      <c r="D205" s="135"/>
      <c r="H205" s="137"/>
      <c r="I205" s="137"/>
      <c r="K205" s="137"/>
      <c r="Y205" s="137"/>
      <c r="Z205" s="137"/>
      <c r="AB205" s="137"/>
      <c r="AP205" s="137"/>
      <c r="AQ205" s="137"/>
      <c r="AS205" s="137"/>
    </row>
    <row r="206" spans="3:45" x14ac:dyDescent="0.25">
      <c r="C206" s="135"/>
      <c r="D206" s="135"/>
      <c r="H206" s="137"/>
      <c r="K206" s="137"/>
      <c r="Y206" s="137"/>
      <c r="Z206" s="137"/>
      <c r="AB206" s="137"/>
      <c r="AP206" s="137"/>
      <c r="AQ206" s="137"/>
      <c r="AS206" s="137"/>
    </row>
    <row r="207" spans="3:45" x14ac:dyDescent="0.25">
      <c r="C207" s="135"/>
      <c r="D207" s="135"/>
      <c r="H207" s="137"/>
      <c r="I207" s="137"/>
      <c r="K207" s="137"/>
      <c r="Y207" s="137"/>
      <c r="AB207" s="137"/>
      <c r="AP207" s="137"/>
      <c r="AS207" s="137"/>
    </row>
    <row r="208" spans="3:45" x14ac:dyDescent="0.25">
      <c r="C208" s="135"/>
      <c r="D208" s="135"/>
      <c r="H208" s="137"/>
      <c r="I208" s="137"/>
      <c r="Y208" s="137"/>
      <c r="AP208" s="137"/>
    </row>
    <row r="209" spans="3:45" x14ac:dyDescent="0.25">
      <c r="C209" s="135"/>
      <c r="D209" s="135"/>
      <c r="H209" s="137"/>
      <c r="I209" s="137"/>
      <c r="Y209" s="137"/>
      <c r="Z209" s="137"/>
      <c r="AP209" s="137"/>
      <c r="AQ209" s="137"/>
    </row>
    <row r="210" spans="3:45" x14ac:dyDescent="0.25">
      <c r="C210" s="135"/>
      <c r="D210" s="135"/>
      <c r="H210" s="137"/>
      <c r="I210" s="137"/>
      <c r="K210" s="137"/>
      <c r="Y210" s="137"/>
      <c r="Z210" s="137"/>
      <c r="AB210" s="137"/>
      <c r="AP210" s="137"/>
      <c r="AQ210" s="137"/>
      <c r="AS210" s="137"/>
    </row>
    <row r="211" spans="3:45" x14ac:dyDescent="0.25">
      <c r="H211" s="137"/>
      <c r="K211" s="137"/>
      <c r="Y211" s="137"/>
      <c r="AB211" s="137"/>
      <c r="AP211" s="137"/>
      <c r="AS211" s="137"/>
    </row>
    <row r="212" spans="3:45" x14ac:dyDescent="0.25">
      <c r="H212" s="137"/>
      <c r="Y212" s="137"/>
      <c r="AP212" s="137"/>
    </row>
    <row r="213" spans="3:45" x14ac:dyDescent="0.25">
      <c r="H213" s="137"/>
      <c r="I213" s="137"/>
      <c r="Y213" s="137"/>
      <c r="AP213" s="137"/>
    </row>
    <row r="214" spans="3:45" x14ac:dyDescent="0.25">
      <c r="H214" s="137"/>
      <c r="I214" s="137"/>
      <c r="Y214" s="137"/>
      <c r="AP214" s="137"/>
    </row>
    <row r="215" spans="3:45" x14ac:dyDescent="0.25">
      <c r="C215" s="236"/>
      <c r="D215" s="236"/>
      <c r="H215" s="137"/>
      <c r="Y215" s="137"/>
      <c r="AP215" s="137"/>
    </row>
    <row r="216" spans="3:45" x14ac:dyDescent="0.25">
      <c r="H216" s="137"/>
      <c r="Y216" s="137"/>
      <c r="AP216" s="137"/>
    </row>
    <row r="217" spans="3:45" x14ac:dyDescent="0.25">
      <c r="H217" s="137"/>
      <c r="Y217" s="137"/>
      <c r="AP217" s="137"/>
    </row>
    <row r="218" spans="3:45" x14ac:dyDescent="0.25">
      <c r="H218" s="137"/>
      <c r="Y218" s="137"/>
      <c r="AP218" s="137"/>
    </row>
    <row r="219" spans="3:45" x14ac:dyDescent="0.25">
      <c r="H219" s="137"/>
      <c r="Y219" s="137"/>
      <c r="AP219" s="137"/>
    </row>
    <row r="220" spans="3:45" x14ac:dyDescent="0.25">
      <c r="E220" s="126"/>
      <c r="F220" s="126"/>
      <c r="H220" s="137"/>
      <c r="Y220" s="137"/>
      <c r="AP220" s="137"/>
    </row>
    <row r="221" spans="3:45" x14ac:dyDescent="0.25">
      <c r="H221" s="137"/>
      <c r="Y221" s="137"/>
      <c r="AP221" s="137"/>
    </row>
    <row r="222" spans="3:45" x14ac:dyDescent="0.25">
      <c r="H222" s="137"/>
      <c r="Y222" s="137"/>
      <c r="AP222" s="137"/>
    </row>
    <row r="223" spans="3:45" x14ac:dyDescent="0.25">
      <c r="H223" s="137"/>
      <c r="Y223" s="137"/>
      <c r="AP223" s="137"/>
    </row>
    <row r="224" spans="3:45" x14ac:dyDescent="0.25">
      <c r="H224" s="137"/>
      <c r="Y224" s="137"/>
      <c r="AP224" s="137"/>
    </row>
    <row r="225" spans="5:42" x14ac:dyDescent="0.25">
      <c r="H225" s="137"/>
      <c r="Y225" s="137"/>
      <c r="AP225" s="137"/>
    </row>
    <row r="226" spans="5:42" x14ac:dyDescent="0.25">
      <c r="H226" s="137"/>
      <c r="Y226" s="137"/>
      <c r="AP226" s="137"/>
    </row>
    <row r="227" spans="5:42" x14ac:dyDescent="0.25">
      <c r="H227" s="137"/>
      <c r="Y227" s="137"/>
      <c r="AP227" s="137"/>
    </row>
    <row r="228" spans="5:42" x14ac:dyDescent="0.25">
      <c r="H228" s="137"/>
      <c r="Y228" s="137"/>
      <c r="AP228" s="137"/>
    </row>
    <row r="229" spans="5:42" x14ac:dyDescent="0.25">
      <c r="H229" s="137"/>
      <c r="Y229" s="137"/>
      <c r="AP229" s="137"/>
    </row>
    <row r="230" spans="5:42" x14ac:dyDescent="0.25">
      <c r="H230" s="137"/>
      <c r="Y230" s="137"/>
      <c r="AP230" s="137"/>
    </row>
    <row r="231" spans="5:42" x14ac:dyDescent="0.25">
      <c r="E231" s="126"/>
      <c r="F231" s="126"/>
      <c r="H231" s="137"/>
      <c r="Y231" s="137"/>
      <c r="AP231" s="137"/>
    </row>
    <row r="232" spans="5:42" x14ac:dyDescent="0.25">
      <c r="H232" s="137"/>
      <c r="Y232" s="137"/>
      <c r="AP232" s="137"/>
    </row>
    <row r="233" spans="5:42" x14ac:dyDescent="0.25">
      <c r="H233" s="137"/>
      <c r="Y233" s="137"/>
      <c r="AP233" s="137"/>
    </row>
    <row r="234" spans="5:42" x14ac:dyDescent="0.25">
      <c r="H234" s="137"/>
      <c r="Y234" s="137"/>
      <c r="AP234" s="137"/>
    </row>
    <row r="235" spans="5:42" x14ac:dyDescent="0.25">
      <c r="H235" s="137"/>
      <c r="Y235" s="137"/>
      <c r="AP235" s="137"/>
    </row>
    <row r="236" spans="5:42" x14ac:dyDescent="0.25">
      <c r="H236" s="137"/>
      <c r="Y236" s="137"/>
      <c r="AP236" s="137"/>
    </row>
    <row r="237" spans="5:42" x14ac:dyDescent="0.25">
      <c r="H237" s="137"/>
      <c r="Y237" s="137"/>
      <c r="AP237" s="137"/>
    </row>
    <row r="238" spans="5:42" x14ac:dyDescent="0.25">
      <c r="H238" s="137"/>
      <c r="Y238" s="137"/>
      <c r="AP238" s="137"/>
    </row>
    <row r="239" spans="5:42" x14ac:dyDescent="0.25">
      <c r="H239" s="137"/>
      <c r="Y239" s="137"/>
      <c r="AP239" s="137"/>
    </row>
    <row r="240" spans="5:42" x14ac:dyDescent="0.25">
      <c r="H240" s="137"/>
      <c r="Y240" s="137"/>
      <c r="AP240" s="137"/>
    </row>
    <row r="241" spans="8:42" x14ac:dyDescent="0.25">
      <c r="H241" s="137"/>
      <c r="Y241" s="137"/>
      <c r="AP241" s="137"/>
    </row>
    <row r="242" spans="8:42" x14ac:dyDescent="0.25">
      <c r="H242" s="137"/>
      <c r="Y242" s="137"/>
      <c r="AP242" s="137"/>
    </row>
    <row r="243" spans="8:42" x14ac:dyDescent="0.25">
      <c r="H243" s="137"/>
      <c r="Y243" s="137"/>
      <c r="AP243" s="137"/>
    </row>
    <row r="244" spans="8:42" x14ac:dyDescent="0.25">
      <c r="H244" s="137"/>
      <c r="Y244" s="137"/>
      <c r="AP244" s="137"/>
    </row>
    <row r="245" spans="8:42" x14ac:dyDescent="0.25">
      <c r="H245" s="137"/>
      <c r="Y245" s="137"/>
      <c r="AP245" s="137"/>
    </row>
    <row r="246" spans="8:42" x14ac:dyDescent="0.25">
      <c r="H246" s="137"/>
      <c r="Y246" s="137"/>
      <c r="AP246" s="137"/>
    </row>
    <row r="247" spans="8:42" x14ac:dyDescent="0.25">
      <c r="H247" s="137"/>
      <c r="Y247" s="137"/>
      <c r="AP247" s="137"/>
    </row>
    <row r="248" spans="8:42" x14ac:dyDescent="0.25">
      <c r="H248" s="137"/>
      <c r="Y248" s="137"/>
      <c r="AP248" s="137"/>
    </row>
    <row r="249" spans="8:42" x14ac:dyDescent="0.25">
      <c r="H249" s="137"/>
      <c r="Y249" s="137"/>
      <c r="AP249" s="137"/>
    </row>
    <row r="250" spans="8:42" x14ac:dyDescent="0.25">
      <c r="H250" s="137"/>
      <c r="Y250" s="137"/>
      <c r="AP250" s="137"/>
    </row>
    <row r="251" spans="8:42" x14ac:dyDescent="0.25">
      <c r="H251" s="137"/>
      <c r="Y251" s="137"/>
      <c r="AP251" s="137"/>
    </row>
    <row r="252" spans="8:42" x14ac:dyDescent="0.25">
      <c r="H252" s="137"/>
      <c r="Y252" s="137"/>
      <c r="AP252" s="137"/>
    </row>
    <row r="253" spans="8:42" x14ac:dyDescent="0.25">
      <c r="H253" s="137"/>
      <c r="Y253" s="137"/>
      <c r="AP253" s="137"/>
    </row>
    <row r="254" spans="8:42" x14ac:dyDescent="0.25">
      <c r="H254" s="137"/>
      <c r="Y254" s="137"/>
      <c r="AP254" s="137"/>
    </row>
    <row r="255" spans="8:42" x14ac:dyDescent="0.25">
      <c r="H255" s="137"/>
      <c r="Y255" s="137"/>
      <c r="AP255" s="137"/>
    </row>
    <row r="256" spans="8:42" x14ac:dyDescent="0.25">
      <c r="H256" s="137"/>
      <c r="Y256" s="137"/>
      <c r="AP256" s="137"/>
    </row>
    <row r="257" spans="8:42" x14ac:dyDescent="0.25">
      <c r="H257" s="137"/>
      <c r="Y257" s="137"/>
      <c r="AP257" s="137"/>
    </row>
    <row r="258" spans="8:42" x14ac:dyDescent="0.25">
      <c r="H258" s="137"/>
      <c r="Y258" s="137"/>
      <c r="AP258" s="137"/>
    </row>
    <row r="259" spans="8:42" x14ac:dyDescent="0.25">
      <c r="H259" s="137"/>
      <c r="Y259" s="137"/>
      <c r="AP259" s="137"/>
    </row>
    <row r="260" spans="8:42" x14ac:dyDescent="0.25">
      <c r="H260" s="137"/>
      <c r="Y260" s="137"/>
      <c r="AP260" s="137"/>
    </row>
    <row r="261" spans="8:42" x14ac:dyDescent="0.25">
      <c r="H261" s="137"/>
      <c r="Y261" s="137"/>
      <c r="AP261" s="137"/>
    </row>
    <row r="262" spans="8:42" x14ac:dyDescent="0.25">
      <c r="H262" s="137"/>
      <c r="Y262" s="137"/>
      <c r="AP262" s="137"/>
    </row>
    <row r="263" spans="8:42" x14ac:dyDescent="0.25">
      <c r="H263" s="137"/>
      <c r="Y263" s="137"/>
      <c r="AP263" s="137"/>
    </row>
    <row r="264" spans="8:42" x14ac:dyDescent="0.25">
      <c r="H264" s="137"/>
      <c r="Y264" s="137"/>
      <c r="AP264" s="137"/>
    </row>
    <row r="265" spans="8:42" x14ac:dyDescent="0.25">
      <c r="H265" s="137"/>
      <c r="Y265" s="137"/>
      <c r="AP265" s="137"/>
    </row>
    <row r="266" spans="8:42" x14ac:dyDescent="0.25">
      <c r="H266" s="137"/>
      <c r="Y266" s="137"/>
      <c r="AP266" s="137"/>
    </row>
    <row r="267" spans="8:42" x14ac:dyDescent="0.25">
      <c r="H267" s="137"/>
      <c r="Y267" s="137"/>
      <c r="AP267" s="137"/>
    </row>
    <row r="268" spans="8:42" x14ac:dyDescent="0.25">
      <c r="H268" s="137"/>
      <c r="Y268" s="137"/>
      <c r="AP268" s="137"/>
    </row>
    <row r="269" spans="8:42" x14ac:dyDescent="0.25">
      <c r="H269" s="137"/>
      <c r="Y269" s="137"/>
      <c r="AP269" s="137"/>
    </row>
    <row r="270" spans="8:42" x14ac:dyDescent="0.25">
      <c r="H270" s="137"/>
      <c r="Y270" s="137"/>
      <c r="AP270" s="137"/>
    </row>
    <row r="271" spans="8:42" x14ac:dyDescent="0.25">
      <c r="H271" s="137"/>
      <c r="Y271" s="137"/>
      <c r="AP271" s="137"/>
    </row>
    <row r="272" spans="8:42" x14ac:dyDescent="0.25">
      <c r="H272" s="137"/>
      <c r="Y272" s="137"/>
      <c r="AP272" s="137"/>
    </row>
    <row r="273" spans="8:42" x14ac:dyDescent="0.25">
      <c r="H273" s="137"/>
      <c r="Y273" s="137"/>
      <c r="AP273" s="137"/>
    </row>
    <row r="274" spans="8:42" x14ac:dyDescent="0.25">
      <c r="H274" s="137"/>
      <c r="Y274" s="137"/>
      <c r="AP274" s="137"/>
    </row>
    <row r="275" spans="8:42" x14ac:dyDescent="0.25">
      <c r="H275" s="137"/>
      <c r="Y275" s="137"/>
      <c r="AP275" s="137"/>
    </row>
    <row r="276" spans="8:42" x14ac:dyDescent="0.25">
      <c r="H276" s="137"/>
      <c r="Y276" s="137"/>
      <c r="AP276" s="137"/>
    </row>
    <row r="277" spans="8:42" x14ac:dyDescent="0.25">
      <c r="H277" s="137"/>
      <c r="Y277" s="137"/>
      <c r="AP277" s="137"/>
    </row>
    <row r="278" spans="8:42" x14ac:dyDescent="0.25">
      <c r="H278" s="137"/>
      <c r="Y278" s="137"/>
      <c r="AP278" s="137"/>
    </row>
    <row r="279" spans="8:42" x14ac:dyDescent="0.25">
      <c r="H279" s="137"/>
      <c r="Y279" s="137"/>
      <c r="AP279" s="137"/>
    </row>
    <row r="280" spans="8:42" x14ac:dyDescent="0.25">
      <c r="H280" s="137"/>
      <c r="Y280" s="137"/>
      <c r="AP280" s="137"/>
    </row>
    <row r="281" spans="8:42" x14ac:dyDescent="0.25">
      <c r="H281" s="137"/>
      <c r="Y281" s="137"/>
      <c r="AP281" s="137"/>
    </row>
    <row r="282" spans="8:42" x14ac:dyDescent="0.25">
      <c r="H282" s="137"/>
      <c r="Y282" s="137"/>
      <c r="AP282" s="137"/>
    </row>
    <row r="283" spans="8:42" x14ac:dyDescent="0.25">
      <c r="H283" s="137"/>
      <c r="Y283" s="137"/>
      <c r="AP283" s="137"/>
    </row>
    <row r="284" spans="8:42" x14ac:dyDescent="0.25">
      <c r="H284" s="137"/>
      <c r="Y284" s="137"/>
      <c r="AP284" s="137"/>
    </row>
    <row r="285" spans="8:42" x14ac:dyDescent="0.25">
      <c r="H285" s="137"/>
      <c r="Y285" s="137"/>
      <c r="AP285" s="137"/>
    </row>
    <row r="286" spans="8:42" x14ac:dyDescent="0.25">
      <c r="H286" s="137"/>
      <c r="Y286" s="137"/>
      <c r="AP286" s="137"/>
    </row>
    <row r="287" spans="8:42" x14ac:dyDescent="0.25">
      <c r="H287" s="137"/>
      <c r="Y287" s="137"/>
      <c r="AP287" s="137"/>
    </row>
    <row r="288" spans="8:42" x14ac:dyDescent="0.25">
      <c r="H288" s="137"/>
      <c r="Y288" s="137"/>
      <c r="AP288" s="137"/>
    </row>
    <row r="289" spans="8:42" x14ac:dyDescent="0.25">
      <c r="H289" s="137"/>
      <c r="Y289" s="137"/>
      <c r="AP289" s="137"/>
    </row>
    <row r="290" spans="8:42" x14ac:dyDescent="0.25">
      <c r="H290" s="137"/>
      <c r="Y290" s="137"/>
      <c r="AP290" s="137"/>
    </row>
    <row r="291" spans="8:42" x14ac:dyDescent="0.25">
      <c r="H291" s="137"/>
      <c r="Y291" s="137"/>
      <c r="AP291" s="137"/>
    </row>
    <row r="292" spans="8:42" x14ac:dyDescent="0.25">
      <c r="H292" s="137"/>
      <c r="Y292" s="137"/>
      <c r="AP292" s="137"/>
    </row>
    <row r="293" spans="8:42" x14ac:dyDescent="0.25">
      <c r="H293" s="137"/>
      <c r="Y293" s="137"/>
      <c r="AP293" s="137"/>
    </row>
    <row r="294" spans="8:42" x14ac:dyDescent="0.25">
      <c r="H294" s="137"/>
      <c r="Y294" s="137"/>
      <c r="AP294" s="137"/>
    </row>
    <row r="295" spans="8:42" x14ac:dyDescent="0.25">
      <c r="H295" s="137"/>
      <c r="Y295" s="137"/>
      <c r="AP295" s="137"/>
    </row>
    <row r="296" spans="8:42" x14ac:dyDescent="0.25">
      <c r="H296" s="137"/>
      <c r="Y296" s="137"/>
      <c r="AP296" s="137"/>
    </row>
    <row r="297" spans="8:42" x14ac:dyDescent="0.25">
      <c r="H297" s="137"/>
      <c r="Y297" s="137"/>
      <c r="AP297" s="137"/>
    </row>
    <row r="298" spans="8:42" x14ac:dyDescent="0.25">
      <c r="H298" s="137"/>
      <c r="Y298" s="137"/>
      <c r="AP298" s="137"/>
    </row>
    <row r="299" spans="8:42" x14ac:dyDescent="0.25">
      <c r="H299" s="137"/>
      <c r="Y299" s="137"/>
      <c r="AP299" s="137"/>
    </row>
    <row r="300" spans="8:42" x14ac:dyDescent="0.25">
      <c r="H300" s="137"/>
      <c r="Y300" s="137"/>
      <c r="AP300" s="137"/>
    </row>
    <row r="301" spans="8:42" x14ac:dyDescent="0.25">
      <c r="H301" s="137"/>
      <c r="Y301" s="137"/>
      <c r="AP301" s="137"/>
    </row>
    <row r="302" spans="8:42" x14ac:dyDescent="0.25">
      <c r="H302" s="137"/>
      <c r="Y302" s="137"/>
      <c r="AP302" s="137"/>
    </row>
    <row r="303" spans="8:42" x14ac:dyDescent="0.25">
      <c r="H303" s="137"/>
      <c r="Y303" s="137"/>
      <c r="AP303" s="137"/>
    </row>
    <row r="304" spans="8:42" x14ac:dyDescent="0.25">
      <c r="H304" s="137"/>
      <c r="Y304" s="137"/>
      <c r="AP304" s="137"/>
    </row>
    <row r="305" spans="8:42" x14ac:dyDescent="0.25">
      <c r="H305" s="137"/>
      <c r="Y305" s="137"/>
      <c r="AP305" s="137"/>
    </row>
    <row r="306" spans="8:42" x14ac:dyDescent="0.25">
      <c r="H306" s="137"/>
      <c r="Y306" s="137"/>
      <c r="AP306" s="137"/>
    </row>
    <row r="307" spans="8:42" x14ac:dyDescent="0.25">
      <c r="H307" s="137"/>
      <c r="Y307" s="137"/>
      <c r="AP307" s="137"/>
    </row>
    <row r="308" spans="8:42" x14ac:dyDescent="0.25">
      <c r="H308" s="137"/>
      <c r="Y308" s="137"/>
      <c r="AP308" s="137"/>
    </row>
    <row r="309" spans="8:42" x14ac:dyDescent="0.25">
      <c r="H309" s="137"/>
      <c r="Y309" s="137"/>
      <c r="AP309" s="137"/>
    </row>
    <row r="310" spans="8:42" x14ac:dyDescent="0.25">
      <c r="H310" s="137"/>
      <c r="Y310" s="137"/>
      <c r="AP310" s="137"/>
    </row>
    <row r="311" spans="8:42" x14ac:dyDescent="0.25">
      <c r="H311" s="137"/>
      <c r="Y311" s="137"/>
      <c r="AP311" s="137"/>
    </row>
    <row r="312" spans="8:42" x14ac:dyDescent="0.25">
      <c r="H312" s="137"/>
      <c r="Y312" s="137"/>
      <c r="AP312" s="137"/>
    </row>
    <row r="313" spans="8:42" x14ac:dyDescent="0.25">
      <c r="H313" s="137"/>
      <c r="Y313" s="137"/>
      <c r="AP313" s="137"/>
    </row>
    <row r="314" spans="8:42" x14ac:dyDescent="0.25">
      <c r="H314" s="137"/>
      <c r="Y314" s="137"/>
      <c r="AP314" s="137"/>
    </row>
    <row r="315" spans="8:42" x14ac:dyDescent="0.25">
      <c r="H315" s="137"/>
      <c r="Y315" s="137"/>
      <c r="AP315" s="137"/>
    </row>
    <row r="316" spans="8:42" x14ac:dyDescent="0.25">
      <c r="H316" s="137"/>
      <c r="Y316" s="137"/>
      <c r="AP316" s="137"/>
    </row>
    <row r="317" spans="8:42" x14ac:dyDescent="0.25">
      <c r="H317" s="137"/>
      <c r="Y317" s="137"/>
      <c r="AP317" s="137"/>
    </row>
    <row r="318" spans="8:42" x14ac:dyDescent="0.25">
      <c r="H318" s="137"/>
      <c r="Y318" s="137"/>
      <c r="AP318" s="137"/>
    </row>
    <row r="319" spans="8:42" x14ac:dyDescent="0.25">
      <c r="H319" s="137"/>
      <c r="Y319" s="137"/>
      <c r="AP319" s="137"/>
    </row>
    <row r="320" spans="8:42" x14ac:dyDescent="0.25">
      <c r="H320" s="137"/>
      <c r="Y320" s="137"/>
      <c r="AP320" s="137"/>
    </row>
    <row r="321" spans="8:42" x14ac:dyDescent="0.25">
      <c r="H321" s="137"/>
      <c r="Y321" s="137"/>
      <c r="AP321" s="137"/>
    </row>
    <row r="322" spans="8:42" x14ac:dyDescent="0.25">
      <c r="H322" s="137"/>
      <c r="Y322" s="137"/>
      <c r="AP322" s="137"/>
    </row>
    <row r="323" spans="8:42" x14ac:dyDescent="0.25">
      <c r="H323" s="137"/>
      <c r="Y323" s="137"/>
      <c r="AP323" s="137"/>
    </row>
    <row r="324" spans="8:42" x14ac:dyDescent="0.25">
      <c r="H324" s="137"/>
      <c r="Y324" s="137"/>
      <c r="AP324" s="137"/>
    </row>
    <row r="325" spans="8:42" x14ac:dyDescent="0.25">
      <c r="H325" s="137"/>
      <c r="Y325" s="137"/>
      <c r="AP325" s="137"/>
    </row>
    <row r="326" spans="8:42" x14ac:dyDescent="0.25">
      <c r="H326" s="137"/>
      <c r="Y326" s="137"/>
      <c r="AP326" s="137"/>
    </row>
    <row r="327" spans="8:42" x14ac:dyDescent="0.25">
      <c r="H327" s="137"/>
      <c r="Y327" s="137"/>
      <c r="AP327" s="137"/>
    </row>
    <row r="328" spans="8:42" x14ac:dyDescent="0.25">
      <c r="H328" s="137"/>
      <c r="Y328" s="137"/>
      <c r="AP328" s="137"/>
    </row>
    <row r="329" spans="8:42" x14ac:dyDescent="0.25">
      <c r="H329" s="137"/>
      <c r="Y329" s="137"/>
      <c r="AP329" s="137"/>
    </row>
    <row r="330" spans="8:42" x14ac:dyDescent="0.25">
      <c r="H330" s="137"/>
      <c r="Y330" s="137"/>
      <c r="AP330" s="137"/>
    </row>
    <row r="331" spans="8:42" x14ac:dyDescent="0.25">
      <c r="H331" s="137"/>
      <c r="Y331" s="137"/>
      <c r="AP331" s="137"/>
    </row>
    <row r="332" spans="8:42" x14ac:dyDescent="0.25">
      <c r="H332" s="137"/>
      <c r="Y332" s="137"/>
      <c r="AP332" s="137"/>
    </row>
    <row r="333" spans="8:42" x14ac:dyDescent="0.25">
      <c r="H333" s="137"/>
      <c r="Y333" s="137"/>
      <c r="AP333" s="137"/>
    </row>
    <row r="334" spans="8:42" x14ac:dyDescent="0.25">
      <c r="H334" s="137"/>
      <c r="Y334" s="137"/>
      <c r="AP334" s="137"/>
    </row>
    <row r="335" spans="8:42" x14ac:dyDescent="0.25">
      <c r="H335" s="137"/>
      <c r="Y335" s="137"/>
      <c r="AP335" s="137"/>
    </row>
    <row r="336" spans="8:42" x14ac:dyDescent="0.25">
      <c r="H336" s="137"/>
      <c r="Y336" s="137"/>
      <c r="AP336" s="137"/>
    </row>
    <row r="337" spans="8:42" x14ac:dyDescent="0.25">
      <c r="H337" s="137"/>
      <c r="Y337" s="137"/>
      <c r="AP337" s="137"/>
    </row>
    <row r="338" spans="8:42" x14ac:dyDescent="0.25">
      <c r="H338" s="137"/>
      <c r="Y338" s="137"/>
      <c r="AP338" s="137"/>
    </row>
    <row r="339" spans="8:42" x14ac:dyDescent="0.25">
      <c r="H339" s="137"/>
      <c r="Y339" s="137"/>
      <c r="AP339" s="137"/>
    </row>
    <row r="340" spans="8:42" x14ac:dyDescent="0.25">
      <c r="H340" s="137"/>
      <c r="Y340" s="137"/>
      <c r="AP340" s="137"/>
    </row>
    <row r="341" spans="8:42" x14ac:dyDescent="0.25">
      <c r="H341" s="137"/>
      <c r="Y341" s="137"/>
      <c r="AP341" s="137"/>
    </row>
    <row r="342" spans="8:42" x14ac:dyDescent="0.25">
      <c r="H342" s="137"/>
      <c r="Y342" s="137"/>
      <c r="AP342" s="137"/>
    </row>
    <row r="343" spans="8:42" x14ac:dyDescent="0.25">
      <c r="H343" s="137"/>
      <c r="Y343" s="137"/>
      <c r="AP343" s="137"/>
    </row>
    <row r="344" spans="8:42" x14ac:dyDescent="0.25">
      <c r="H344" s="137"/>
      <c r="Y344" s="137"/>
      <c r="AP344" s="137"/>
    </row>
    <row r="345" spans="8:42" x14ac:dyDescent="0.25">
      <c r="H345" s="137"/>
      <c r="Y345" s="137"/>
      <c r="AP345" s="137"/>
    </row>
    <row r="346" spans="8:42" x14ac:dyDescent="0.25">
      <c r="H346" s="137"/>
      <c r="Y346" s="137"/>
      <c r="AP346" s="137"/>
    </row>
    <row r="347" spans="8:42" x14ac:dyDescent="0.25">
      <c r="H347" s="137"/>
      <c r="Y347" s="137"/>
      <c r="AP347" s="137"/>
    </row>
    <row r="348" spans="8:42" x14ac:dyDescent="0.25">
      <c r="H348" s="137"/>
      <c r="Y348" s="137"/>
      <c r="AP348" s="137"/>
    </row>
    <row r="349" spans="8:42" x14ac:dyDescent="0.25">
      <c r="H349" s="137"/>
      <c r="Y349" s="137"/>
      <c r="AP349" s="137"/>
    </row>
    <row r="350" spans="8:42" x14ac:dyDescent="0.25">
      <c r="H350" s="137"/>
      <c r="Y350" s="137"/>
      <c r="AP350" s="137"/>
    </row>
    <row r="351" spans="8:42" x14ac:dyDescent="0.25">
      <c r="H351" s="137"/>
      <c r="Y351" s="137"/>
      <c r="AP351" s="137"/>
    </row>
    <row r="352" spans="8:42" x14ac:dyDescent="0.25">
      <c r="H352" s="137"/>
      <c r="Y352" s="137"/>
      <c r="AP352" s="137"/>
    </row>
    <row r="353" spans="8:42" x14ac:dyDescent="0.25">
      <c r="H353" s="137"/>
      <c r="Y353" s="137"/>
      <c r="AP353" s="137"/>
    </row>
    <row r="354" spans="8:42" x14ac:dyDescent="0.25">
      <c r="H354" s="137"/>
      <c r="Y354" s="137"/>
      <c r="AP354" s="137"/>
    </row>
    <row r="355" spans="8:42" x14ac:dyDescent="0.25">
      <c r="H355" s="137"/>
      <c r="Y355" s="137"/>
      <c r="AP355" s="137"/>
    </row>
    <row r="356" spans="8:42" x14ac:dyDescent="0.25">
      <c r="H356" s="137"/>
      <c r="Y356" s="137"/>
      <c r="AP356" s="137"/>
    </row>
    <row r="357" spans="8:42" x14ac:dyDescent="0.25">
      <c r="H357" s="137"/>
      <c r="Y357" s="137"/>
      <c r="AP357" s="137"/>
    </row>
    <row r="358" spans="8:42" x14ac:dyDescent="0.25">
      <c r="H358" s="137"/>
      <c r="Y358" s="137"/>
      <c r="AP358" s="137"/>
    </row>
    <row r="359" spans="8:42" x14ac:dyDescent="0.25">
      <c r="H359" s="137"/>
      <c r="Y359" s="137"/>
      <c r="AP359" s="137"/>
    </row>
    <row r="360" spans="8:42" x14ac:dyDescent="0.25">
      <c r="H360" s="137"/>
      <c r="Y360" s="137"/>
      <c r="AP360" s="137"/>
    </row>
    <row r="361" spans="8:42" x14ac:dyDescent="0.25">
      <c r="H361" s="137"/>
      <c r="Y361" s="137"/>
      <c r="AP361" s="137"/>
    </row>
    <row r="362" spans="8:42" x14ac:dyDescent="0.25">
      <c r="H362" s="137"/>
      <c r="Y362" s="137"/>
      <c r="AP362" s="137"/>
    </row>
    <row r="363" spans="8:42" x14ac:dyDescent="0.25">
      <c r="H363" s="137"/>
      <c r="Y363" s="137"/>
      <c r="AP363" s="137"/>
    </row>
    <row r="364" spans="8:42" x14ac:dyDescent="0.25">
      <c r="H364" s="137"/>
      <c r="Y364" s="137"/>
      <c r="AP364" s="137"/>
    </row>
    <row r="365" spans="8:42" x14ac:dyDescent="0.25">
      <c r="H365" s="137"/>
      <c r="Y365" s="137"/>
      <c r="AP365" s="137"/>
    </row>
    <row r="366" spans="8:42" x14ac:dyDescent="0.25">
      <c r="H366" s="137"/>
      <c r="Y366" s="137"/>
      <c r="AP366" s="137"/>
    </row>
    <row r="367" spans="8:42" x14ac:dyDescent="0.25">
      <c r="H367" s="137"/>
      <c r="Y367" s="137"/>
      <c r="AP367" s="137"/>
    </row>
    <row r="368" spans="8:42" x14ac:dyDescent="0.25">
      <c r="H368" s="137"/>
      <c r="Y368" s="137"/>
      <c r="AP368" s="137"/>
    </row>
    <row r="369" spans="8:42" x14ac:dyDescent="0.25">
      <c r="H369" s="137"/>
      <c r="Y369" s="137"/>
      <c r="AP369" s="137"/>
    </row>
    <row r="370" spans="8:42" x14ac:dyDescent="0.25">
      <c r="H370" s="137"/>
      <c r="Y370" s="137"/>
      <c r="AP370" s="137"/>
    </row>
    <row r="371" spans="8:42" x14ac:dyDescent="0.25">
      <c r="H371" s="137"/>
      <c r="Y371" s="137"/>
      <c r="AP371" s="137"/>
    </row>
    <row r="372" spans="8:42" x14ac:dyDescent="0.25">
      <c r="H372" s="137"/>
      <c r="Y372" s="137"/>
      <c r="AP372" s="137"/>
    </row>
    <row r="373" spans="8:42" x14ac:dyDescent="0.25">
      <c r="H373" s="137"/>
      <c r="Y373" s="137"/>
      <c r="AP373" s="137"/>
    </row>
    <row r="374" spans="8:42" x14ac:dyDescent="0.25">
      <c r="H374" s="137"/>
      <c r="Y374" s="137"/>
      <c r="AP374" s="137"/>
    </row>
    <row r="375" spans="8:42" x14ac:dyDescent="0.25">
      <c r="H375" s="137"/>
      <c r="Y375" s="137"/>
      <c r="AP375" s="137"/>
    </row>
    <row r="376" spans="8:42" x14ac:dyDescent="0.25">
      <c r="H376" s="137"/>
      <c r="Y376" s="137"/>
      <c r="AP376" s="137"/>
    </row>
    <row r="377" spans="8:42" x14ac:dyDescent="0.25">
      <c r="H377" s="137"/>
      <c r="Y377" s="137"/>
      <c r="AP377" s="137"/>
    </row>
    <row r="378" spans="8:42" x14ac:dyDescent="0.25">
      <c r="H378" s="137"/>
      <c r="Y378" s="137"/>
      <c r="AP378" s="137"/>
    </row>
    <row r="379" spans="8:42" x14ac:dyDescent="0.25">
      <c r="H379" s="137"/>
      <c r="Y379" s="137"/>
      <c r="AP379" s="137"/>
    </row>
    <row r="380" spans="8:42" x14ac:dyDescent="0.25">
      <c r="H380" s="137"/>
      <c r="Y380" s="137"/>
      <c r="AP380" s="137"/>
    </row>
    <row r="381" spans="8:42" x14ac:dyDescent="0.25">
      <c r="H381" s="137"/>
      <c r="Y381" s="137"/>
      <c r="AP381" s="137"/>
    </row>
    <row r="382" spans="8:42" x14ac:dyDescent="0.25">
      <c r="H382" s="137"/>
      <c r="Y382" s="137"/>
      <c r="AP382" s="137"/>
    </row>
    <row r="383" spans="8:42" x14ac:dyDescent="0.25">
      <c r="H383" s="137"/>
      <c r="Y383" s="137"/>
      <c r="AP383" s="137"/>
    </row>
    <row r="384" spans="8:42" x14ac:dyDescent="0.25">
      <c r="H384" s="137"/>
      <c r="Y384" s="137"/>
      <c r="AP384" s="137"/>
    </row>
    <row r="385" spans="8:42" x14ac:dyDescent="0.25">
      <c r="H385" s="137"/>
      <c r="Y385" s="137"/>
      <c r="AP385" s="137"/>
    </row>
    <row r="386" spans="8:42" x14ac:dyDescent="0.25">
      <c r="H386" s="137"/>
      <c r="Y386" s="137"/>
      <c r="AP386" s="137"/>
    </row>
    <row r="387" spans="8:42" x14ac:dyDescent="0.25">
      <c r="H387" s="137"/>
      <c r="Y387" s="137"/>
      <c r="AP387" s="137"/>
    </row>
    <row r="388" spans="8:42" x14ac:dyDescent="0.25">
      <c r="H388" s="137"/>
      <c r="Y388" s="137"/>
      <c r="AP388" s="137"/>
    </row>
    <row r="389" spans="8:42" x14ac:dyDescent="0.25">
      <c r="H389" s="137"/>
      <c r="Y389" s="137"/>
      <c r="AP389" s="137"/>
    </row>
    <row r="390" spans="8:42" x14ac:dyDescent="0.25">
      <c r="H390" s="137"/>
      <c r="Y390" s="137"/>
      <c r="AP390" s="137"/>
    </row>
    <row r="391" spans="8:42" x14ac:dyDescent="0.25">
      <c r="H391" s="137"/>
      <c r="Y391" s="137"/>
      <c r="AP391" s="137"/>
    </row>
    <row r="392" spans="8:42" x14ac:dyDescent="0.25">
      <c r="H392" s="137"/>
      <c r="Y392" s="137"/>
      <c r="AP392" s="137"/>
    </row>
    <row r="393" spans="8:42" x14ac:dyDescent="0.25">
      <c r="H393" s="137"/>
      <c r="Y393" s="137"/>
      <c r="AP393" s="137"/>
    </row>
    <row r="394" spans="8:42" x14ac:dyDescent="0.25">
      <c r="H394" s="137"/>
      <c r="Y394" s="137"/>
      <c r="AP394" s="137"/>
    </row>
    <row r="395" spans="8:42" x14ac:dyDescent="0.25">
      <c r="H395" s="137"/>
      <c r="Y395" s="137"/>
      <c r="AP395" s="137"/>
    </row>
    <row r="396" spans="8:42" x14ac:dyDescent="0.25">
      <c r="H396" s="137"/>
      <c r="Y396" s="137"/>
      <c r="AP396" s="137"/>
    </row>
    <row r="397" spans="8:42" x14ac:dyDescent="0.25">
      <c r="H397" s="137"/>
      <c r="Y397" s="137"/>
      <c r="AP397" s="137"/>
    </row>
    <row r="398" spans="8:42" x14ac:dyDescent="0.25">
      <c r="H398" s="137"/>
      <c r="Y398" s="137"/>
      <c r="AP398" s="137"/>
    </row>
    <row r="399" spans="8:42" x14ac:dyDescent="0.25">
      <c r="H399" s="137"/>
      <c r="Y399" s="137"/>
      <c r="AP399" s="137"/>
    </row>
    <row r="400" spans="8:42" x14ac:dyDescent="0.25">
      <c r="H400" s="137"/>
      <c r="Y400" s="137"/>
      <c r="AP400" s="137"/>
    </row>
    <row r="401" spans="8:42" x14ac:dyDescent="0.25">
      <c r="H401" s="137"/>
      <c r="Y401" s="137"/>
      <c r="AP401" s="137"/>
    </row>
    <row r="402" spans="8:42" x14ac:dyDescent="0.25">
      <c r="H402" s="137"/>
      <c r="Y402" s="137"/>
      <c r="AP402" s="137"/>
    </row>
    <row r="403" spans="8:42" x14ac:dyDescent="0.25">
      <c r="H403" s="137"/>
      <c r="Y403" s="137"/>
      <c r="AP403" s="137"/>
    </row>
    <row r="404" spans="8:42" x14ac:dyDescent="0.25">
      <c r="H404" s="137"/>
      <c r="Y404" s="137"/>
      <c r="AP404" s="137"/>
    </row>
    <row r="405" spans="8:42" x14ac:dyDescent="0.25">
      <c r="H405" s="137"/>
      <c r="Y405" s="137"/>
      <c r="AP405" s="137"/>
    </row>
    <row r="406" spans="8:42" x14ac:dyDescent="0.25">
      <c r="H406" s="137"/>
      <c r="Y406" s="137"/>
      <c r="AP406" s="137"/>
    </row>
    <row r="407" spans="8:42" x14ac:dyDescent="0.25">
      <c r="H407" s="137"/>
      <c r="Y407" s="137"/>
      <c r="AP407" s="137"/>
    </row>
    <row r="408" spans="8:42" x14ac:dyDescent="0.25">
      <c r="H408" s="137"/>
      <c r="Y408" s="137"/>
      <c r="AP408" s="137"/>
    </row>
    <row r="409" spans="8:42" x14ac:dyDescent="0.25">
      <c r="H409" s="137"/>
      <c r="Y409" s="137"/>
      <c r="AP409" s="137"/>
    </row>
    <row r="410" spans="8:42" x14ac:dyDescent="0.25">
      <c r="H410" s="137"/>
      <c r="Y410" s="137"/>
      <c r="AP410" s="137"/>
    </row>
    <row r="411" spans="8:42" x14ac:dyDescent="0.25">
      <c r="H411" s="137"/>
      <c r="Y411" s="137"/>
      <c r="AP411" s="137"/>
    </row>
    <row r="412" spans="8:42" x14ac:dyDescent="0.25">
      <c r="H412" s="137"/>
      <c r="Y412" s="137"/>
      <c r="AP412" s="137"/>
    </row>
    <row r="413" spans="8:42" x14ac:dyDescent="0.25">
      <c r="H413" s="137"/>
      <c r="Y413" s="137"/>
      <c r="AP413" s="137"/>
    </row>
    <row r="414" spans="8:42" x14ac:dyDescent="0.25">
      <c r="H414" s="137"/>
      <c r="Y414" s="137"/>
      <c r="AP414" s="137"/>
    </row>
    <row r="415" spans="8:42" x14ac:dyDescent="0.25">
      <c r="H415" s="137"/>
      <c r="Y415" s="137"/>
      <c r="AP415" s="137"/>
    </row>
    <row r="416" spans="8:42" x14ac:dyDescent="0.25">
      <c r="H416" s="137"/>
      <c r="Y416" s="137"/>
      <c r="AP416" s="137"/>
    </row>
    <row r="417" spans="8:42" x14ac:dyDescent="0.25">
      <c r="H417" s="137"/>
      <c r="Y417" s="137"/>
      <c r="AP417" s="137"/>
    </row>
    <row r="418" spans="8:42" x14ac:dyDescent="0.25">
      <c r="H418" s="137"/>
      <c r="Y418" s="137"/>
      <c r="AP418" s="137"/>
    </row>
    <row r="419" spans="8:42" x14ac:dyDescent="0.25">
      <c r="H419" s="137"/>
      <c r="Y419" s="137"/>
      <c r="AP419" s="137"/>
    </row>
    <row r="420" spans="8:42" x14ac:dyDescent="0.25">
      <c r="H420" s="137"/>
      <c r="Y420" s="137"/>
      <c r="AP420" s="137"/>
    </row>
    <row r="421" spans="8:42" x14ac:dyDescent="0.25">
      <c r="H421" s="137"/>
      <c r="Y421" s="137"/>
      <c r="AP421" s="137"/>
    </row>
    <row r="422" spans="8:42" x14ac:dyDescent="0.25">
      <c r="H422" s="137"/>
      <c r="Y422" s="137"/>
      <c r="AP422" s="137"/>
    </row>
    <row r="423" spans="8:42" x14ac:dyDescent="0.25">
      <c r="H423" s="137"/>
      <c r="Y423" s="137"/>
      <c r="AP423" s="137"/>
    </row>
    <row r="424" spans="8:42" x14ac:dyDescent="0.25">
      <c r="H424" s="137"/>
      <c r="Y424" s="137"/>
      <c r="AP424" s="137"/>
    </row>
    <row r="425" spans="8:42" x14ac:dyDescent="0.25">
      <c r="H425" s="137"/>
      <c r="Y425" s="137"/>
      <c r="AP425" s="137"/>
    </row>
    <row r="426" spans="8:42" x14ac:dyDescent="0.25">
      <c r="H426" s="137"/>
      <c r="Y426" s="137"/>
      <c r="AP426" s="137"/>
    </row>
    <row r="427" spans="8:42" x14ac:dyDescent="0.25">
      <c r="H427" s="137"/>
      <c r="Y427" s="137"/>
      <c r="AP427" s="137"/>
    </row>
    <row r="428" spans="8:42" x14ac:dyDescent="0.25">
      <c r="H428" s="137"/>
      <c r="Y428" s="137"/>
      <c r="AP428" s="137"/>
    </row>
    <row r="429" spans="8:42" x14ac:dyDescent="0.25">
      <c r="H429" s="137"/>
      <c r="Y429" s="137"/>
      <c r="AP429" s="137"/>
    </row>
    <row r="430" spans="8:42" x14ac:dyDescent="0.25">
      <c r="H430" s="137"/>
      <c r="Y430" s="137"/>
      <c r="AP430" s="137"/>
    </row>
    <row r="431" spans="8:42" x14ac:dyDescent="0.25">
      <c r="H431" s="137"/>
      <c r="Y431" s="137"/>
      <c r="AP431" s="137"/>
    </row>
    <row r="432" spans="8:42" x14ac:dyDescent="0.25">
      <c r="H432" s="137"/>
      <c r="Y432" s="137"/>
      <c r="AP432" s="137"/>
    </row>
    <row r="433" spans="8:42" x14ac:dyDescent="0.25">
      <c r="H433" s="137"/>
      <c r="Y433" s="137"/>
      <c r="AP433" s="137"/>
    </row>
    <row r="434" spans="8:42" x14ac:dyDescent="0.25">
      <c r="H434" s="137"/>
      <c r="Y434" s="137"/>
      <c r="AP434" s="137"/>
    </row>
    <row r="435" spans="8:42" x14ac:dyDescent="0.25">
      <c r="H435" s="137"/>
      <c r="Y435" s="137"/>
      <c r="AP435" s="137"/>
    </row>
    <row r="436" spans="8:42" x14ac:dyDescent="0.25">
      <c r="H436" s="137"/>
      <c r="Y436" s="137"/>
      <c r="AP436" s="137"/>
    </row>
    <row r="437" spans="8:42" x14ac:dyDescent="0.25">
      <c r="H437" s="137"/>
      <c r="Y437" s="137"/>
      <c r="AP437" s="137"/>
    </row>
    <row r="438" spans="8:42" x14ac:dyDescent="0.25">
      <c r="H438" s="137"/>
      <c r="Y438" s="137"/>
      <c r="AP438" s="137"/>
    </row>
    <row r="439" spans="8:42" x14ac:dyDescent="0.25">
      <c r="H439" s="137"/>
      <c r="Y439" s="137"/>
      <c r="AP439" s="137"/>
    </row>
    <row r="440" spans="8:42" x14ac:dyDescent="0.25">
      <c r="H440" s="137"/>
      <c r="Y440" s="137"/>
      <c r="AP440" s="137"/>
    </row>
    <row r="441" spans="8:42" x14ac:dyDescent="0.25">
      <c r="H441" s="137"/>
      <c r="Y441" s="137"/>
      <c r="AP441" s="137"/>
    </row>
    <row r="442" spans="8:42" x14ac:dyDescent="0.25">
      <c r="H442" s="137"/>
      <c r="Y442" s="137"/>
      <c r="AP442" s="137"/>
    </row>
    <row r="443" spans="8:42" x14ac:dyDescent="0.25">
      <c r="H443" s="137"/>
      <c r="Y443" s="137"/>
      <c r="AP443" s="137"/>
    </row>
    <row r="444" spans="8:42" x14ac:dyDescent="0.25">
      <c r="H444" s="137"/>
      <c r="Y444" s="137"/>
      <c r="AP444" s="137"/>
    </row>
    <row r="445" spans="8:42" x14ac:dyDescent="0.25">
      <c r="H445" s="137"/>
      <c r="Y445" s="137"/>
      <c r="AP445" s="137"/>
    </row>
    <row r="446" spans="8:42" x14ac:dyDescent="0.25">
      <c r="H446" s="137"/>
    </row>
    <row r="447" spans="8:42" x14ac:dyDescent="0.25">
      <c r="H447" s="137"/>
    </row>
    <row r="448" spans="8:42" x14ac:dyDescent="0.25">
      <c r="H448" s="137"/>
    </row>
    <row r="449" spans="8:8" x14ac:dyDescent="0.25">
      <c r="H449" s="137"/>
    </row>
  </sheetData>
  <mergeCells count="14">
    <mergeCell ref="AO9:BF9"/>
    <mergeCell ref="BE11:BF11"/>
    <mergeCell ref="BH11:BM11"/>
    <mergeCell ref="P12:R12"/>
    <mergeCell ref="S12:T12"/>
    <mergeCell ref="U12:V12"/>
    <mergeCell ref="G9:V9"/>
    <mergeCell ref="X9:AM9"/>
    <mergeCell ref="BC12:BD12"/>
    <mergeCell ref="AG12:AI12"/>
    <mergeCell ref="AJ12:AK12"/>
    <mergeCell ref="AL12:AM12"/>
    <mergeCell ref="AX12:AZ12"/>
    <mergeCell ref="BA12:BB12"/>
  </mergeCells>
  <phoneticPr fontId="26" type="noConversion"/>
  <printOptions horizontalCentered="1"/>
  <pageMargins left="0.39370078740157483" right="0.23622047244094491" top="0.34" bottom="0.39370078740157483" header="0.23" footer="0.19685039370078741"/>
  <pageSetup paperSize="9" scale="45" fitToHeight="3" orientation="landscape" r:id="rId1"/>
  <headerFooter alignWithMargins="0">
    <oddFooter>&amp;L&amp;D&amp;T&amp;C&amp;F&amp;R&amp;A&amp;P</oddFooter>
  </headerFooter>
  <customProperties>
    <customPr name="_pios_id" r:id="rId2"/>
  </customProperties>
  <ignoredErrors>
    <ignoredError sqref="D112:D113 D98:D105 D109:D110 D22:D46 D65:D69 D52 D50 D73 D76:D78 D80:D83 D85:D94 D18:D20 D95 D114:D126" unlockedFormula="1"/>
  </ignoredError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AB28-9F3B-408F-887F-9AB89BD3944F}">
  <sheetPr>
    <pageSetUpPr fitToPage="1"/>
  </sheetPr>
  <dimension ref="A1:BR450"/>
  <sheetViews>
    <sheetView showGridLines="0" zoomScale="90" zoomScaleNormal="90" workbookViewId="0">
      <pane xSplit="4" ySplit="15" topLeftCell="E16" activePane="bottomRight" state="frozenSplit"/>
      <selection activeCell="L139" sqref="L139"/>
      <selection pane="topRight" activeCell="L139" sqref="L139"/>
      <selection pane="bottomLeft" activeCell="L139" sqref="L139"/>
      <selection pane="bottomRight" activeCell="H28" sqref="H28"/>
    </sheetView>
  </sheetViews>
  <sheetFormatPr defaultRowHeight="15" x14ac:dyDescent="0.25"/>
  <cols>
    <col min="1" max="1" width="1.5703125" style="128" customWidth="1"/>
    <col min="2" max="2" width="6.85546875" style="128" customWidth="1"/>
    <col min="3" max="3" width="10.7109375" style="128" customWidth="1"/>
    <col min="4" max="4" width="11.7109375" style="128" customWidth="1"/>
    <col min="5" max="5" width="48.42578125" style="128" bestFit="1" customWidth="1"/>
    <col min="6" max="6" width="3.7109375" style="128" customWidth="1"/>
    <col min="7" max="22" width="13.140625" style="128" customWidth="1"/>
    <col min="23" max="23" width="9.140625" style="128" customWidth="1"/>
    <col min="24" max="39" width="13.140625" style="128" customWidth="1"/>
    <col min="40" max="40" width="3.85546875" style="128" customWidth="1"/>
    <col min="41" max="56" width="13.140625" style="128" customWidth="1"/>
    <col min="57" max="58" width="13.140625" style="126" customWidth="1"/>
    <col min="59" max="59" width="9.140625" style="128" customWidth="1"/>
    <col min="60" max="16384" width="9.140625" style="128"/>
  </cols>
  <sheetData>
    <row r="1" spans="2:69" ht="24" customHeight="1" x14ac:dyDescent="0.35">
      <c r="B1" s="1" t="str">
        <f>'Model Update'!D5</f>
        <v>SA Power Networks</v>
      </c>
      <c r="C1" s="141"/>
      <c r="D1" s="141"/>
      <c r="G1" s="1" t="s">
        <v>11</v>
      </c>
      <c r="X1" s="140"/>
      <c r="AO1" s="140"/>
    </row>
    <row r="2" spans="2:69" ht="21.75" customHeight="1" x14ac:dyDescent="0.3">
      <c r="B2" s="123" t="s">
        <v>215</v>
      </c>
      <c r="C2" s="141"/>
      <c r="D2" s="141"/>
      <c r="H2" s="142" t="s">
        <v>13</v>
      </c>
      <c r="I2" s="142"/>
      <c r="J2" s="142"/>
      <c r="K2" s="142"/>
      <c r="Y2" s="142"/>
      <c r="Z2" s="142"/>
      <c r="AA2" s="142"/>
      <c r="AB2" s="142"/>
      <c r="AP2" s="142"/>
      <c r="AQ2" s="142"/>
      <c r="AR2" s="142"/>
      <c r="AS2" s="142"/>
    </row>
    <row r="3" spans="2:69" ht="18" hidden="1" customHeight="1" x14ac:dyDescent="0.25">
      <c r="B3" s="143"/>
      <c r="C3" s="141"/>
      <c r="D3" s="141"/>
      <c r="H3" s="142"/>
      <c r="I3" s="142"/>
      <c r="J3" s="142"/>
      <c r="K3" s="142"/>
      <c r="Y3" s="142"/>
      <c r="Z3" s="142"/>
      <c r="AA3" s="142"/>
      <c r="AB3" s="142"/>
      <c r="AP3" s="142"/>
      <c r="AQ3" s="142"/>
      <c r="AR3" s="142"/>
      <c r="AS3" s="142"/>
    </row>
    <row r="4" spans="2:69" ht="18" hidden="1" customHeight="1" x14ac:dyDescent="0.25">
      <c r="B4" s="143"/>
      <c r="C4" s="141"/>
      <c r="D4" s="141"/>
      <c r="H4" s="142"/>
      <c r="I4" s="142"/>
      <c r="J4" s="142"/>
      <c r="K4" s="142"/>
      <c r="Y4" s="142"/>
      <c r="Z4" s="142"/>
      <c r="AA4" s="142"/>
      <c r="AB4" s="142"/>
      <c r="AP4" s="142"/>
      <c r="AQ4" s="142"/>
      <c r="AR4" s="142"/>
      <c r="AS4" s="142"/>
    </row>
    <row r="5" spans="2:69" ht="12.75" customHeight="1" x14ac:dyDescent="0.25">
      <c r="B5" s="143"/>
      <c r="C5" s="141"/>
      <c r="D5" s="141"/>
      <c r="H5" s="142"/>
      <c r="I5" s="142"/>
      <c r="J5" s="142"/>
      <c r="K5" s="142"/>
      <c r="Y5" s="142"/>
      <c r="Z5" s="142"/>
      <c r="AA5" s="142"/>
      <c r="AB5" s="142"/>
      <c r="AP5" s="142"/>
      <c r="AQ5" s="142"/>
      <c r="AR5" s="142"/>
      <c r="AS5" s="142"/>
    </row>
    <row r="6" spans="2:69" ht="12.75" customHeight="1" x14ac:dyDescent="0.25">
      <c r="B6" s="143"/>
      <c r="C6" s="141"/>
      <c r="D6" s="141"/>
      <c r="I6" s="142"/>
      <c r="J6" s="142"/>
      <c r="K6" s="142"/>
      <c r="Z6" s="142"/>
      <c r="AA6" s="142"/>
      <c r="AB6" s="142"/>
      <c r="AQ6" s="142"/>
      <c r="AR6" s="142"/>
      <c r="AS6" s="142"/>
    </row>
    <row r="7" spans="2:69" ht="18.75" x14ac:dyDescent="0.3">
      <c r="B7" s="7" t="str">
        <f>"Information for financial year ending 30 June "&amp;'Model Update'!C12</f>
        <v>Information for financial year ending 30 June 2021</v>
      </c>
      <c r="C7" s="141"/>
      <c r="D7" s="141"/>
      <c r="H7" s="142"/>
      <c r="I7" s="142"/>
      <c r="J7" s="142"/>
      <c r="K7" s="142"/>
      <c r="Y7" s="142"/>
      <c r="Z7" s="142"/>
      <c r="AA7" s="142"/>
      <c r="AB7" s="142"/>
      <c r="AP7" s="142"/>
      <c r="AQ7" s="142"/>
      <c r="AR7" s="142"/>
      <c r="AS7" s="142"/>
      <c r="BE7" s="258">
        <f>Days_Year</f>
        <v>365</v>
      </c>
    </row>
    <row r="8" spans="2:69" x14ac:dyDescent="0.25">
      <c r="B8" s="143"/>
      <c r="C8" s="141"/>
      <c r="D8" s="141"/>
    </row>
    <row r="9" spans="2:69" x14ac:dyDescent="0.25">
      <c r="B9" s="143"/>
      <c r="C9" s="141"/>
      <c r="D9" s="141"/>
      <c r="G9" s="850" t="s">
        <v>14</v>
      </c>
      <c r="H9" s="850"/>
      <c r="I9" s="850"/>
      <c r="J9" s="850"/>
      <c r="K9" s="850"/>
      <c r="L9" s="850"/>
      <c r="M9" s="850"/>
      <c r="N9" s="850"/>
      <c r="O9" s="850"/>
      <c r="P9" s="850"/>
      <c r="Q9" s="850"/>
      <c r="R9" s="850"/>
      <c r="S9" s="850"/>
      <c r="T9" s="850"/>
      <c r="U9" s="850"/>
      <c r="V9" s="861"/>
      <c r="X9" s="862" t="s">
        <v>15</v>
      </c>
      <c r="Y9" s="862"/>
      <c r="Z9" s="862"/>
      <c r="AA9" s="862"/>
      <c r="AB9" s="862"/>
      <c r="AC9" s="862"/>
      <c r="AD9" s="862"/>
      <c r="AE9" s="862"/>
      <c r="AF9" s="862"/>
      <c r="AG9" s="862"/>
      <c r="AH9" s="862"/>
      <c r="AI9" s="862"/>
      <c r="AJ9" s="862"/>
      <c r="AK9" s="862"/>
      <c r="AL9" s="862"/>
      <c r="AM9" s="863"/>
      <c r="AO9" s="850" t="s">
        <v>619</v>
      </c>
      <c r="AP9" s="850"/>
      <c r="AQ9" s="850"/>
      <c r="AR9" s="850"/>
      <c r="AS9" s="850"/>
      <c r="AT9" s="850"/>
      <c r="AU9" s="850"/>
      <c r="AV9" s="850"/>
      <c r="AW9" s="850"/>
      <c r="AX9" s="850"/>
      <c r="AY9" s="850"/>
      <c r="AZ9" s="850"/>
      <c r="BA9" s="850"/>
      <c r="BB9" s="850"/>
      <c r="BC9" s="850"/>
      <c r="BD9" s="850"/>
      <c r="BE9" s="850"/>
      <c r="BF9" s="850"/>
    </row>
    <row r="10" spans="2:69" x14ac:dyDescent="0.25">
      <c r="E10" s="144"/>
      <c r="V10" s="145"/>
      <c r="AM10" s="145"/>
    </row>
    <row r="11" spans="2:69" x14ac:dyDescent="0.25">
      <c r="B11" s="146" t="s">
        <v>16</v>
      </c>
      <c r="C11" s="147"/>
      <c r="D11" s="147"/>
      <c r="E11" s="148"/>
      <c r="G11" s="149">
        <f>'Model Update'!C12</f>
        <v>2021</v>
      </c>
      <c r="H11" s="150">
        <f>$G$11</f>
        <v>2021</v>
      </c>
      <c r="I11" s="147"/>
      <c r="J11" s="151"/>
      <c r="K11" s="152"/>
      <c r="L11" s="150">
        <f>$G$11</f>
        <v>2021</v>
      </c>
      <c r="M11" s="153"/>
      <c r="N11" s="153"/>
      <c r="O11" s="152"/>
      <c r="P11" s="150">
        <f>$G$11</f>
        <v>2021</v>
      </c>
      <c r="Q11" s="147"/>
      <c r="R11" s="151"/>
      <c r="S11" s="150">
        <f>$G$11</f>
        <v>2021</v>
      </c>
      <c r="T11" s="154"/>
      <c r="U11" s="150">
        <f>$G$11</f>
        <v>2021</v>
      </c>
      <c r="V11" s="148"/>
      <c r="X11" s="150">
        <f>$G$11</f>
        <v>2021</v>
      </c>
      <c r="Y11" s="150">
        <f>$G$11</f>
        <v>2021</v>
      </c>
      <c r="Z11" s="147"/>
      <c r="AA11" s="151"/>
      <c r="AB11" s="152"/>
      <c r="AC11" s="150">
        <f>$G$11</f>
        <v>2021</v>
      </c>
      <c r="AD11" s="153"/>
      <c r="AE11" s="153"/>
      <c r="AF11" s="152"/>
      <c r="AG11" s="150">
        <f>$G$11</f>
        <v>2021</v>
      </c>
      <c r="AH11" s="147"/>
      <c r="AI11" s="151"/>
      <c r="AJ11" s="150">
        <f>$G$11</f>
        <v>2021</v>
      </c>
      <c r="AK11" s="154"/>
      <c r="AL11" s="150">
        <f>$G$11</f>
        <v>2021</v>
      </c>
      <c r="AM11" s="148"/>
      <c r="AO11" s="150">
        <f>$G$11</f>
        <v>2021</v>
      </c>
      <c r="AP11" s="150">
        <f>$G$11</f>
        <v>2021</v>
      </c>
      <c r="AQ11" s="147"/>
      <c r="AR11" s="151"/>
      <c r="AS11" s="152"/>
      <c r="AT11" s="150">
        <f>$G$11</f>
        <v>2021</v>
      </c>
      <c r="AU11" s="153"/>
      <c r="AV11" s="153"/>
      <c r="AW11" s="152"/>
      <c r="AX11" s="150">
        <f>$G$11</f>
        <v>2021</v>
      </c>
      <c r="AY11" s="147"/>
      <c r="AZ11" s="151"/>
      <c r="BA11" s="150">
        <f>$G$11</f>
        <v>2021</v>
      </c>
      <c r="BB11" s="154"/>
      <c r="BC11" s="150">
        <f>$G$11</f>
        <v>2021</v>
      </c>
      <c r="BD11" s="147"/>
      <c r="BE11" s="864" t="s">
        <v>17</v>
      </c>
      <c r="BF11" s="852"/>
      <c r="BH11" s="864" t="s">
        <v>205</v>
      </c>
      <c r="BI11" s="851"/>
      <c r="BJ11" s="851"/>
      <c r="BK11" s="851"/>
      <c r="BL11" s="851"/>
      <c r="BM11" s="852"/>
    </row>
    <row r="12" spans="2:69" x14ac:dyDescent="0.25">
      <c r="B12" s="155"/>
      <c r="E12" s="145"/>
      <c r="G12" s="156" t="s">
        <v>18</v>
      </c>
      <c r="H12" s="157" t="s">
        <v>19</v>
      </c>
      <c r="J12" s="129"/>
      <c r="K12" s="158"/>
      <c r="L12" s="157" t="s">
        <v>20</v>
      </c>
      <c r="M12" s="135"/>
      <c r="N12" s="135"/>
      <c r="O12" s="158"/>
      <c r="P12" s="856" t="s">
        <v>21</v>
      </c>
      <c r="Q12" s="857"/>
      <c r="R12" s="858"/>
      <c r="S12" s="859" t="s">
        <v>662</v>
      </c>
      <c r="T12" s="860"/>
      <c r="U12" s="856" t="s">
        <v>663</v>
      </c>
      <c r="V12" s="858"/>
      <c r="X12" s="156" t="s">
        <v>22</v>
      </c>
      <c r="Y12" s="157" t="s">
        <v>19</v>
      </c>
      <c r="AA12" s="129"/>
      <c r="AB12" s="158"/>
      <c r="AC12" s="157" t="s">
        <v>20</v>
      </c>
      <c r="AD12" s="135"/>
      <c r="AE12" s="135"/>
      <c r="AF12" s="158"/>
      <c r="AG12" s="856" t="s">
        <v>21</v>
      </c>
      <c r="AH12" s="857"/>
      <c r="AI12" s="858"/>
      <c r="AJ12" s="859" t="s">
        <v>662</v>
      </c>
      <c r="AK12" s="860"/>
      <c r="AL12" s="856" t="s">
        <v>663</v>
      </c>
      <c r="AM12" s="858"/>
      <c r="AO12" s="156" t="s">
        <v>22</v>
      </c>
      <c r="AP12" s="157" t="s">
        <v>19</v>
      </c>
      <c r="AR12" s="129"/>
      <c r="AS12" s="158"/>
      <c r="AT12" s="157" t="s">
        <v>20</v>
      </c>
      <c r="AU12" s="135"/>
      <c r="AV12" s="135"/>
      <c r="AW12" s="158"/>
      <c r="AX12" s="856" t="s">
        <v>21</v>
      </c>
      <c r="AY12" s="857"/>
      <c r="AZ12" s="858"/>
      <c r="BA12" s="859" t="s">
        <v>662</v>
      </c>
      <c r="BB12" s="860"/>
      <c r="BC12" s="856" t="s">
        <v>663</v>
      </c>
      <c r="BD12" s="858"/>
      <c r="BE12" s="241" t="s">
        <v>204</v>
      </c>
      <c r="BF12" s="243" t="s">
        <v>23</v>
      </c>
      <c r="BH12" s="239"/>
      <c r="BI12" s="240"/>
      <c r="BJ12" s="240"/>
      <c r="BK12" s="240"/>
      <c r="BL12" s="240"/>
      <c r="BM12" s="145"/>
    </row>
    <row r="13" spans="2:69" x14ac:dyDescent="0.25">
      <c r="B13" s="155"/>
      <c r="E13" s="145"/>
      <c r="G13" s="156"/>
      <c r="H13" s="160" t="s">
        <v>23</v>
      </c>
      <c r="I13" s="129" t="s">
        <v>23</v>
      </c>
      <c r="J13" s="129" t="s">
        <v>23</v>
      </c>
      <c r="K13" s="158" t="s">
        <v>23</v>
      </c>
      <c r="L13" s="160" t="s">
        <v>23</v>
      </c>
      <c r="M13" s="129" t="s">
        <v>23</v>
      </c>
      <c r="N13" s="129" t="s">
        <v>23</v>
      </c>
      <c r="O13" s="158" t="s">
        <v>23</v>
      </c>
      <c r="P13" s="129" t="s">
        <v>24</v>
      </c>
      <c r="Q13" s="128" t="s">
        <v>24</v>
      </c>
      <c r="R13" s="159" t="s">
        <v>24</v>
      </c>
      <c r="S13" s="129" t="s">
        <v>24</v>
      </c>
      <c r="T13" s="159" t="s">
        <v>24</v>
      </c>
      <c r="U13" s="160" t="s">
        <v>25</v>
      </c>
      <c r="V13" s="158" t="s">
        <v>25</v>
      </c>
      <c r="X13" s="156"/>
      <c r="Y13" s="160" t="s">
        <v>23</v>
      </c>
      <c r="Z13" s="129" t="s">
        <v>23</v>
      </c>
      <c r="AA13" s="129" t="s">
        <v>23</v>
      </c>
      <c r="AB13" s="158" t="s">
        <v>23</v>
      </c>
      <c r="AC13" s="160" t="s">
        <v>23</v>
      </c>
      <c r="AD13" s="129" t="s">
        <v>23</v>
      </c>
      <c r="AE13" s="129" t="s">
        <v>23</v>
      </c>
      <c r="AF13" s="158" t="s">
        <v>23</v>
      </c>
      <c r="AG13" s="129" t="s">
        <v>24</v>
      </c>
      <c r="AH13" s="128" t="s">
        <v>24</v>
      </c>
      <c r="AI13" s="159" t="s">
        <v>24</v>
      </c>
      <c r="AJ13" s="129" t="s">
        <v>24</v>
      </c>
      <c r="AK13" s="159" t="s">
        <v>24</v>
      </c>
      <c r="AL13" s="160" t="s">
        <v>25</v>
      </c>
      <c r="AM13" s="158" t="s">
        <v>25</v>
      </c>
      <c r="AO13" s="156"/>
      <c r="AP13" s="160" t="s">
        <v>23</v>
      </c>
      <c r="AQ13" s="129" t="s">
        <v>23</v>
      </c>
      <c r="AR13" s="129" t="s">
        <v>23</v>
      </c>
      <c r="AS13" s="158" t="s">
        <v>23</v>
      </c>
      <c r="AT13" s="160" t="s">
        <v>23</v>
      </c>
      <c r="AU13" s="129" t="s">
        <v>23</v>
      </c>
      <c r="AV13" s="129" t="s">
        <v>23</v>
      </c>
      <c r="AW13" s="158" t="s">
        <v>23</v>
      </c>
      <c r="AX13" s="129" t="s">
        <v>24</v>
      </c>
      <c r="AY13" s="128" t="s">
        <v>24</v>
      </c>
      <c r="AZ13" s="159" t="s">
        <v>24</v>
      </c>
      <c r="BA13" s="129" t="s">
        <v>24</v>
      </c>
      <c r="BB13" s="159" t="s">
        <v>24</v>
      </c>
      <c r="BC13" s="160" t="s">
        <v>25</v>
      </c>
      <c r="BD13" s="158" t="s">
        <v>25</v>
      </c>
      <c r="BE13" s="161"/>
      <c r="BF13" s="243"/>
      <c r="BH13" s="241" t="s">
        <v>206</v>
      </c>
      <c r="BI13" s="242" t="s">
        <v>23</v>
      </c>
      <c r="BJ13" s="242" t="s">
        <v>23</v>
      </c>
      <c r="BK13" s="242" t="s">
        <v>210</v>
      </c>
      <c r="BL13" s="242" t="s">
        <v>211</v>
      </c>
      <c r="BM13" s="243" t="s">
        <v>212</v>
      </c>
      <c r="BO13" s="680" t="s">
        <v>620</v>
      </c>
      <c r="BQ13" s="126" t="s">
        <v>259</v>
      </c>
    </row>
    <row r="14" spans="2:69" s="129" customFormat="1" x14ac:dyDescent="0.25">
      <c r="B14" s="156" t="s">
        <v>26</v>
      </c>
      <c r="C14" s="129" t="s">
        <v>27</v>
      </c>
      <c r="D14" s="129" t="s">
        <v>27</v>
      </c>
      <c r="E14" s="158" t="s">
        <v>28</v>
      </c>
      <c r="F14" s="128"/>
      <c r="G14" s="156" t="s">
        <v>29</v>
      </c>
      <c r="H14" s="160" t="s">
        <v>30</v>
      </c>
      <c r="I14" s="129" t="s">
        <v>31</v>
      </c>
      <c r="J14" s="129" t="s">
        <v>32</v>
      </c>
      <c r="K14" s="158" t="s">
        <v>33</v>
      </c>
      <c r="L14" s="160" t="s">
        <v>30</v>
      </c>
      <c r="M14" s="129" t="s">
        <v>31</v>
      </c>
      <c r="N14" s="129" t="s">
        <v>32</v>
      </c>
      <c r="O14" s="158" t="s">
        <v>33</v>
      </c>
      <c r="P14" s="160"/>
      <c r="S14" s="160"/>
      <c r="T14" s="158"/>
      <c r="U14" s="160" t="s">
        <v>34</v>
      </c>
      <c r="V14" s="158"/>
      <c r="X14" s="156" t="s">
        <v>29</v>
      </c>
      <c r="Y14" s="160" t="s">
        <v>30</v>
      </c>
      <c r="Z14" s="129" t="s">
        <v>31</v>
      </c>
      <c r="AA14" s="129" t="s">
        <v>32</v>
      </c>
      <c r="AB14" s="158" t="s">
        <v>33</v>
      </c>
      <c r="AC14" s="160" t="s">
        <v>30</v>
      </c>
      <c r="AD14" s="129" t="s">
        <v>31</v>
      </c>
      <c r="AE14" s="129" t="s">
        <v>32</v>
      </c>
      <c r="AF14" s="158" t="s">
        <v>33</v>
      </c>
      <c r="AG14" s="160"/>
      <c r="AJ14" s="160"/>
      <c r="AK14" s="158"/>
      <c r="AL14" s="160" t="s">
        <v>34</v>
      </c>
      <c r="AM14" s="158"/>
      <c r="AO14" s="156" t="s">
        <v>29</v>
      </c>
      <c r="AP14" s="160" t="s">
        <v>30</v>
      </c>
      <c r="AQ14" s="129" t="s">
        <v>31</v>
      </c>
      <c r="AR14" s="129" t="s">
        <v>32</v>
      </c>
      <c r="AS14" s="158" t="s">
        <v>33</v>
      </c>
      <c r="AT14" s="160" t="s">
        <v>30</v>
      </c>
      <c r="AU14" s="129" t="s">
        <v>31</v>
      </c>
      <c r="AV14" s="129" t="s">
        <v>32</v>
      </c>
      <c r="AW14" s="158" t="s">
        <v>33</v>
      </c>
      <c r="AX14" s="160"/>
      <c r="BA14" s="160"/>
      <c r="BB14" s="158"/>
      <c r="BC14" s="160" t="s">
        <v>34</v>
      </c>
      <c r="BD14" s="158"/>
      <c r="BE14" s="241" t="s">
        <v>22</v>
      </c>
      <c r="BF14" s="243" t="s">
        <v>35</v>
      </c>
      <c r="BH14" s="241" t="s">
        <v>207</v>
      </c>
      <c r="BI14" s="242" t="s">
        <v>208</v>
      </c>
      <c r="BJ14" s="242" t="s">
        <v>209</v>
      </c>
      <c r="BK14" s="242"/>
      <c r="BL14" s="242"/>
      <c r="BM14" s="243"/>
    </row>
    <row r="15" spans="2:69" s="129" customFormat="1" x14ac:dyDescent="0.25">
      <c r="B15" s="162"/>
      <c r="C15" s="163" t="s">
        <v>36</v>
      </c>
      <c r="D15" s="163" t="s">
        <v>37</v>
      </c>
      <c r="E15" s="164" t="s">
        <v>38</v>
      </c>
      <c r="F15" s="128"/>
      <c r="G15" s="162" t="s">
        <v>29</v>
      </c>
      <c r="H15" s="165" t="s">
        <v>30</v>
      </c>
      <c r="I15" s="163" t="s">
        <v>31</v>
      </c>
      <c r="J15" s="163" t="s">
        <v>39</v>
      </c>
      <c r="K15" s="164" t="s">
        <v>32</v>
      </c>
      <c r="L15" s="165" t="s">
        <v>30</v>
      </c>
      <c r="M15" s="163"/>
      <c r="N15" s="163"/>
      <c r="O15" s="164"/>
      <c r="P15" s="165" t="s">
        <v>40</v>
      </c>
      <c r="Q15" s="163" t="s">
        <v>666</v>
      </c>
      <c r="R15" s="163" t="s">
        <v>667</v>
      </c>
      <c r="S15" s="165" t="s">
        <v>665</v>
      </c>
      <c r="T15" s="164" t="s">
        <v>664</v>
      </c>
      <c r="U15" s="165" t="s">
        <v>34</v>
      </c>
      <c r="V15" s="166" t="s">
        <v>664</v>
      </c>
      <c r="X15" s="162" t="s">
        <v>29</v>
      </c>
      <c r="Y15" s="165" t="s">
        <v>30</v>
      </c>
      <c r="Z15" s="163" t="s">
        <v>31</v>
      </c>
      <c r="AA15" s="163" t="s">
        <v>39</v>
      </c>
      <c r="AB15" s="164" t="s">
        <v>32</v>
      </c>
      <c r="AC15" s="165" t="s">
        <v>30</v>
      </c>
      <c r="AD15" s="163"/>
      <c r="AE15" s="163"/>
      <c r="AF15" s="164"/>
      <c r="AG15" s="165" t="s">
        <v>40</v>
      </c>
      <c r="AH15" s="163" t="s">
        <v>666</v>
      </c>
      <c r="AI15" s="163" t="s">
        <v>667</v>
      </c>
      <c r="AJ15" s="165" t="s">
        <v>665</v>
      </c>
      <c r="AK15" s="164" t="s">
        <v>664</v>
      </c>
      <c r="AL15" s="165" t="s">
        <v>34</v>
      </c>
      <c r="AM15" s="166" t="s">
        <v>664</v>
      </c>
      <c r="AO15" s="162" t="s">
        <v>29</v>
      </c>
      <c r="AP15" s="165" t="s">
        <v>30</v>
      </c>
      <c r="AQ15" s="163" t="s">
        <v>31</v>
      </c>
      <c r="AR15" s="163" t="s">
        <v>39</v>
      </c>
      <c r="AS15" s="164" t="s">
        <v>32</v>
      </c>
      <c r="AT15" s="165" t="s">
        <v>30</v>
      </c>
      <c r="AU15" s="163"/>
      <c r="AV15" s="163"/>
      <c r="AW15" s="164"/>
      <c r="AX15" s="165" t="s">
        <v>40</v>
      </c>
      <c r="AY15" s="163" t="s">
        <v>666</v>
      </c>
      <c r="AZ15" s="163" t="s">
        <v>667</v>
      </c>
      <c r="BA15" s="165" t="s">
        <v>665</v>
      </c>
      <c r="BB15" s="164" t="s">
        <v>664</v>
      </c>
      <c r="BC15" s="165" t="s">
        <v>34</v>
      </c>
      <c r="BD15" s="166" t="s">
        <v>664</v>
      </c>
      <c r="BE15" s="247" t="s">
        <v>22</v>
      </c>
      <c r="BF15" s="248" t="s">
        <v>35</v>
      </c>
      <c r="BH15" s="160"/>
      <c r="BI15" s="244"/>
      <c r="BJ15" s="244"/>
      <c r="BK15" s="244"/>
      <c r="BL15" s="244"/>
      <c r="BM15" s="158"/>
    </row>
    <row r="16" spans="2:69" ht="15" customHeight="1" x14ac:dyDescent="0.25">
      <c r="B16" s="167" t="s">
        <v>41</v>
      </c>
      <c r="C16" s="151" t="s">
        <v>42</v>
      </c>
      <c r="D16" s="147"/>
      <c r="E16" s="148"/>
      <c r="G16" s="463"/>
      <c r="H16" s="464"/>
      <c r="I16" s="465"/>
      <c r="J16" s="465"/>
      <c r="K16" s="466"/>
      <c r="L16" s="465"/>
      <c r="M16" s="465"/>
      <c r="N16" s="465"/>
      <c r="O16" s="466"/>
      <c r="P16" s="464"/>
      <c r="Q16" s="465"/>
      <c r="R16" s="466"/>
      <c r="S16" s="464"/>
      <c r="T16" s="465"/>
      <c r="U16" s="464"/>
      <c r="V16" s="466"/>
      <c r="X16" s="168">
        <f>'Q (t)'!G16</f>
        <v>0</v>
      </c>
      <c r="Y16" s="169">
        <f>'Q (t)'!H16</f>
        <v>0</v>
      </c>
      <c r="Z16" s="170">
        <f>'Q (t)'!I16</f>
        <v>0</v>
      </c>
      <c r="AA16" s="170">
        <f>'Q (t)'!J16</f>
        <v>0</v>
      </c>
      <c r="AB16" s="171">
        <f>'Q (t)'!K16</f>
        <v>0</v>
      </c>
      <c r="AC16" s="170">
        <f>'Q (t)'!L16</f>
        <v>0</v>
      </c>
      <c r="AD16" s="170">
        <f>'Q (t)'!M16</f>
        <v>0</v>
      </c>
      <c r="AE16" s="170">
        <f>'Q (t)'!N16</f>
        <v>0</v>
      </c>
      <c r="AF16" s="171">
        <f>'Q (t)'!O16</f>
        <v>0</v>
      </c>
      <c r="AG16" s="169">
        <f>'Q (t)'!P16</f>
        <v>0</v>
      </c>
      <c r="AH16" s="170">
        <f>'Q (t)'!Q16</f>
        <v>0</v>
      </c>
      <c r="AI16" s="171">
        <f>'Q (t)'!R16</f>
        <v>0</v>
      </c>
      <c r="AJ16" s="169">
        <f>'Q (t)'!S16</f>
        <v>0</v>
      </c>
      <c r="AK16" s="170">
        <f>'Q (t)'!T16</f>
        <v>0</v>
      </c>
      <c r="AL16" s="169">
        <f>'Q (t)'!U16</f>
        <v>0</v>
      </c>
      <c r="AM16" s="171">
        <f>'Q (t)'!V16</f>
        <v>0</v>
      </c>
      <c r="AO16" s="168">
        <f>G16*X16/1000</f>
        <v>0</v>
      </c>
      <c r="AP16" s="169">
        <f t="shared" ref="AP16:AW33" si="0">H16*Y16</f>
        <v>0</v>
      </c>
      <c r="AQ16" s="170">
        <f t="shared" si="0"/>
        <v>0</v>
      </c>
      <c r="AR16" s="170">
        <f t="shared" si="0"/>
        <v>0</v>
      </c>
      <c r="AS16" s="171">
        <f t="shared" si="0"/>
        <v>0</v>
      </c>
      <c r="AT16" s="170">
        <f t="shared" si="0"/>
        <v>0</v>
      </c>
      <c r="AU16" s="170">
        <f t="shared" si="0"/>
        <v>0</v>
      </c>
      <c r="AV16" s="170">
        <f t="shared" si="0"/>
        <v>0</v>
      </c>
      <c r="AW16" s="171">
        <f t="shared" si="0"/>
        <v>0</v>
      </c>
      <c r="AX16" s="169">
        <f t="shared" ref="AX16:BD51" si="1">P16*AG16/1000</f>
        <v>0</v>
      </c>
      <c r="AY16" s="170">
        <f t="shared" si="1"/>
        <v>0</v>
      </c>
      <c r="AZ16" s="171">
        <f t="shared" si="1"/>
        <v>0</v>
      </c>
      <c r="BA16" s="169">
        <f t="shared" si="1"/>
        <v>0</v>
      </c>
      <c r="BB16" s="170">
        <f t="shared" si="1"/>
        <v>0</v>
      </c>
      <c r="BC16" s="169">
        <f t="shared" si="1"/>
        <v>0</v>
      </c>
      <c r="BD16" s="170">
        <f t="shared" si="1"/>
        <v>0</v>
      </c>
      <c r="BE16" s="249">
        <f>X16/$BE$7</f>
        <v>0</v>
      </c>
      <c r="BF16" s="250">
        <f>SUM(AP16:AW16)</f>
        <v>0</v>
      </c>
      <c r="BH16" s="260">
        <f>SUBTOTAL(9,BH17:BH25)</f>
        <v>0</v>
      </c>
      <c r="BI16" s="260">
        <f>SUBTOTAL(9,BI17:BI25)</f>
        <v>107156.12</v>
      </c>
      <c r="BJ16" s="260">
        <f>SUBTOTAL(9,BJ17:BJ25)</f>
        <v>7820.85</v>
      </c>
      <c r="BK16" s="260">
        <f>SUBTOTAL(9,BK17:BK25)</f>
        <v>0</v>
      </c>
      <c r="BL16" s="260">
        <f>SUBTOTAL(9,BL17:BL25)</f>
        <v>330.60240000000005</v>
      </c>
      <c r="BM16" s="261">
        <f>SUM(BH16:BL16)</f>
        <v>115307.5724</v>
      </c>
      <c r="BO16" s="732" t="str">
        <f>IF(BF16=0,"",BM16*1000/BF16)</f>
        <v/>
      </c>
    </row>
    <row r="17" spans="2:67" ht="15" customHeight="1" x14ac:dyDescent="0.25">
      <c r="B17" s="172"/>
      <c r="C17" s="126" t="s">
        <v>43</v>
      </c>
      <c r="D17" s="173"/>
      <c r="E17" s="145"/>
      <c r="G17" s="467"/>
      <c r="H17" s="468"/>
      <c r="I17" s="469"/>
      <c r="J17" s="469"/>
      <c r="K17" s="470"/>
      <c r="L17" s="471"/>
      <c r="M17" s="471"/>
      <c r="N17" s="471"/>
      <c r="O17" s="472"/>
      <c r="P17" s="468"/>
      <c r="Q17" s="469"/>
      <c r="R17" s="470"/>
      <c r="S17" s="468"/>
      <c r="T17" s="469"/>
      <c r="U17" s="468"/>
      <c r="V17" s="470"/>
      <c r="X17" s="174">
        <f>'Q (t)'!G17</f>
        <v>0</v>
      </c>
      <c r="Y17" s="175">
        <f>'Q (t)'!H17</f>
        <v>0</v>
      </c>
      <c r="Z17" s="176">
        <f>'Q (t)'!I17</f>
        <v>0</v>
      </c>
      <c r="AA17" s="176">
        <f>'Q (t)'!J17</f>
        <v>0</v>
      </c>
      <c r="AB17" s="177">
        <f>'Q (t)'!K17</f>
        <v>0</v>
      </c>
      <c r="AC17" s="178">
        <f>'Q (t)'!L17</f>
        <v>0</v>
      </c>
      <c r="AD17" s="178">
        <f>'Q (t)'!M17</f>
        <v>0</v>
      </c>
      <c r="AE17" s="178">
        <f>'Q (t)'!N17</f>
        <v>0</v>
      </c>
      <c r="AF17" s="179">
        <f>'Q (t)'!O17</f>
        <v>0</v>
      </c>
      <c r="AG17" s="175">
        <f>'Q (t)'!P17</f>
        <v>0</v>
      </c>
      <c r="AH17" s="176">
        <f>'Q (t)'!Q17</f>
        <v>0</v>
      </c>
      <c r="AI17" s="177">
        <f>'Q (t)'!R17</f>
        <v>0</v>
      </c>
      <c r="AJ17" s="175">
        <f>'Q (t)'!S17</f>
        <v>0</v>
      </c>
      <c r="AK17" s="176">
        <f>'Q (t)'!T17</f>
        <v>0</v>
      </c>
      <c r="AL17" s="175">
        <f>'Q (t)'!U17</f>
        <v>0</v>
      </c>
      <c r="AM17" s="177">
        <f>'Q (t)'!V17</f>
        <v>0</v>
      </c>
      <c r="AO17" s="174">
        <f t="shared" ref="AO17:AO77" si="2">G17*X17/1000</f>
        <v>0</v>
      </c>
      <c r="AP17" s="175">
        <f t="shared" si="0"/>
        <v>0</v>
      </c>
      <c r="AQ17" s="176">
        <f t="shared" si="0"/>
        <v>0</v>
      </c>
      <c r="AR17" s="176">
        <f t="shared" si="0"/>
        <v>0</v>
      </c>
      <c r="AS17" s="177">
        <f t="shared" si="0"/>
        <v>0</v>
      </c>
      <c r="AT17" s="178">
        <f t="shared" si="0"/>
        <v>0</v>
      </c>
      <c r="AU17" s="178">
        <f t="shared" si="0"/>
        <v>0</v>
      </c>
      <c r="AV17" s="178">
        <f t="shared" si="0"/>
        <v>0</v>
      </c>
      <c r="AW17" s="179">
        <f t="shared" si="0"/>
        <v>0</v>
      </c>
      <c r="AX17" s="175">
        <f t="shared" si="1"/>
        <v>0</v>
      </c>
      <c r="AY17" s="176">
        <f t="shared" si="1"/>
        <v>0</v>
      </c>
      <c r="AZ17" s="177">
        <f t="shared" si="1"/>
        <v>0</v>
      </c>
      <c r="BA17" s="175">
        <f t="shared" si="1"/>
        <v>0</v>
      </c>
      <c r="BB17" s="176">
        <f t="shared" si="1"/>
        <v>0</v>
      </c>
      <c r="BC17" s="175">
        <f t="shared" si="1"/>
        <v>0</v>
      </c>
      <c r="BD17" s="176">
        <f t="shared" si="1"/>
        <v>0</v>
      </c>
      <c r="BE17" s="251">
        <f t="shared" ref="BE17:BE77" si="3">X17/$BE$7</f>
        <v>0</v>
      </c>
      <c r="BF17" s="252">
        <f t="shared" ref="BF17:BF49" si="4">SUM(Y17:AF17)</f>
        <v>0</v>
      </c>
      <c r="BH17" s="259">
        <f>SUBTOTAL(9,BH18:BH19)</f>
        <v>0</v>
      </c>
      <c r="BI17" s="259">
        <f>SUBTOTAL(9,BI18:BI19)</f>
        <v>90099.42</v>
      </c>
      <c r="BJ17" s="259">
        <f>SUBTOTAL(9,BJ18:BJ19)</f>
        <v>6147.2000000000007</v>
      </c>
      <c r="BK17" s="267">
        <f>SUBTOTAL(9,BK18:BK19)</f>
        <v>0</v>
      </c>
      <c r="BL17" s="268">
        <f>SUBTOTAL(9,BL18:BL19)</f>
        <v>0</v>
      </c>
      <c r="BM17" s="264">
        <f t="shared" ref="BM17:BM77" si="5">SUM(BH17:BL17)</f>
        <v>96246.62</v>
      </c>
      <c r="BO17" s="732" t="str">
        <f t="shared" ref="BO17:BO77" si="6">IF(BF17=0,"",BM17*1000/BF17)</f>
        <v/>
      </c>
    </row>
    <row r="18" spans="2:67" ht="15" customHeight="1" x14ac:dyDescent="0.25">
      <c r="B18" s="156">
        <v>1</v>
      </c>
      <c r="C18" s="180" t="s">
        <v>44</v>
      </c>
      <c r="D18" s="181" t="s">
        <v>44</v>
      </c>
      <c r="E18" s="182" t="s">
        <v>669</v>
      </c>
      <c r="G18" s="473">
        <v>0</v>
      </c>
      <c r="H18" s="474">
        <v>3.39E-2</v>
      </c>
      <c r="I18" s="469"/>
      <c r="J18" s="469"/>
      <c r="K18" s="470"/>
      <c r="L18" s="471"/>
      <c r="M18" s="422"/>
      <c r="N18" s="422"/>
      <c r="O18" s="423"/>
      <c r="P18" s="468"/>
      <c r="Q18" s="469"/>
      <c r="R18" s="470"/>
      <c r="S18" s="468"/>
      <c r="T18" s="469"/>
      <c r="U18" s="468"/>
      <c r="V18" s="470"/>
      <c r="X18" s="183">
        <f>'Q (t)'!G18</f>
        <v>242803475</v>
      </c>
      <c r="Y18" s="184">
        <f>'Q (t)'!H18</f>
        <v>2657800</v>
      </c>
      <c r="Z18" s="176">
        <f>'Q (t)'!I18</f>
        <v>0</v>
      </c>
      <c r="AA18" s="176">
        <f>'Q (t)'!J18</f>
        <v>0</v>
      </c>
      <c r="AB18" s="177">
        <f>'Q (t)'!K18</f>
        <v>0</v>
      </c>
      <c r="AC18" s="178">
        <f>'Q (t)'!L18</f>
        <v>0</v>
      </c>
      <c r="AD18" s="185">
        <f>'Q (t)'!M18</f>
        <v>0</v>
      </c>
      <c r="AE18" s="185">
        <f>'Q (t)'!N18</f>
        <v>0</v>
      </c>
      <c r="AF18" s="186">
        <f>'Q (t)'!O18</f>
        <v>0</v>
      </c>
      <c r="AG18" s="175">
        <f>'Q (t)'!P18</f>
        <v>0</v>
      </c>
      <c r="AH18" s="176">
        <f>'Q (t)'!Q18</f>
        <v>0</v>
      </c>
      <c r="AI18" s="177">
        <f>'Q (t)'!R18</f>
        <v>0</v>
      </c>
      <c r="AJ18" s="175">
        <f>'Q (t)'!S18</f>
        <v>0</v>
      </c>
      <c r="AK18" s="176">
        <f>'Q (t)'!T18</f>
        <v>0</v>
      </c>
      <c r="AL18" s="175">
        <f>'Q (t)'!U18</f>
        <v>0</v>
      </c>
      <c r="AM18" s="177">
        <f>'Q (t)'!V18</f>
        <v>0</v>
      </c>
      <c r="AO18" s="183">
        <f t="shared" si="2"/>
        <v>0</v>
      </c>
      <c r="AP18" s="184">
        <f t="shared" si="0"/>
        <v>90099.42</v>
      </c>
      <c r="AQ18" s="176">
        <f t="shared" si="0"/>
        <v>0</v>
      </c>
      <c r="AR18" s="176">
        <f t="shared" si="0"/>
        <v>0</v>
      </c>
      <c r="AS18" s="177">
        <f t="shared" si="0"/>
        <v>0</v>
      </c>
      <c r="AT18" s="178">
        <f t="shared" si="0"/>
        <v>0</v>
      </c>
      <c r="AU18" s="185">
        <f t="shared" si="0"/>
        <v>0</v>
      </c>
      <c r="AV18" s="185">
        <f t="shared" si="0"/>
        <v>0</v>
      </c>
      <c r="AW18" s="186">
        <f t="shared" si="0"/>
        <v>0</v>
      </c>
      <c r="AX18" s="175">
        <f t="shared" si="1"/>
        <v>0</v>
      </c>
      <c r="AY18" s="176">
        <f t="shared" si="1"/>
        <v>0</v>
      </c>
      <c r="AZ18" s="177">
        <f t="shared" si="1"/>
        <v>0</v>
      </c>
      <c r="BA18" s="175">
        <f t="shared" si="1"/>
        <v>0</v>
      </c>
      <c r="BB18" s="176">
        <f t="shared" si="1"/>
        <v>0</v>
      </c>
      <c r="BC18" s="175">
        <f t="shared" si="1"/>
        <v>0</v>
      </c>
      <c r="BD18" s="176">
        <f t="shared" si="1"/>
        <v>0</v>
      </c>
      <c r="BE18" s="251">
        <f t="shared" si="3"/>
        <v>665215</v>
      </c>
      <c r="BF18" s="252">
        <f t="shared" si="4"/>
        <v>2657800</v>
      </c>
      <c r="BH18" s="262">
        <f>SUM(AO18)</f>
        <v>0</v>
      </c>
      <c r="BI18" s="262">
        <f>SUM(AP18:AS18)</f>
        <v>90099.42</v>
      </c>
      <c r="BJ18" s="262">
        <f>SUM(AT18:AW18)</f>
        <v>0</v>
      </c>
      <c r="BK18" s="263">
        <f>SUM(AX18:BB18)</f>
        <v>0</v>
      </c>
      <c r="BL18" s="269">
        <f>SUM(BC18:BD18)</f>
        <v>0</v>
      </c>
      <c r="BM18" s="264">
        <f t="shared" si="5"/>
        <v>90099.42</v>
      </c>
      <c r="BO18" s="732">
        <f t="shared" si="6"/>
        <v>33.9</v>
      </c>
    </row>
    <row r="19" spans="2:67" ht="15" customHeight="1" x14ac:dyDescent="0.25">
      <c r="B19" s="156">
        <f>B18+1</f>
        <v>2</v>
      </c>
      <c r="C19" s="180" t="s">
        <v>671</v>
      </c>
      <c r="D19" s="181" t="s">
        <v>671</v>
      </c>
      <c r="E19" s="182" t="s">
        <v>47</v>
      </c>
      <c r="G19" s="473">
        <f>G18</f>
        <v>0</v>
      </c>
      <c r="H19" s="474">
        <f>H18</f>
        <v>3.39E-2</v>
      </c>
      <c r="I19" s="469"/>
      <c r="J19" s="469"/>
      <c r="K19" s="470"/>
      <c r="L19" s="475">
        <v>1.7000000000000001E-2</v>
      </c>
      <c r="M19" s="422"/>
      <c r="N19" s="422"/>
      <c r="O19" s="423"/>
      <c r="P19" s="468"/>
      <c r="Q19" s="469"/>
      <c r="R19" s="470"/>
      <c r="S19" s="468"/>
      <c r="T19" s="469"/>
      <c r="U19" s="468"/>
      <c r="V19" s="470"/>
      <c r="X19" s="183">
        <f>'Q (t)'!G19</f>
        <v>0</v>
      </c>
      <c r="Y19" s="184">
        <f>'Q (t)'!H19</f>
        <v>0</v>
      </c>
      <c r="Z19" s="176">
        <f>'Q (t)'!I19</f>
        <v>0</v>
      </c>
      <c r="AA19" s="176">
        <f>'Q (t)'!J19</f>
        <v>0</v>
      </c>
      <c r="AB19" s="177">
        <f>'Q (t)'!K19</f>
        <v>0</v>
      </c>
      <c r="AC19" s="178">
        <f>'Q (t)'!L19</f>
        <v>361600</v>
      </c>
      <c r="AD19" s="185">
        <f>'Q (t)'!M19</f>
        <v>0</v>
      </c>
      <c r="AE19" s="185">
        <f>'Q (t)'!N19</f>
        <v>0</v>
      </c>
      <c r="AF19" s="186">
        <f>'Q (t)'!O19</f>
        <v>0</v>
      </c>
      <c r="AG19" s="175">
        <f>'Q (t)'!P19</f>
        <v>0</v>
      </c>
      <c r="AH19" s="176">
        <f>'Q (t)'!Q19</f>
        <v>0</v>
      </c>
      <c r="AI19" s="177">
        <f>'Q (t)'!R19</f>
        <v>0</v>
      </c>
      <c r="AJ19" s="175">
        <f>'Q (t)'!S19</f>
        <v>0</v>
      </c>
      <c r="AK19" s="176">
        <f>'Q (t)'!T19</f>
        <v>0</v>
      </c>
      <c r="AL19" s="175">
        <f>'Q (t)'!U19</f>
        <v>0</v>
      </c>
      <c r="AM19" s="177">
        <f>'Q (t)'!V19</f>
        <v>0</v>
      </c>
      <c r="AO19" s="183">
        <f t="shared" si="2"/>
        <v>0</v>
      </c>
      <c r="AP19" s="184">
        <f t="shared" si="0"/>
        <v>0</v>
      </c>
      <c r="AQ19" s="176">
        <f t="shared" si="0"/>
        <v>0</v>
      </c>
      <c r="AR19" s="176">
        <f t="shared" si="0"/>
        <v>0</v>
      </c>
      <c r="AS19" s="177">
        <f t="shared" si="0"/>
        <v>0</v>
      </c>
      <c r="AT19" s="178">
        <f t="shared" si="0"/>
        <v>6147.2000000000007</v>
      </c>
      <c r="AU19" s="185">
        <f t="shared" si="0"/>
        <v>0</v>
      </c>
      <c r="AV19" s="185">
        <f t="shared" si="0"/>
        <v>0</v>
      </c>
      <c r="AW19" s="186">
        <f t="shared" si="0"/>
        <v>0</v>
      </c>
      <c r="AX19" s="175">
        <f t="shared" si="1"/>
        <v>0</v>
      </c>
      <c r="AY19" s="176">
        <f t="shared" si="1"/>
        <v>0</v>
      </c>
      <c r="AZ19" s="177">
        <f t="shared" si="1"/>
        <v>0</v>
      </c>
      <c r="BA19" s="175">
        <f t="shared" si="1"/>
        <v>0</v>
      </c>
      <c r="BB19" s="176">
        <f t="shared" si="1"/>
        <v>0</v>
      </c>
      <c r="BC19" s="175">
        <f t="shared" si="1"/>
        <v>0</v>
      </c>
      <c r="BD19" s="176">
        <f t="shared" si="1"/>
        <v>0</v>
      </c>
      <c r="BE19" s="251">
        <f t="shared" si="3"/>
        <v>0</v>
      </c>
      <c r="BF19" s="252">
        <f t="shared" si="4"/>
        <v>361600</v>
      </c>
      <c r="BH19" s="262">
        <f>SUM(AO19)</f>
        <v>0</v>
      </c>
      <c r="BI19" s="262">
        <f>SUM(AP19:AS19)</f>
        <v>0</v>
      </c>
      <c r="BJ19" s="262">
        <f>SUM(AT19:AW19)</f>
        <v>6147.2000000000007</v>
      </c>
      <c r="BK19" s="263">
        <f>SUM(AX19:BB19)</f>
        <v>0</v>
      </c>
      <c r="BL19" s="269">
        <f>SUM(BC19:BD19)</f>
        <v>0</v>
      </c>
      <c r="BM19" s="264">
        <f t="shared" si="5"/>
        <v>6147.2000000000007</v>
      </c>
      <c r="BO19" s="732">
        <f t="shared" si="6"/>
        <v>17.000000000000004</v>
      </c>
    </row>
    <row r="20" spans="2:67" ht="15" customHeight="1" x14ac:dyDescent="0.25">
      <c r="B20" s="172"/>
      <c r="C20" s="126" t="s">
        <v>48</v>
      </c>
      <c r="D20" s="173"/>
      <c r="E20" s="145"/>
      <c r="G20" s="467"/>
      <c r="H20" s="468"/>
      <c r="I20" s="469"/>
      <c r="J20" s="469"/>
      <c r="K20" s="470"/>
      <c r="L20" s="469"/>
      <c r="M20" s="469"/>
      <c r="N20" s="469"/>
      <c r="O20" s="470"/>
      <c r="P20" s="468"/>
      <c r="Q20" s="469"/>
      <c r="R20" s="470"/>
      <c r="S20" s="468"/>
      <c r="T20" s="469"/>
      <c r="U20" s="468"/>
      <c r="V20" s="470"/>
      <c r="X20" s="174">
        <f>'Q (t)'!G20</f>
        <v>0</v>
      </c>
      <c r="Y20" s="175">
        <f>'Q (t)'!H20</f>
        <v>0</v>
      </c>
      <c r="Z20" s="176">
        <f>'Q (t)'!I20</f>
        <v>0</v>
      </c>
      <c r="AA20" s="176">
        <f>'Q (t)'!J20</f>
        <v>0</v>
      </c>
      <c r="AB20" s="177">
        <f>'Q (t)'!K20</f>
        <v>0</v>
      </c>
      <c r="AC20" s="176">
        <f>'Q (t)'!L20</f>
        <v>0</v>
      </c>
      <c r="AD20" s="176">
        <f>'Q (t)'!M20</f>
        <v>0</v>
      </c>
      <c r="AE20" s="176">
        <f>'Q (t)'!N20</f>
        <v>0</v>
      </c>
      <c r="AF20" s="177">
        <f>'Q (t)'!O20</f>
        <v>0</v>
      </c>
      <c r="AG20" s="175">
        <f>'Q (t)'!P20</f>
        <v>0</v>
      </c>
      <c r="AH20" s="176">
        <f>'Q (t)'!Q20</f>
        <v>0</v>
      </c>
      <c r="AI20" s="177">
        <f>'Q (t)'!R20</f>
        <v>0</v>
      </c>
      <c r="AJ20" s="175">
        <f>'Q (t)'!S20</f>
        <v>0</v>
      </c>
      <c r="AK20" s="176">
        <f>'Q (t)'!T20</f>
        <v>0</v>
      </c>
      <c r="AL20" s="175">
        <f>'Q (t)'!U20</f>
        <v>0</v>
      </c>
      <c r="AM20" s="177">
        <f>'Q (t)'!V20</f>
        <v>0</v>
      </c>
      <c r="AO20" s="174">
        <f t="shared" si="2"/>
        <v>0</v>
      </c>
      <c r="AP20" s="175">
        <f t="shared" si="0"/>
        <v>0</v>
      </c>
      <c r="AQ20" s="176">
        <f t="shared" si="0"/>
        <v>0</v>
      </c>
      <c r="AR20" s="176">
        <f t="shared" si="0"/>
        <v>0</v>
      </c>
      <c r="AS20" s="177">
        <f t="shared" si="0"/>
        <v>0</v>
      </c>
      <c r="AT20" s="176">
        <f t="shared" si="0"/>
        <v>0</v>
      </c>
      <c r="AU20" s="176">
        <f t="shared" si="0"/>
        <v>0</v>
      </c>
      <c r="AV20" s="176">
        <f t="shared" si="0"/>
        <v>0</v>
      </c>
      <c r="AW20" s="177">
        <f t="shared" si="0"/>
        <v>0</v>
      </c>
      <c r="AX20" s="175">
        <f t="shared" si="1"/>
        <v>0</v>
      </c>
      <c r="AY20" s="176">
        <f t="shared" si="1"/>
        <v>0</v>
      </c>
      <c r="AZ20" s="177">
        <f t="shared" si="1"/>
        <v>0</v>
      </c>
      <c r="BA20" s="175">
        <f t="shared" si="1"/>
        <v>0</v>
      </c>
      <c r="BB20" s="176">
        <f t="shared" si="1"/>
        <v>0</v>
      </c>
      <c r="BC20" s="175">
        <f t="shared" si="1"/>
        <v>0</v>
      </c>
      <c r="BD20" s="176">
        <f t="shared" si="1"/>
        <v>0</v>
      </c>
      <c r="BE20" s="251">
        <f t="shared" si="3"/>
        <v>0</v>
      </c>
      <c r="BF20" s="252">
        <f t="shared" si="4"/>
        <v>0</v>
      </c>
      <c r="BH20" s="259">
        <f>SUBTOTAL(9,BH21:BH25)</f>
        <v>0</v>
      </c>
      <c r="BI20" s="259">
        <f t="shared" ref="BI20:BL20" si="7">SUBTOTAL(9,BI21:BI25)</f>
        <v>17056.7</v>
      </c>
      <c r="BJ20" s="259">
        <f t="shared" si="7"/>
        <v>1673.65</v>
      </c>
      <c r="BK20" s="259">
        <f t="shared" si="7"/>
        <v>0</v>
      </c>
      <c r="BL20" s="259">
        <f t="shared" si="7"/>
        <v>330.60240000000005</v>
      </c>
      <c r="BM20" s="264">
        <f t="shared" si="5"/>
        <v>19060.952400000002</v>
      </c>
      <c r="BO20" s="732" t="str">
        <f t="shared" si="6"/>
        <v/>
      </c>
    </row>
    <row r="21" spans="2:67" ht="15" customHeight="1" x14ac:dyDescent="0.25">
      <c r="B21" s="156">
        <f>B19+1</f>
        <v>3</v>
      </c>
      <c r="C21" s="180" t="s">
        <v>46</v>
      </c>
      <c r="D21" s="181" t="s">
        <v>46</v>
      </c>
      <c r="E21" s="182" t="s">
        <v>670</v>
      </c>
      <c r="G21" s="473">
        <f>G18</f>
        <v>0</v>
      </c>
      <c r="H21" s="777">
        <f>H18</f>
        <v>3.39E-2</v>
      </c>
      <c r="I21" s="469"/>
      <c r="J21" s="469"/>
      <c r="K21" s="470"/>
      <c r="L21" s="422"/>
      <c r="M21" s="778">
        <f>M23</f>
        <v>4.24E-2</v>
      </c>
      <c r="N21" s="778">
        <f t="shared" ref="N21:O21" si="8">N23</f>
        <v>1.7000000000000001E-2</v>
      </c>
      <c r="O21" s="779">
        <f t="shared" si="8"/>
        <v>8.5000000000000006E-3</v>
      </c>
      <c r="P21" s="468"/>
      <c r="Q21" s="469"/>
      <c r="R21" s="470"/>
      <c r="S21" s="468"/>
      <c r="T21" s="469"/>
      <c r="U21" s="468"/>
      <c r="V21" s="470"/>
      <c r="X21" s="183">
        <f>'Q (t)'!G21</f>
        <v>0</v>
      </c>
      <c r="Y21" s="175">
        <f>'Q (t)'!H21</f>
        <v>0</v>
      </c>
      <c r="Z21" s="178">
        <f>'Q (t)'!I21</f>
        <v>0</v>
      </c>
      <c r="AA21" s="178">
        <f>'Q (t)'!J21</f>
        <v>0</v>
      </c>
      <c r="AB21" s="179">
        <f>'Q (t)'!K21</f>
        <v>0</v>
      </c>
      <c r="AC21" s="185">
        <f>'Q (t)'!L21</f>
        <v>0</v>
      </c>
      <c r="AD21" s="185">
        <f>'Q (t)'!M21</f>
        <v>0</v>
      </c>
      <c r="AE21" s="185">
        <f>'Q (t)'!N21</f>
        <v>0</v>
      </c>
      <c r="AF21" s="186">
        <f>'Q (t)'!O21</f>
        <v>0</v>
      </c>
      <c r="AG21" s="175">
        <f>'Q (t)'!P21</f>
        <v>0</v>
      </c>
      <c r="AH21" s="176">
        <f>'Q (t)'!Q21</f>
        <v>0</v>
      </c>
      <c r="AI21" s="177">
        <f>'Q (t)'!R21</f>
        <v>0</v>
      </c>
      <c r="AJ21" s="175">
        <f>'Q (t)'!S21</f>
        <v>0</v>
      </c>
      <c r="AK21" s="176">
        <f>'Q (t)'!T21</f>
        <v>0</v>
      </c>
      <c r="AL21" s="175">
        <f>'Q (t)'!U21</f>
        <v>0</v>
      </c>
      <c r="AM21" s="177">
        <f>'Q (t)'!V21</f>
        <v>0</v>
      </c>
      <c r="AO21" s="183">
        <f t="shared" ref="AO21" si="9">G21*X21/1000</f>
        <v>0</v>
      </c>
      <c r="AP21" s="175">
        <f t="shared" ref="AP21" si="10">H21*Y21</f>
        <v>0</v>
      </c>
      <c r="AQ21" s="178">
        <f t="shared" ref="AQ21" si="11">I21*Z21</f>
        <v>0</v>
      </c>
      <c r="AR21" s="178">
        <f t="shared" ref="AR21" si="12">J21*AA21</f>
        <v>0</v>
      </c>
      <c r="AS21" s="179">
        <f t="shared" ref="AS21" si="13">K21*AB21</f>
        <v>0</v>
      </c>
      <c r="AT21" s="185">
        <f t="shared" ref="AT21" si="14">L21*AC21</f>
        <v>0</v>
      </c>
      <c r="AU21" s="185">
        <f t="shared" ref="AU21" si="15">M21*AD21</f>
        <v>0</v>
      </c>
      <c r="AV21" s="185">
        <f t="shared" ref="AV21" si="16">N21*AE21</f>
        <v>0</v>
      </c>
      <c r="AW21" s="186">
        <f t="shared" ref="AW21" si="17">O21*AF21</f>
        <v>0</v>
      </c>
      <c r="AX21" s="175">
        <f t="shared" ref="AX21:BD21" si="18">P21*AG21/1000</f>
        <v>0</v>
      </c>
      <c r="AY21" s="176">
        <f t="shared" si="18"/>
        <v>0</v>
      </c>
      <c r="AZ21" s="177">
        <f t="shared" si="18"/>
        <v>0</v>
      </c>
      <c r="BA21" s="175">
        <f t="shared" si="18"/>
        <v>0</v>
      </c>
      <c r="BB21" s="176">
        <f t="shared" si="18"/>
        <v>0</v>
      </c>
      <c r="BC21" s="175">
        <f t="shared" si="18"/>
        <v>0</v>
      </c>
      <c r="BD21" s="176">
        <f t="shared" si="18"/>
        <v>0</v>
      </c>
      <c r="BE21" s="251">
        <f t="shared" ref="BE21" si="19">X21/$BE$7</f>
        <v>0</v>
      </c>
      <c r="BF21" s="252">
        <f t="shared" ref="BF21" si="20">SUM(Y21:AF21)</f>
        <v>0</v>
      </c>
      <c r="BH21" s="262">
        <f>SUM(AO21)</f>
        <v>0</v>
      </c>
      <c r="BI21" s="262">
        <f>SUM(AP21:AS21)</f>
        <v>0</v>
      </c>
      <c r="BJ21" s="262">
        <f>SUM(AT21:AW21)</f>
        <v>0</v>
      </c>
      <c r="BK21" s="263">
        <f>SUM(AX21:BB21)</f>
        <v>0</v>
      </c>
      <c r="BL21" s="269">
        <f>SUM(BC21:BD21)</f>
        <v>0</v>
      </c>
      <c r="BM21" s="264">
        <f t="shared" ref="BM21" si="21">SUM(BH21:BL21)</f>
        <v>0</v>
      </c>
      <c r="BO21" s="732" t="str">
        <f t="shared" ref="BO21" si="22">IF(BF21=0,"",BM21*1000/BF21)</f>
        <v/>
      </c>
    </row>
    <row r="22" spans="2:67" ht="15" customHeight="1" x14ac:dyDescent="0.25">
      <c r="B22" s="156">
        <f>B21+1</f>
        <v>4</v>
      </c>
      <c r="C22" s="180" t="s">
        <v>49</v>
      </c>
      <c r="D22" s="181" t="s">
        <v>49</v>
      </c>
      <c r="E22" s="182" t="s">
        <v>50</v>
      </c>
      <c r="G22" s="473">
        <v>0</v>
      </c>
      <c r="H22" s="468"/>
      <c r="I22" s="475">
        <v>4.24E-2</v>
      </c>
      <c r="J22" s="475">
        <v>1.7000000000000001E-2</v>
      </c>
      <c r="K22" s="476">
        <v>8.5000000000000006E-3</v>
      </c>
      <c r="L22" s="422"/>
      <c r="M22" s="422"/>
      <c r="N22" s="422"/>
      <c r="O22" s="423"/>
      <c r="P22" s="468"/>
      <c r="Q22" s="469"/>
      <c r="R22" s="470"/>
      <c r="S22" s="468"/>
      <c r="T22" s="469"/>
      <c r="U22" s="468"/>
      <c r="V22" s="470"/>
      <c r="X22" s="183">
        <f>'Q (t)'!G22</f>
        <v>47156905</v>
      </c>
      <c r="Y22" s="175">
        <f>'Q (t)'!H22</f>
        <v>0</v>
      </c>
      <c r="Z22" s="178">
        <f>'Q (t)'!I22</f>
        <v>352600</v>
      </c>
      <c r="AA22" s="178">
        <f>'Q (t)'!J22</f>
        <v>67700</v>
      </c>
      <c r="AB22" s="179">
        <f>'Q (t)'!K22</f>
        <v>104400</v>
      </c>
      <c r="AC22" s="185">
        <f>'Q (t)'!L22</f>
        <v>0</v>
      </c>
      <c r="AD22" s="185">
        <f>'Q (t)'!M22</f>
        <v>0</v>
      </c>
      <c r="AE22" s="185">
        <f>'Q (t)'!N22</f>
        <v>0</v>
      </c>
      <c r="AF22" s="186">
        <f>'Q (t)'!O22</f>
        <v>0</v>
      </c>
      <c r="AG22" s="175">
        <f>'Q (t)'!P22</f>
        <v>0</v>
      </c>
      <c r="AH22" s="176">
        <f>'Q (t)'!Q22</f>
        <v>0</v>
      </c>
      <c r="AI22" s="177">
        <f>'Q (t)'!R22</f>
        <v>0</v>
      </c>
      <c r="AJ22" s="175">
        <f>'Q (t)'!S22</f>
        <v>0</v>
      </c>
      <c r="AK22" s="176">
        <f>'Q (t)'!T22</f>
        <v>0</v>
      </c>
      <c r="AL22" s="175">
        <f>'Q (t)'!U22</f>
        <v>0</v>
      </c>
      <c r="AM22" s="177">
        <f>'Q (t)'!V22</f>
        <v>0</v>
      </c>
      <c r="AO22" s="183">
        <f t="shared" si="2"/>
        <v>0</v>
      </c>
      <c r="AP22" s="175">
        <f t="shared" si="0"/>
        <v>0</v>
      </c>
      <c r="AQ22" s="178">
        <f t="shared" si="0"/>
        <v>14950.24</v>
      </c>
      <c r="AR22" s="178">
        <f t="shared" si="0"/>
        <v>1150.9000000000001</v>
      </c>
      <c r="AS22" s="179">
        <f t="shared" si="0"/>
        <v>887.40000000000009</v>
      </c>
      <c r="AT22" s="185">
        <f t="shared" si="0"/>
        <v>0</v>
      </c>
      <c r="AU22" s="185">
        <f t="shared" si="0"/>
        <v>0</v>
      </c>
      <c r="AV22" s="185">
        <f t="shared" si="0"/>
        <v>0</v>
      </c>
      <c r="AW22" s="186">
        <f t="shared" si="0"/>
        <v>0</v>
      </c>
      <c r="AX22" s="175">
        <f t="shared" si="1"/>
        <v>0</v>
      </c>
      <c r="AY22" s="176">
        <f t="shared" si="1"/>
        <v>0</v>
      </c>
      <c r="AZ22" s="177">
        <f t="shared" si="1"/>
        <v>0</v>
      </c>
      <c r="BA22" s="175">
        <f t="shared" si="1"/>
        <v>0</v>
      </c>
      <c r="BB22" s="176">
        <f t="shared" si="1"/>
        <v>0</v>
      </c>
      <c r="BC22" s="175">
        <f t="shared" si="1"/>
        <v>0</v>
      </c>
      <c r="BD22" s="176">
        <f t="shared" si="1"/>
        <v>0</v>
      </c>
      <c r="BE22" s="251">
        <f t="shared" si="3"/>
        <v>129197</v>
      </c>
      <c r="BF22" s="252">
        <f t="shared" si="4"/>
        <v>524700</v>
      </c>
      <c r="BH22" s="262">
        <f>SUM(AO22)</f>
        <v>0</v>
      </c>
      <c r="BI22" s="262">
        <f>SUM(AP22:AS22)</f>
        <v>16988.54</v>
      </c>
      <c r="BJ22" s="262">
        <f>SUM(AT22:AW22)</f>
        <v>0</v>
      </c>
      <c r="BK22" s="263">
        <f>SUM(AX22:BB22)</f>
        <v>0</v>
      </c>
      <c r="BL22" s="269">
        <f>SUM(BC22:BD22)</f>
        <v>0</v>
      </c>
      <c r="BM22" s="264">
        <f t="shared" si="5"/>
        <v>16988.54</v>
      </c>
      <c r="BO22" s="732">
        <f t="shared" si="6"/>
        <v>32.377625309700782</v>
      </c>
    </row>
    <row r="23" spans="2:67" ht="15" customHeight="1" x14ac:dyDescent="0.25">
      <c r="B23" s="156">
        <f t="shared" ref="B23:B25" si="23">B22+1</f>
        <v>5</v>
      </c>
      <c r="C23" s="180" t="s">
        <v>51</v>
      </c>
      <c r="D23" s="181" t="s">
        <v>51</v>
      </c>
      <c r="E23" s="182" t="s">
        <v>52</v>
      </c>
      <c r="G23" s="473">
        <f>G22</f>
        <v>0</v>
      </c>
      <c r="H23" s="468"/>
      <c r="I23" s="475">
        <f>I22</f>
        <v>4.24E-2</v>
      </c>
      <c r="J23" s="475">
        <f>J22</f>
        <v>1.7000000000000001E-2</v>
      </c>
      <c r="K23" s="476">
        <f>K22</f>
        <v>8.5000000000000006E-3</v>
      </c>
      <c r="L23" s="422"/>
      <c r="M23" s="475">
        <v>4.24E-2</v>
      </c>
      <c r="N23" s="475">
        <v>1.7000000000000001E-2</v>
      </c>
      <c r="O23" s="475">
        <v>8.5000000000000006E-3</v>
      </c>
      <c r="P23" s="468"/>
      <c r="Q23" s="469"/>
      <c r="R23" s="470"/>
      <c r="S23" s="468"/>
      <c r="T23" s="469"/>
      <c r="U23" s="468"/>
      <c r="V23" s="470"/>
      <c r="X23" s="183">
        <f>'Q (t)'!G23</f>
        <v>0</v>
      </c>
      <c r="Y23" s="175">
        <f>'Q (t)'!H23</f>
        <v>0</v>
      </c>
      <c r="Z23" s="178">
        <f>'Q (t)'!I23</f>
        <v>0</v>
      </c>
      <c r="AA23" s="178">
        <f>'Q (t)'!J23</f>
        <v>0</v>
      </c>
      <c r="AB23" s="179">
        <f>'Q (t)'!K23</f>
        <v>0</v>
      </c>
      <c r="AC23" s="185">
        <f>'Q (t)'!L23</f>
        <v>0</v>
      </c>
      <c r="AD23" s="178">
        <f>'Q (t)'!M23</f>
        <v>0</v>
      </c>
      <c r="AE23" s="178">
        <f>'Q (t)'!N23</f>
        <v>87500</v>
      </c>
      <c r="AF23" s="178">
        <f>'Q (t)'!O23</f>
        <v>21900</v>
      </c>
      <c r="AG23" s="175">
        <f>'Q (t)'!P23</f>
        <v>0</v>
      </c>
      <c r="AH23" s="176">
        <f>'Q (t)'!Q23</f>
        <v>0</v>
      </c>
      <c r="AI23" s="177">
        <f>'Q (t)'!R23</f>
        <v>0</v>
      </c>
      <c r="AJ23" s="175">
        <f>'Q (t)'!S23</f>
        <v>0</v>
      </c>
      <c r="AK23" s="176">
        <f>'Q (t)'!T23</f>
        <v>0</v>
      </c>
      <c r="AL23" s="175">
        <f>'Q (t)'!U23</f>
        <v>0</v>
      </c>
      <c r="AM23" s="177">
        <f>'Q (t)'!V23</f>
        <v>0</v>
      </c>
      <c r="AO23" s="183">
        <f t="shared" si="2"/>
        <v>0</v>
      </c>
      <c r="AP23" s="175">
        <f t="shared" si="0"/>
        <v>0</v>
      </c>
      <c r="AQ23" s="178">
        <f t="shared" si="0"/>
        <v>0</v>
      </c>
      <c r="AR23" s="178">
        <f t="shared" si="0"/>
        <v>0</v>
      </c>
      <c r="AS23" s="179">
        <f t="shared" si="0"/>
        <v>0</v>
      </c>
      <c r="AT23" s="185">
        <f t="shared" si="0"/>
        <v>0</v>
      </c>
      <c r="AU23" s="178">
        <f t="shared" si="0"/>
        <v>0</v>
      </c>
      <c r="AV23" s="178">
        <f t="shared" si="0"/>
        <v>1487.5</v>
      </c>
      <c r="AW23" s="178">
        <f t="shared" si="0"/>
        <v>186.15</v>
      </c>
      <c r="AX23" s="175">
        <f t="shared" si="1"/>
        <v>0</v>
      </c>
      <c r="AY23" s="176">
        <f t="shared" si="1"/>
        <v>0</v>
      </c>
      <c r="AZ23" s="177">
        <f t="shared" si="1"/>
        <v>0</v>
      </c>
      <c r="BA23" s="175">
        <f t="shared" si="1"/>
        <v>0</v>
      </c>
      <c r="BB23" s="176">
        <f t="shared" si="1"/>
        <v>0</v>
      </c>
      <c r="BC23" s="175">
        <f t="shared" si="1"/>
        <v>0</v>
      </c>
      <c r="BD23" s="176">
        <f t="shared" si="1"/>
        <v>0</v>
      </c>
      <c r="BE23" s="251">
        <f t="shared" si="3"/>
        <v>0</v>
      </c>
      <c r="BF23" s="252">
        <f t="shared" si="4"/>
        <v>109400</v>
      </c>
      <c r="BH23" s="262">
        <f>SUM(AO23)</f>
        <v>0</v>
      </c>
      <c r="BI23" s="262">
        <f>SUM(AP23:AS23)</f>
        <v>0</v>
      </c>
      <c r="BJ23" s="262">
        <f>SUM(AT23:AW23)</f>
        <v>1673.65</v>
      </c>
      <c r="BK23" s="263">
        <f>SUM(AX23:BB23)</f>
        <v>0</v>
      </c>
      <c r="BL23" s="269">
        <f>SUM(BC23:BD23)</f>
        <v>0</v>
      </c>
      <c r="BM23" s="264">
        <f t="shared" si="5"/>
        <v>1673.65</v>
      </c>
      <c r="BO23" s="732">
        <f t="shared" si="6"/>
        <v>15.298446069469836</v>
      </c>
    </row>
    <row r="24" spans="2:67" ht="15" customHeight="1" x14ac:dyDescent="0.25">
      <c r="B24" s="156">
        <f t="shared" si="23"/>
        <v>6</v>
      </c>
      <c r="C24" s="180" t="s">
        <v>53</v>
      </c>
      <c r="D24" s="181" t="s">
        <v>53</v>
      </c>
      <c r="E24" s="182" t="s">
        <v>54</v>
      </c>
      <c r="G24" s="473">
        <v>0</v>
      </c>
      <c r="H24" s="468"/>
      <c r="I24" s="475">
        <v>2.5399999999999999E-2</v>
      </c>
      <c r="J24" s="475">
        <v>1.0200000000000001E-2</v>
      </c>
      <c r="K24" s="476">
        <v>5.1000000000000004E-3</v>
      </c>
      <c r="L24" s="422"/>
      <c r="M24" s="422"/>
      <c r="N24" s="422"/>
      <c r="O24" s="423"/>
      <c r="P24" s="468"/>
      <c r="Q24" s="469"/>
      <c r="R24" s="470"/>
      <c r="S24" s="468"/>
      <c r="T24" s="469"/>
      <c r="U24" s="474">
        <v>0.18870000000000001</v>
      </c>
      <c r="V24" s="470"/>
      <c r="X24" s="183">
        <f>'Q (t)'!G24</f>
        <v>1460000</v>
      </c>
      <c r="Y24" s="175">
        <f>'Q (t)'!H24</f>
        <v>0</v>
      </c>
      <c r="Z24" s="178">
        <f>'Q (t)'!I24</f>
        <v>1800</v>
      </c>
      <c r="AA24" s="178">
        <f>'Q (t)'!J24</f>
        <v>1700</v>
      </c>
      <c r="AB24" s="179">
        <f>'Q (t)'!K24</f>
        <v>1000</v>
      </c>
      <c r="AC24" s="185">
        <f>'Q (t)'!L24</f>
        <v>0</v>
      </c>
      <c r="AD24" s="185">
        <f>'Q (t)'!M24</f>
        <v>0</v>
      </c>
      <c r="AE24" s="185">
        <f>'Q (t)'!N24</f>
        <v>0</v>
      </c>
      <c r="AF24" s="186">
        <f>'Q (t)'!O24</f>
        <v>0</v>
      </c>
      <c r="AG24" s="175">
        <f>'Q (t)'!P24</f>
        <v>0</v>
      </c>
      <c r="AH24" s="176">
        <f>'Q (t)'!Q24</f>
        <v>0</v>
      </c>
      <c r="AI24" s="177">
        <f>'Q (t)'!R24</f>
        <v>0</v>
      </c>
      <c r="AJ24" s="175">
        <f>'Q (t)'!S24</f>
        <v>0</v>
      </c>
      <c r="AK24" s="176">
        <f>'Q (t)'!T24</f>
        <v>0</v>
      </c>
      <c r="AL24" s="184">
        <f>'Q (t)'!U24</f>
        <v>1752000</v>
      </c>
      <c r="AM24" s="177">
        <f>'Q (t)'!V24</f>
        <v>0</v>
      </c>
      <c r="AO24" s="183">
        <f t="shared" si="2"/>
        <v>0</v>
      </c>
      <c r="AP24" s="175">
        <f t="shared" si="0"/>
        <v>0</v>
      </c>
      <c r="AQ24" s="178">
        <f t="shared" si="0"/>
        <v>45.72</v>
      </c>
      <c r="AR24" s="178">
        <f t="shared" si="0"/>
        <v>17.34</v>
      </c>
      <c r="AS24" s="179">
        <f t="shared" si="0"/>
        <v>5.1000000000000005</v>
      </c>
      <c r="AT24" s="185">
        <f t="shared" si="0"/>
        <v>0</v>
      </c>
      <c r="AU24" s="185">
        <f t="shared" si="0"/>
        <v>0</v>
      </c>
      <c r="AV24" s="185">
        <f t="shared" si="0"/>
        <v>0</v>
      </c>
      <c r="AW24" s="186">
        <f t="shared" si="0"/>
        <v>0</v>
      </c>
      <c r="AX24" s="175">
        <f t="shared" si="1"/>
        <v>0</v>
      </c>
      <c r="AY24" s="176">
        <f t="shared" si="1"/>
        <v>0</v>
      </c>
      <c r="AZ24" s="177">
        <f t="shared" si="1"/>
        <v>0</v>
      </c>
      <c r="BA24" s="175">
        <f t="shared" si="1"/>
        <v>0</v>
      </c>
      <c r="BB24" s="176">
        <f t="shared" si="1"/>
        <v>0</v>
      </c>
      <c r="BC24" s="184">
        <f t="shared" si="1"/>
        <v>330.60240000000005</v>
      </c>
      <c r="BD24" s="176">
        <f t="shared" si="1"/>
        <v>0</v>
      </c>
      <c r="BE24" s="251">
        <f t="shared" si="3"/>
        <v>4000</v>
      </c>
      <c r="BF24" s="252">
        <f t="shared" si="4"/>
        <v>4500</v>
      </c>
      <c r="BH24" s="262">
        <f>SUM(AO24)</f>
        <v>0</v>
      </c>
      <c r="BI24" s="262">
        <f>SUM(AP24:AS24)</f>
        <v>68.16</v>
      </c>
      <c r="BJ24" s="262">
        <f>SUM(AT24:AW24)</f>
        <v>0</v>
      </c>
      <c r="BK24" s="263">
        <f>SUM(AX24:BB24)</f>
        <v>0</v>
      </c>
      <c r="BL24" s="269">
        <f>SUM(BC24:BD24)</f>
        <v>330.60240000000005</v>
      </c>
      <c r="BM24" s="264">
        <f t="shared" si="5"/>
        <v>398.76240000000007</v>
      </c>
      <c r="BO24" s="732">
        <f t="shared" si="6"/>
        <v>88.613866666666681</v>
      </c>
    </row>
    <row r="25" spans="2:67" ht="15" customHeight="1" x14ac:dyDescent="0.25">
      <c r="B25" s="162">
        <f t="shared" si="23"/>
        <v>7</v>
      </c>
      <c r="C25" s="187" t="s">
        <v>55</v>
      </c>
      <c r="D25" s="188" t="s">
        <v>55</v>
      </c>
      <c r="E25" s="189" t="s">
        <v>56</v>
      </c>
      <c r="G25" s="477">
        <f>G24</f>
        <v>0</v>
      </c>
      <c r="H25" s="478"/>
      <c r="I25" s="479">
        <f>I24</f>
        <v>2.5399999999999999E-2</v>
      </c>
      <c r="J25" s="479">
        <f>J24</f>
        <v>1.0200000000000001E-2</v>
      </c>
      <c r="K25" s="480">
        <f>K24</f>
        <v>5.1000000000000004E-3</v>
      </c>
      <c r="L25" s="424"/>
      <c r="M25" s="479">
        <f>M23</f>
        <v>4.24E-2</v>
      </c>
      <c r="N25" s="479">
        <f>N23</f>
        <v>1.7000000000000001E-2</v>
      </c>
      <c r="O25" s="479">
        <f>O23</f>
        <v>8.5000000000000006E-3</v>
      </c>
      <c r="P25" s="478"/>
      <c r="Q25" s="481"/>
      <c r="R25" s="482"/>
      <c r="S25" s="478"/>
      <c r="T25" s="481"/>
      <c r="U25" s="483">
        <f>U24</f>
        <v>0.18870000000000001</v>
      </c>
      <c r="V25" s="482"/>
      <c r="X25" s="190">
        <f>'Q (t)'!G25</f>
        <v>0</v>
      </c>
      <c r="Y25" s="191">
        <f>'Q (t)'!H25</f>
        <v>0</v>
      </c>
      <c r="Z25" s="192">
        <f>'Q (t)'!I25</f>
        <v>0</v>
      </c>
      <c r="AA25" s="192">
        <f>'Q (t)'!J25</f>
        <v>0</v>
      </c>
      <c r="AB25" s="193">
        <f>'Q (t)'!K25</f>
        <v>0</v>
      </c>
      <c r="AC25" s="194">
        <f>'Q (t)'!L25</f>
        <v>0</v>
      </c>
      <c r="AD25" s="192">
        <f>'Q (t)'!M25</f>
        <v>0</v>
      </c>
      <c r="AE25" s="192">
        <f>'Q (t)'!N25</f>
        <v>0</v>
      </c>
      <c r="AF25" s="192">
        <f>'Q (t)'!O25</f>
        <v>0</v>
      </c>
      <c r="AG25" s="191">
        <f>'Q (t)'!P25</f>
        <v>0</v>
      </c>
      <c r="AH25" s="195">
        <f>'Q (t)'!Q25</f>
        <v>0</v>
      </c>
      <c r="AI25" s="196">
        <f>'Q (t)'!R25</f>
        <v>0</v>
      </c>
      <c r="AJ25" s="191">
        <f>'Q (t)'!S25</f>
        <v>0</v>
      </c>
      <c r="AK25" s="195">
        <f>'Q (t)'!T25</f>
        <v>0</v>
      </c>
      <c r="AL25" s="197">
        <f>'Q (t)'!U25</f>
        <v>0</v>
      </c>
      <c r="AM25" s="196">
        <f>'Q (t)'!V25</f>
        <v>0</v>
      </c>
      <c r="AO25" s="190">
        <f t="shared" si="2"/>
        <v>0</v>
      </c>
      <c r="AP25" s="191">
        <f t="shared" si="0"/>
        <v>0</v>
      </c>
      <c r="AQ25" s="192">
        <f t="shared" si="0"/>
        <v>0</v>
      </c>
      <c r="AR25" s="192">
        <f t="shared" si="0"/>
        <v>0</v>
      </c>
      <c r="AS25" s="193">
        <f t="shared" si="0"/>
        <v>0</v>
      </c>
      <c r="AT25" s="194">
        <f t="shared" si="0"/>
        <v>0</v>
      </c>
      <c r="AU25" s="192">
        <f t="shared" si="0"/>
        <v>0</v>
      </c>
      <c r="AV25" s="192">
        <f t="shared" si="0"/>
        <v>0</v>
      </c>
      <c r="AW25" s="192">
        <f t="shared" si="0"/>
        <v>0</v>
      </c>
      <c r="AX25" s="191">
        <f t="shared" si="1"/>
        <v>0</v>
      </c>
      <c r="AY25" s="195">
        <f t="shared" si="1"/>
        <v>0</v>
      </c>
      <c r="AZ25" s="196">
        <f t="shared" si="1"/>
        <v>0</v>
      </c>
      <c r="BA25" s="191">
        <f t="shared" si="1"/>
        <v>0</v>
      </c>
      <c r="BB25" s="195">
        <f t="shared" si="1"/>
        <v>0</v>
      </c>
      <c r="BC25" s="197">
        <f t="shared" si="1"/>
        <v>0</v>
      </c>
      <c r="BD25" s="195">
        <f t="shared" si="1"/>
        <v>0</v>
      </c>
      <c r="BE25" s="253">
        <f t="shared" si="3"/>
        <v>0</v>
      </c>
      <c r="BF25" s="254">
        <f t="shared" si="4"/>
        <v>0</v>
      </c>
      <c r="BH25" s="262">
        <f>SUM(AO25)</f>
        <v>0</v>
      </c>
      <c r="BI25" s="262">
        <f>SUM(AP25:AS25)</f>
        <v>0</v>
      </c>
      <c r="BJ25" s="262">
        <f>SUM(AT25:AW25)</f>
        <v>0</v>
      </c>
      <c r="BK25" s="263">
        <f>SUM(AX25:BB25)</f>
        <v>0</v>
      </c>
      <c r="BL25" s="269">
        <f>SUM(BC25:BD25)</f>
        <v>0</v>
      </c>
      <c r="BM25" s="264">
        <f t="shared" si="5"/>
        <v>0</v>
      </c>
      <c r="BO25" s="732" t="str">
        <f t="shared" si="6"/>
        <v/>
      </c>
    </row>
    <row r="26" spans="2:67" ht="15" customHeight="1" x14ac:dyDescent="0.25">
      <c r="B26" s="167" t="s">
        <v>57</v>
      </c>
      <c r="C26" s="151" t="s">
        <v>58</v>
      </c>
      <c r="D26" s="151"/>
      <c r="E26" s="148"/>
      <c r="G26" s="463"/>
      <c r="H26" s="464"/>
      <c r="I26" s="465"/>
      <c r="J26" s="465"/>
      <c r="K26" s="466"/>
      <c r="L26" s="484"/>
      <c r="M26" s="484"/>
      <c r="N26" s="484"/>
      <c r="O26" s="485"/>
      <c r="P26" s="465"/>
      <c r="Q26" s="465"/>
      <c r="R26" s="466"/>
      <c r="S26" s="464"/>
      <c r="T26" s="465"/>
      <c r="U26" s="464"/>
      <c r="V26" s="466"/>
      <c r="X26" s="168">
        <f>'Q (t)'!G26</f>
        <v>0</v>
      </c>
      <c r="Y26" s="169">
        <f>'Q (t)'!H26</f>
        <v>0</v>
      </c>
      <c r="Z26" s="170">
        <f>'Q (t)'!I26</f>
        <v>0</v>
      </c>
      <c r="AA26" s="170">
        <f>'Q (t)'!J26</f>
        <v>0</v>
      </c>
      <c r="AB26" s="171">
        <f>'Q (t)'!K26</f>
        <v>0</v>
      </c>
      <c r="AC26" s="198">
        <f>'Q (t)'!L26</f>
        <v>0</v>
      </c>
      <c r="AD26" s="198">
        <f>'Q (t)'!M26</f>
        <v>0</v>
      </c>
      <c r="AE26" s="198">
        <f>'Q (t)'!N26</f>
        <v>0</v>
      </c>
      <c r="AF26" s="199">
        <f>'Q (t)'!O26</f>
        <v>0</v>
      </c>
      <c r="AG26" s="170">
        <f>'Q (t)'!P26</f>
        <v>0</v>
      </c>
      <c r="AH26" s="170">
        <f>'Q (t)'!Q26</f>
        <v>0</v>
      </c>
      <c r="AI26" s="171">
        <f>'Q (t)'!R26</f>
        <v>0</v>
      </c>
      <c r="AJ26" s="169">
        <f>'Q (t)'!S26</f>
        <v>0</v>
      </c>
      <c r="AK26" s="170">
        <f>'Q (t)'!T26</f>
        <v>0</v>
      </c>
      <c r="AL26" s="169">
        <f>'Q (t)'!U26</f>
        <v>0</v>
      </c>
      <c r="AM26" s="171">
        <f>'Q (t)'!V26</f>
        <v>0</v>
      </c>
      <c r="AO26" s="168">
        <f t="shared" si="2"/>
        <v>0</v>
      </c>
      <c r="AP26" s="169">
        <f t="shared" si="0"/>
        <v>0</v>
      </c>
      <c r="AQ26" s="170">
        <f t="shared" si="0"/>
        <v>0</v>
      </c>
      <c r="AR26" s="170">
        <f t="shared" si="0"/>
        <v>0</v>
      </c>
      <c r="AS26" s="171">
        <f t="shared" si="0"/>
        <v>0</v>
      </c>
      <c r="AT26" s="198">
        <f t="shared" si="0"/>
        <v>0</v>
      </c>
      <c r="AU26" s="198">
        <f t="shared" si="0"/>
        <v>0</v>
      </c>
      <c r="AV26" s="198">
        <f t="shared" si="0"/>
        <v>0</v>
      </c>
      <c r="AW26" s="199">
        <f t="shared" si="0"/>
        <v>0</v>
      </c>
      <c r="AX26" s="170">
        <f t="shared" si="1"/>
        <v>0</v>
      </c>
      <c r="AY26" s="170">
        <f t="shared" si="1"/>
        <v>0</v>
      </c>
      <c r="AZ26" s="171">
        <f t="shared" si="1"/>
        <v>0</v>
      </c>
      <c r="BA26" s="169">
        <f t="shared" si="1"/>
        <v>0</v>
      </c>
      <c r="BB26" s="170">
        <f t="shared" si="1"/>
        <v>0</v>
      </c>
      <c r="BC26" s="169">
        <f t="shared" si="1"/>
        <v>0</v>
      </c>
      <c r="BD26" s="170">
        <f t="shared" si="1"/>
        <v>0</v>
      </c>
      <c r="BE26" s="249">
        <f t="shared" si="3"/>
        <v>0</v>
      </c>
      <c r="BF26" s="250">
        <f t="shared" si="4"/>
        <v>0</v>
      </c>
      <c r="BH26" s="260">
        <f>SUBTOTAL(9,BH27:BH39)</f>
        <v>0</v>
      </c>
      <c r="BI26" s="260">
        <f t="shared" ref="BI26:BL26" si="24">SUBTOTAL(9,BI27:BI39)</f>
        <v>43319.08</v>
      </c>
      <c r="BJ26" s="260">
        <f t="shared" si="24"/>
        <v>102.00000000000001</v>
      </c>
      <c r="BK26" s="260">
        <f t="shared" si="24"/>
        <v>357.14391510000002</v>
      </c>
      <c r="BL26" s="260">
        <f t="shared" si="24"/>
        <v>0</v>
      </c>
      <c r="BM26" s="264">
        <f t="shared" si="5"/>
        <v>43778.223915100003</v>
      </c>
      <c r="BO26" s="732" t="str">
        <f t="shared" si="6"/>
        <v/>
      </c>
    </row>
    <row r="27" spans="2:67" ht="15" customHeight="1" x14ac:dyDescent="0.25">
      <c r="B27" s="172"/>
      <c r="C27" s="126" t="s">
        <v>59</v>
      </c>
      <c r="D27" s="173"/>
      <c r="E27" s="145"/>
      <c r="G27" s="467"/>
      <c r="H27" s="468"/>
      <c r="I27" s="469"/>
      <c r="J27" s="469"/>
      <c r="K27" s="470"/>
      <c r="L27" s="486"/>
      <c r="M27" s="486"/>
      <c r="N27" s="486"/>
      <c r="O27" s="487"/>
      <c r="P27" s="469"/>
      <c r="Q27" s="469"/>
      <c r="R27" s="470"/>
      <c r="S27" s="468"/>
      <c r="T27" s="469"/>
      <c r="U27" s="468"/>
      <c r="V27" s="470"/>
      <c r="X27" s="174">
        <f>'Q (t)'!G27</f>
        <v>0</v>
      </c>
      <c r="Y27" s="175">
        <f>'Q (t)'!H27</f>
        <v>0</v>
      </c>
      <c r="Z27" s="176">
        <f>'Q (t)'!I27</f>
        <v>0</v>
      </c>
      <c r="AA27" s="176">
        <f>'Q (t)'!J27</f>
        <v>0</v>
      </c>
      <c r="AB27" s="177">
        <f>'Q (t)'!K27</f>
        <v>0</v>
      </c>
      <c r="AC27" s="185">
        <f>'Q (t)'!L27</f>
        <v>0</v>
      </c>
      <c r="AD27" s="185">
        <f>'Q (t)'!M27</f>
        <v>0</v>
      </c>
      <c r="AE27" s="185">
        <f>'Q (t)'!N27</f>
        <v>0</v>
      </c>
      <c r="AF27" s="186">
        <f>'Q (t)'!O27</f>
        <v>0</v>
      </c>
      <c r="AG27" s="176">
        <f>'Q (t)'!P27</f>
        <v>0</v>
      </c>
      <c r="AH27" s="176">
        <f>'Q (t)'!Q27</f>
        <v>0</v>
      </c>
      <c r="AI27" s="177">
        <f>'Q (t)'!R27</f>
        <v>0</v>
      </c>
      <c r="AJ27" s="175">
        <f>'Q (t)'!S27</f>
        <v>0</v>
      </c>
      <c r="AK27" s="176">
        <f>'Q (t)'!T27</f>
        <v>0</v>
      </c>
      <c r="AL27" s="175">
        <f>'Q (t)'!U27</f>
        <v>0</v>
      </c>
      <c r="AM27" s="177">
        <f>'Q (t)'!V27</f>
        <v>0</v>
      </c>
      <c r="AO27" s="174">
        <f t="shared" si="2"/>
        <v>0</v>
      </c>
      <c r="AP27" s="175">
        <f t="shared" si="0"/>
        <v>0</v>
      </c>
      <c r="AQ27" s="176">
        <f t="shared" si="0"/>
        <v>0</v>
      </c>
      <c r="AR27" s="176">
        <f t="shared" si="0"/>
        <v>0</v>
      </c>
      <c r="AS27" s="177">
        <f t="shared" si="0"/>
        <v>0</v>
      </c>
      <c r="AT27" s="185">
        <f t="shared" si="0"/>
        <v>0</v>
      </c>
      <c r="AU27" s="185">
        <f t="shared" si="0"/>
        <v>0</v>
      </c>
      <c r="AV27" s="185">
        <f t="shared" si="0"/>
        <v>0</v>
      </c>
      <c r="AW27" s="186">
        <f t="shared" si="0"/>
        <v>0</v>
      </c>
      <c r="AX27" s="176">
        <f t="shared" si="1"/>
        <v>0</v>
      </c>
      <c r="AY27" s="176">
        <f t="shared" si="1"/>
        <v>0</v>
      </c>
      <c r="AZ27" s="177">
        <f t="shared" si="1"/>
        <v>0</v>
      </c>
      <c r="BA27" s="175">
        <f t="shared" si="1"/>
        <v>0</v>
      </c>
      <c r="BB27" s="176">
        <f t="shared" si="1"/>
        <v>0</v>
      </c>
      <c r="BC27" s="175">
        <f t="shared" si="1"/>
        <v>0</v>
      </c>
      <c r="BD27" s="176">
        <f t="shared" si="1"/>
        <v>0</v>
      </c>
      <c r="BE27" s="251">
        <f t="shared" si="3"/>
        <v>0</v>
      </c>
      <c r="BF27" s="252">
        <f t="shared" si="4"/>
        <v>0</v>
      </c>
      <c r="BH27" s="259">
        <f>SUBTOTAL(9,BH28:BH29)</f>
        <v>0</v>
      </c>
      <c r="BI27" s="259">
        <f t="shared" ref="BI27:BL27" si="25">SUBTOTAL(9,BI28:BI29)</f>
        <v>2772</v>
      </c>
      <c r="BJ27" s="259">
        <f t="shared" si="25"/>
        <v>0</v>
      </c>
      <c r="BK27" s="267">
        <f t="shared" si="25"/>
        <v>0</v>
      </c>
      <c r="BL27" s="268">
        <f t="shared" si="25"/>
        <v>0</v>
      </c>
      <c r="BM27" s="264">
        <f t="shared" si="5"/>
        <v>2772</v>
      </c>
      <c r="BO27" s="732" t="str">
        <f t="shared" si="6"/>
        <v/>
      </c>
    </row>
    <row r="28" spans="2:67" ht="15" customHeight="1" x14ac:dyDescent="0.25">
      <c r="B28" s="156">
        <v>1</v>
      </c>
      <c r="C28" s="180" t="s">
        <v>60</v>
      </c>
      <c r="D28" s="181" t="str">
        <f t="shared" ref="D28:D29" si="26">C28</f>
        <v>LVUU</v>
      </c>
      <c r="E28" s="200" t="s">
        <v>61</v>
      </c>
      <c r="G28" s="488"/>
      <c r="H28" s="489">
        <f>0.0256-0.0004</f>
        <v>2.52E-2</v>
      </c>
      <c r="I28" s="471"/>
      <c r="J28" s="471"/>
      <c r="K28" s="472"/>
      <c r="L28" s="471"/>
      <c r="M28" s="471"/>
      <c r="N28" s="471"/>
      <c r="O28" s="472"/>
      <c r="P28" s="471"/>
      <c r="Q28" s="471"/>
      <c r="R28" s="472"/>
      <c r="S28" s="490"/>
      <c r="T28" s="471"/>
      <c r="U28" s="491"/>
      <c r="V28" s="492"/>
      <c r="X28" s="183">
        <f>'Q (t)'!G28</f>
        <v>0</v>
      </c>
      <c r="Y28" s="184">
        <f>'Q (t)'!H28</f>
        <v>93000</v>
      </c>
      <c r="Z28" s="178">
        <f>'Q (t)'!I28</f>
        <v>0</v>
      </c>
      <c r="AA28" s="178">
        <f>'Q (t)'!J28</f>
        <v>0</v>
      </c>
      <c r="AB28" s="179">
        <f>'Q (t)'!K28</f>
        <v>0</v>
      </c>
      <c r="AC28" s="178">
        <f>'Q (t)'!L28</f>
        <v>0</v>
      </c>
      <c r="AD28" s="178">
        <f>'Q (t)'!M28</f>
        <v>0</v>
      </c>
      <c r="AE28" s="178">
        <f>'Q (t)'!N28</f>
        <v>0</v>
      </c>
      <c r="AF28" s="179">
        <f>'Q (t)'!O28</f>
        <v>0</v>
      </c>
      <c r="AG28" s="178">
        <f>'Q (t)'!P28</f>
        <v>0</v>
      </c>
      <c r="AH28" s="178">
        <f>'Q (t)'!Q28</f>
        <v>0</v>
      </c>
      <c r="AI28" s="179">
        <f>'Q (t)'!R28</f>
        <v>0</v>
      </c>
      <c r="AJ28" s="184">
        <f>'Q (t)'!S28</f>
        <v>0</v>
      </c>
      <c r="AK28" s="178">
        <f>'Q (t)'!T28</f>
        <v>0</v>
      </c>
      <c r="AL28" s="184">
        <f>'Q (t)'!U28</f>
        <v>0</v>
      </c>
      <c r="AM28" s="179">
        <f>'Q (t)'!V28</f>
        <v>0</v>
      </c>
      <c r="AO28" s="183">
        <f t="shared" si="2"/>
        <v>0</v>
      </c>
      <c r="AP28" s="184">
        <f t="shared" si="0"/>
        <v>2343.6</v>
      </c>
      <c r="AQ28" s="178">
        <f t="shared" si="0"/>
        <v>0</v>
      </c>
      <c r="AR28" s="178">
        <f t="shared" si="0"/>
        <v>0</v>
      </c>
      <c r="AS28" s="179">
        <f t="shared" si="0"/>
        <v>0</v>
      </c>
      <c r="AT28" s="178">
        <f t="shared" si="0"/>
        <v>0</v>
      </c>
      <c r="AU28" s="178">
        <f t="shared" si="0"/>
        <v>0</v>
      </c>
      <c r="AV28" s="178">
        <f t="shared" si="0"/>
        <v>0</v>
      </c>
      <c r="AW28" s="179">
        <f t="shared" si="0"/>
        <v>0</v>
      </c>
      <c r="AX28" s="178">
        <f t="shared" si="1"/>
        <v>0</v>
      </c>
      <c r="AY28" s="178">
        <f t="shared" si="1"/>
        <v>0</v>
      </c>
      <c r="AZ28" s="179">
        <f t="shared" si="1"/>
        <v>0</v>
      </c>
      <c r="BA28" s="184">
        <f t="shared" si="1"/>
        <v>0</v>
      </c>
      <c r="BB28" s="178">
        <f t="shared" si="1"/>
        <v>0</v>
      </c>
      <c r="BC28" s="184">
        <f t="shared" si="1"/>
        <v>0</v>
      </c>
      <c r="BD28" s="178">
        <f t="shared" si="1"/>
        <v>0</v>
      </c>
      <c r="BE28" s="251">
        <f t="shared" si="3"/>
        <v>0</v>
      </c>
      <c r="BF28" s="252">
        <f t="shared" si="4"/>
        <v>93000</v>
      </c>
      <c r="BH28" s="262">
        <f>SUM(AO28)</f>
        <v>0</v>
      </c>
      <c r="BI28" s="262">
        <f>SUM(AP28:AS28)</f>
        <v>2343.6</v>
      </c>
      <c r="BJ28" s="262">
        <f>SUM(AT28:AW28)</f>
        <v>0</v>
      </c>
      <c r="BK28" s="263">
        <f>SUM(AX28:BB28)</f>
        <v>0</v>
      </c>
      <c r="BL28" s="269">
        <f>SUM(BC28:BD28)</f>
        <v>0</v>
      </c>
      <c r="BM28" s="264">
        <f t="shared" si="5"/>
        <v>2343.6</v>
      </c>
      <c r="BO28" s="732">
        <f t="shared" si="6"/>
        <v>25.2</v>
      </c>
    </row>
    <row r="29" spans="2:67" ht="15" customHeight="1" x14ac:dyDescent="0.25">
      <c r="B29" s="156">
        <f t="shared" ref="B29:B86" si="27">B28+1</f>
        <v>2</v>
      </c>
      <c r="C29" s="180" t="s">
        <v>62</v>
      </c>
      <c r="D29" s="181" t="str">
        <f t="shared" si="26"/>
        <v>LVUU24</v>
      </c>
      <c r="E29" s="200" t="s">
        <v>63</v>
      </c>
      <c r="G29" s="488"/>
      <c r="H29" s="489">
        <f>H28</f>
        <v>2.52E-2</v>
      </c>
      <c r="I29" s="471"/>
      <c r="J29" s="471"/>
      <c r="K29" s="472"/>
      <c r="L29" s="471"/>
      <c r="M29" s="471"/>
      <c r="N29" s="471"/>
      <c r="O29" s="472"/>
      <c r="P29" s="471"/>
      <c r="Q29" s="471"/>
      <c r="R29" s="472"/>
      <c r="S29" s="490"/>
      <c r="T29" s="471"/>
      <c r="U29" s="491"/>
      <c r="V29" s="492"/>
      <c r="X29" s="183">
        <f>'Q (t)'!G29</f>
        <v>0</v>
      </c>
      <c r="Y29" s="184">
        <f>'Q (t)'!H29</f>
        <v>17000</v>
      </c>
      <c r="Z29" s="178">
        <f>'Q (t)'!I29</f>
        <v>0</v>
      </c>
      <c r="AA29" s="178">
        <f>'Q (t)'!J29</f>
        <v>0</v>
      </c>
      <c r="AB29" s="179">
        <f>'Q (t)'!K29</f>
        <v>0</v>
      </c>
      <c r="AC29" s="178">
        <f>'Q (t)'!L29</f>
        <v>0</v>
      </c>
      <c r="AD29" s="178">
        <f>'Q (t)'!M29</f>
        <v>0</v>
      </c>
      <c r="AE29" s="178">
        <f>'Q (t)'!N29</f>
        <v>0</v>
      </c>
      <c r="AF29" s="179">
        <f>'Q (t)'!O29</f>
        <v>0</v>
      </c>
      <c r="AG29" s="178">
        <f>'Q (t)'!P29</f>
        <v>0</v>
      </c>
      <c r="AH29" s="178">
        <f>'Q (t)'!Q29</f>
        <v>0</v>
      </c>
      <c r="AI29" s="179">
        <f>'Q (t)'!R29</f>
        <v>0</v>
      </c>
      <c r="AJ29" s="184">
        <f>'Q (t)'!S29</f>
        <v>0</v>
      </c>
      <c r="AK29" s="178">
        <f>'Q (t)'!T29</f>
        <v>0</v>
      </c>
      <c r="AL29" s="184">
        <f>'Q (t)'!U29</f>
        <v>0</v>
      </c>
      <c r="AM29" s="179">
        <f>'Q (t)'!V29</f>
        <v>0</v>
      </c>
      <c r="AO29" s="183">
        <f t="shared" si="2"/>
        <v>0</v>
      </c>
      <c r="AP29" s="184">
        <f t="shared" si="0"/>
        <v>428.4</v>
      </c>
      <c r="AQ29" s="178">
        <f t="shared" si="0"/>
        <v>0</v>
      </c>
      <c r="AR29" s="178">
        <f t="shared" si="0"/>
        <v>0</v>
      </c>
      <c r="AS29" s="179">
        <f t="shared" si="0"/>
        <v>0</v>
      </c>
      <c r="AT29" s="178">
        <f t="shared" si="0"/>
        <v>0</v>
      </c>
      <c r="AU29" s="178">
        <f t="shared" si="0"/>
        <v>0</v>
      </c>
      <c r="AV29" s="178">
        <f t="shared" si="0"/>
        <v>0</v>
      </c>
      <c r="AW29" s="179">
        <f t="shared" si="0"/>
        <v>0</v>
      </c>
      <c r="AX29" s="178">
        <f t="shared" si="1"/>
        <v>0</v>
      </c>
      <c r="AY29" s="178">
        <f t="shared" si="1"/>
        <v>0</v>
      </c>
      <c r="AZ29" s="179">
        <f t="shared" si="1"/>
        <v>0</v>
      </c>
      <c r="BA29" s="184">
        <f t="shared" si="1"/>
        <v>0</v>
      </c>
      <c r="BB29" s="178">
        <f t="shared" si="1"/>
        <v>0</v>
      </c>
      <c r="BC29" s="184">
        <f t="shared" si="1"/>
        <v>0</v>
      </c>
      <c r="BD29" s="178">
        <f t="shared" si="1"/>
        <v>0</v>
      </c>
      <c r="BE29" s="251">
        <f t="shared" si="3"/>
        <v>0</v>
      </c>
      <c r="BF29" s="252">
        <f t="shared" si="4"/>
        <v>17000</v>
      </c>
      <c r="BH29" s="262">
        <f>SUM(AO29)</f>
        <v>0</v>
      </c>
      <c r="BI29" s="262">
        <f>SUM(AP29:AS29)</f>
        <v>428.4</v>
      </c>
      <c r="BJ29" s="262">
        <f>SUM(AT29:AW29)</f>
        <v>0</v>
      </c>
      <c r="BK29" s="263">
        <f>SUM(AX29:BB29)</f>
        <v>0</v>
      </c>
      <c r="BL29" s="269">
        <f>SUM(BC29:BD29)</f>
        <v>0</v>
      </c>
      <c r="BM29" s="264">
        <f t="shared" si="5"/>
        <v>428.4</v>
      </c>
      <c r="BO29" s="732">
        <f t="shared" si="6"/>
        <v>25.2</v>
      </c>
    </row>
    <row r="30" spans="2:67" ht="15" customHeight="1" x14ac:dyDescent="0.25">
      <c r="B30" s="156"/>
      <c r="C30" s="201" t="s">
        <v>64</v>
      </c>
      <c r="D30" s="202"/>
      <c r="E30" s="202"/>
      <c r="G30" s="493"/>
      <c r="H30" s="490"/>
      <c r="I30" s="471"/>
      <c r="J30" s="471"/>
      <c r="K30" s="472"/>
      <c r="L30" s="471"/>
      <c r="M30" s="471"/>
      <c r="N30" s="471"/>
      <c r="O30" s="472"/>
      <c r="P30" s="471"/>
      <c r="Q30" s="471"/>
      <c r="R30" s="472"/>
      <c r="S30" s="490"/>
      <c r="T30" s="471"/>
      <c r="U30" s="490"/>
      <c r="V30" s="472"/>
      <c r="X30" s="183">
        <f>'Q (t)'!G30</f>
        <v>0</v>
      </c>
      <c r="Y30" s="184">
        <f>'Q (t)'!H30</f>
        <v>0</v>
      </c>
      <c r="Z30" s="178">
        <f>'Q (t)'!I30</f>
        <v>0</v>
      </c>
      <c r="AA30" s="178">
        <f>'Q (t)'!J30</f>
        <v>0</v>
      </c>
      <c r="AB30" s="179">
        <f>'Q (t)'!K30</f>
        <v>0</v>
      </c>
      <c r="AC30" s="178">
        <f>'Q (t)'!L30</f>
        <v>0</v>
      </c>
      <c r="AD30" s="178">
        <f>'Q (t)'!M30</f>
        <v>0</v>
      </c>
      <c r="AE30" s="178">
        <f>'Q (t)'!N30</f>
        <v>0</v>
      </c>
      <c r="AF30" s="179">
        <f>'Q (t)'!O30</f>
        <v>0</v>
      </c>
      <c r="AG30" s="178">
        <f>'Q (t)'!P30</f>
        <v>0</v>
      </c>
      <c r="AH30" s="178">
        <f>'Q (t)'!Q30</f>
        <v>0</v>
      </c>
      <c r="AI30" s="179">
        <f>'Q (t)'!R30</f>
        <v>0</v>
      </c>
      <c r="AJ30" s="184">
        <f>'Q (t)'!S30</f>
        <v>0</v>
      </c>
      <c r="AK30" s="178">
        <f>'Q (t)'!T30</f>
        <v>0</v>
      </c>
      <c r="AL30" s="184">
        <f>'Q (t)'!U30</f>
        <v>0</v>
      </c>
      <c r="AM30" s="179">
        <f>'Q (t)'!V30</f>
        <v>0</v>
      </c>
      <c r="AO30" s="183">
        <f t="shared" si="2"/>
        <v>0</v>
      </c>
      <c r="AP30" s="184">
        <f t="shared" si="0"/>
        <v>0</v>
      </c>
      <c r="AQ30" s="178">
        <f t="shared" si="0"/>
        <v>0</v>
      </c>
      <c r="AR30" s="178">
        <f t="shared" si="0"/>
        <v>0</v>
      </c>
      <c r="AS30" s="179">
        <f t="shared" si="0"/>
        <v>0</v>
      </c>
      <c r="AT30" s="178">
        <f t="shared" si="0"/>
        <v>0</v>
      </c>
      <c r="AU30" s="178">
        <f t="shared" si="0"/>
        <v>0</v>
      </c>
      <c r="AV30" s="178">
        <f t="shared" si="0"/>
        <v>0</v>
      </c>
      <c r="AW30" s="179">
        <f t="shared" si="0"/>
        <v>0</v>
      </c>
      <c r="AX30" s="178">
        <f t="shared" si="1"/>
        <v>0</v>
      </c>
      <c r="AY30" s="178">
        <f t="shared" si="1"/>
        <v>0</v>
      </c>
      <c r="AZ30" s="179">
        <f t="shared" si="1"/>
        <v>0</v>
      </c>
      <c r="BA30" s="184">
        <f t="shared" si="1"/>
        <v>0</v>
      </c>
      <c r="BB30" s="178">
        <f t="shared" si="1"/>
        <v>0</v>
      </c>
      <c r="BC30" s="184">
        <f t="shared" si="1"/>
        <v>0</v>
      </c>
      <c r="BD30" s="178">
        <f t="shared" si="1"/>
        <v>0</v>
      </c>
      <c r="BE30" s="251">
        <f t="shared" si="3"/>
        <v>0</v>
      </c>
      <c r="BF30" s="252">
        <f t="shared" si="4"/>
        <v>0</v>
      </c>
      <c r="BH30" s="259">
        <f>SUBTOTAL(9,BH31:BH35)</f>
        <v>0</v>
      </c>
      <c r="BI30" s="259">
        <f t="shared" ref="BI30:BL30" si="28">SUBTOTAL(9,BI31:BI35)</f>
        <v>23083.200000000001</v>
      </c>
      <c r="BJ30" s="259">
        <f t="shared" si="28"/>
        <v>102.00000000000001</v>
      </c>
      <c r="BK30" s="259">
        <f t="shared" si="28"/>
        <v>0</v>
      </c>
      <c r="BL30" s="259">
        <f t="shared" si="28"/>
        <v>0</v>
      </c>
      <c r="BM30" s="264">
        <f t="shared" si="5"/>
        <v>23185.200000000001</v>
      </c>
      <c r="BO30" s="732" t="str">
        <f t="shared" si="6"/>
        <v/>
      </c>
    </row>
    <row r="31" spans="2:67" ht="15" customHeight="1" x14ac:dyDescent="0.25">
      <c r="B31" s="156">
        <f>B29+1</f>
        <v>3</v>
      </c>
      <c r="C31" s="180" t="s">
        <v>65</v>
      </c>
      <c r="D31" s="181" t="str">
        <f t="shared" ref="D31:D35" si="29">C31</f>
        <v>BSR</v>
      </c>
      <c r="E31" s="200" t="s">
        <v>66</v>
      </c>
      <c r="G31" s="488">
        <v>0</v>
      </c>
      <c r="H31" s="489">
        <v>3.7199999999999997E-2</v>
      </c>
      <c r="I31" s="471"/>
      <c r="J31" s="471"/>
      <c r="K31" s="472"/>
      <c r="L31" s="471"/>
      <c r="M31" s="471"/>
      <c r="N31" s="471"/>
      <c r="O31" s="472"/>
      <c r="P31" s="471"/>
      <c r="Q31" s="471"/>
      <c r="R31" s="472"/>
      <c r="S31" s="490"/>
      <c r="T31" s="471"/>
      <c r="U31" s="491"/>
      <c r="V31" s="492"/>
      <c r="X31" s="183">
        <f>'Q (t)'!G31</f>
        <v>17076160</v>
      </c>
      <c r="Y31" s="184">
        <f>'Q (t)'!H31</f>
        <v>339500</v>
      </c>
      <c r="Z31" s="178">
        <f>'Q (t)'!I31</f>
        <v>0</v>
      </c>
      <c r="AA31" s="178">
        <f>'Q (t)'!J31</f>
        <v>0</v>
      </c>
      <c r="AB31" s="179">
        <f>'Q (t)'!K31</f>
        <v>0</v>
      </c>
      <c r="AC31" s="178">
        <f>'Q (t)'!L31</f>
        <v>0</v>
      </c>
      <c r="AD31" s="178">
        <f>'Q (t)'!M31</f>
        <v>0</v>
      </c>
      <c r="AE31" s="178">
        <f>'Q (t)'!N31</f>
        <v>0</v>
      </c>
      <c r="AF31" s="179">
        <f>'Q (t)'!O31</f>
        <v>0</v>
      </c>
      <c r="AG31" s="178">
        <f>'Q (t)'!P31</f>
        <v>0</v>
      </c>
      <c r="AH31" s="178">
        <f>'Q (t)'!Q31</f>
        <v>0</v>
      </c>
      <c r="AI31" s="179">
        <f>'Q (t)'!R31</f>
        <v>0</v>
      </c>
      <c r="AJ31" s="184">
        <f>'Q (t)'!S31</f>
        <v>0</v>
      </c>
      <c r="AK31" s="178">
        <f>'Q (t)'!T31</f>
        <v>0</v>
      </c>
      <c r="AL31" s="184">
        <f>'Q (t)'!U31</f>
        <v>0</v>
      </c>
      <c r="AM31" s="179">
        <f>'Q (t)'!V31</f>
        <v>0</v>
      </c>
      <c r="AO31" s="183">
        <f t="shared" si="2"/>
        <v>0</v>
      </c>
      <c r="AP31" s="184">
        <f t="shared" si="0"/>
        <v>12629.4</v>
      </c>
      <c r="AQ31" s="178">
        <f t="shared" si="0"/>
        <v>0</v>
      </c>
      <c r="AR31" s="178">
        <f t="shared" si="0"/>
        <v>0</v>
      </c>
      <c r="AS31" s="179">
        <f t="shared" si="0"/>
        <v>0</v>
      </c>
      <c r="AT31" s="178">
        <f t="shared" si="0"/>
        <v>0</v>
      </c>
      <c r="AU31" s="178">
        <f t="shared" si="0"/>
        <v>0</v>
      </c>
      <c r="AV31" s="178">
        <f t="shared" si="0"/>
        <v>0</v>
      </c>
      <c r="AW31" s="179">
        <f t="shared" si="0"/>
        <v>0</v>
      </c>
      <c r="AX31" s="178">
        <f t="shared" si="1"/>
        <v>0</v>
      </c>
      <c r="AY31" s="178">
        <f t="shared" si="1"/>
        <v>0</v>
      </c>
      <c r="AZ31" s="179">
        <f t="shared" si="1"/>
        <v>0</v>
      </c>
      <c r="BA31" s="184">
        <f t="shared" si="1"/>
        <v>0</v>
      </c>
      <c r="BB31" s="178">
        <f t="shared" si="1"/>
        <v>0</v>
      </c>
      <c r="BC31" s="184">
        <f t="shared" si="1"/>
        <v>0</v>
      </c>
      <c r="BD31" s="178">
        <f t="shared" si="1"/>
        <v>0</v>
      </c>
      <c r="BE31" s="251">
        <f t="shared" si="3"/>
        <v>46784</v>
      </c>
      <c r="BF31" s="252">
        <f t="shared" si="4"/>
        <v>339500</v>
      </c>
      <c r="BH31" s="262">
        <f>SUM(AO31)</f>
        <v>0</v>
      </c>
      <c r="BI31" s="262">
        <f>SUM(AP31:AS31)</f>
        <v>12629.4</v>
      </c>
      <c r="BJ31" s="262">
        <f>SUM(AT31:AW31)</f>
        <v>0</v>
      </c>
      <c r="BK31" s="263">
        <f>SUM(AX31:BB31)</f>
        <v>0</v>
      </c>
      <c r="BL31" s="269">
        <f>SUM(BC31:BD31)</f>
        <v>0</v>
      </c>
      <c r="BM31" s="264">
        <f t="shared" si="5"/>
        <v>12629.4</v>
      </c>
      <c r="BO31" s="732">
        <f t="shared" si="6"/>
        <v>37.200000000000003</v>
      </c>
    </row>
    <row r="32" spans="2:67" ht="15" customHeight="1" x14ac:dyDescent="0.25">
      <c r="B32" s="156">
        <f t="shared" si="27"/>
        <v>4</v>
      </c>
      <c r="C32" s="180" t="s">
        <v>67</v>
      </c>
      <c r="D32" s="181" t="str">
        <f t="shared" si="29"/>
        <v>BSRCL</v>
      </c>
      <c r="E32" s="200" t="s">
        <v>68</v>
      </c>
      <c r="G32" s="488">
        <f>G31</f>
        <v>0</v>
      </c>
      <c r="H32" s="489">
        <f>H31</f>
        <v>3.7199999999999997E-2</v>
      </c>
      <c r="I32" s="471"/>
      <c r="J32" s="471"/>
      <c r="K32" s="472"/>
      <c r="L32" s="494">
        <v>1.7000000000000001E-2</v>
      </c>
      <c r="M32" s="471"/>
      <c r="N32" s="471"/>
      <c r="O32" s="472"/>
      <c r="P32" s="471"/>
      <c r="Q32" s="471"/>
      <c r="R32" s="472"/>
      <c r="S32" s="490"/>
      <c r="T32" s="471"/>
      <c r="U32" s="491"/>
      <c r="V32" s="492"/>
      <c r="X32" s="183">
        <f>'Q (t)'!G32</f>
        <v>0</v>
      </c>
      <c r="Y32" s="184">
        <f>'Q (t)'!H32</f>
        <v>0</v>
      </c>
      <c r="Z32" s="178">
        <f>'Q (t)'!I32</f>
        <v>0</v>
      </c>
      <c r="AA32" s="178">
        <f>'Q (t)'!J32</f>
        <v>0</v>
      </c>
      <c r="AB32" s="179">
        <f>'Q (t)'!K32</f>
        <v>0</v>
      </c>
      <c r="AC32" s="178">
        <f>'Q (t)'!L32</f>
        <v>3000</v>
      </c>
      <c r="AD32" s="178">
        <f>'Q (t)'!M32</f>
        <v>0</v>
      </c>
      <c r="AE32" s="178">
        <f>'Q (t)'!N32</f>
        <v>0</v>
      </c>
      <c r="AF32" s="179">
        <f>'Q (t)'!O32</f>
        <v>0</v>
      </c>
      <c r="AG32" s="178">
        <f>'Q (t)'!P32</f>
        <v>0</v>
      </c>
      <c r="AH32" s="178">
        <f>'Q (t)'!Q32</f>
        <v>0</v>
      </c>
      <c r="AI32" s="179">
        <f>'Q (t)'!R32</f>
        <v>0</v>
      </c>
      <c r="AJ32" s="184">
        <f>'Q (t)'!S32</f>
        <v>0</v>
      </c>
      <c r="AK32" s="178">
        <f>'Q (t)'!T32</f>
        <v>0</v>
      </c>
      <c r="AL32" s="184">
        <f>'Q (t)'!U32</f>
        <v>0</v>
      </c>
      <c r="AM32" s="179">
        <f>'Q (t)'!V32</f>
        <v>0</v>
      </c>
      <c r="AO32" s="183">
        <f t="shared" si="2"/>
        <v>0</v>
      </c>
      <c r="AP32" s="184">
        <f t="shared" si="0"/>
        <v>0</v>
      </c>
      <c r="AQ32" s="178">
        <f t="shared" si="0"/>
        <v>0</v>
      </c>
      <c r="AR32" s="178">
        <f t="shared" si="0"/>
        <v>0</v>
      </c>
      <c r="AS32" s="179">
        <f t="shared" si="0"/>
        <v>0</v>
      </c>
      <c r="AT32" s="178">
        <f t="shared" si="0"/>
        <v>51.000000000000007</v>
      </c>
      <c r="AU32" s="178">
        <f t="shared" si="0"/>
        <v>0</v>
      </c>
      <c r="AV32" s="178">
        <f t="shared" si="0"/>
        <v>0</v>
      </c>
      <c r="AW32" s="179">
        <f t="shared" si="0"/>
        <v>0</v>
      </c>
      <c r="AX32" s="178">
        <f t="shared" si="1"/>
        <v>0</v>
      </c>
      <c r="AY32" s="178">
        <f t="shared" si="1"/>
        <v>0</v>
      </c>
      <c r="AZ32" s="179">
        <f t="shared" si="1"/>
        <v>0</v>
      </c>
      <c r="BA32" s="184">
        <f t="shared" si="1"/>
        <v>0</v>
      </c>
      <c r="BB32" s="178">
        <f t="shared" si="1"/>
        <v>0</v>
      </c>
      <c r="BC32" s="184">
        <f t="shared" si="1"/>
        <v>0</v>
      </c>
      <c r="BD32" s="178">
        <f t="shared" si="1"/>
        <v>0</v>
      </c>
      <c r="BE32" s="251">
        <f t="shared" si="3"/>
        <v>0</v>
      </c>
      <c r="BF32" s="252">
        <f t="shared" si="4"/>
        <v>3000</v>
      </c>
      <c r="BH32" s="262">
        <f>SUM(AO32)</f>
        <v>0</v>
      </c>
      <c r="BI32" s="262">
        <f>SUM(AP32:AS32)</f>
        <v>0</v>
      </c>
      <c r="BJ32" s="262">
        <f>SUM(AT32:AW32)</f>
        <v>51.000000000000007</v>
      </c>
      <c r="BK32" s="263">
        <f>SUM(AX32:BB32)</f>
        <v>0</v>
      </c>
      <c r="BL32" s="269">
        <f>SUM(BC32:BD32)</f>
        <v>0</v>
      </c>
      <c r="BM32" s="264">
        <f t="shared" si="5"/>
        <v>51.000000000000007</v>
      </c>
      <c r="BO32" s="732">
        <f t="shared" si="6"/>
        <v>17.000000000000004</v>
      </c>
    </row>
    <row r="33" spans="2:67" ht="15" customHeight="1" x14ac:dyDescent="0.25">
      <c r="B33" s="156">
        <f t="shared" si="27"/>
        <v>5</v>
      </c>
      <c r="C33" s="180" t="s">
        <v>69</v>
      </c>
      <c r="D33" s="181" t="str">
        <f t="shared" si="29"/>
        <v>B2R</v>
      </c>
      <c r="E33" s="200" t="s">
        <v>70</v>
      </c>
      <c r="G33" s="488">
        <v>0</v>
      </c>
      <c r="H33" s="490"/>
      <c r="I33" s="475">
        <v>4.2000000000000003E-2</v>
      </c>
      <c r="J33" s="471"/>
      <c r="K33" s="476">
        <v>2.1000000000000001E-2</v>
      </c>
      <c r="L33" s="471"/>
      <c r="M33" s="471"/>
      <c r="N33" s="471"/>
      <c r="O33" s="472"/>
      <c r="P33" s="471"/>
      <c r="Q33" s="471"/>
      <c r="R33" s="472"/>
      <c r="S33" s="490"/>
      <c r="T33" s="471"/>
      <c r="U33" s="491"/>
      <c r="V33" s="492"/>
      <c r="X33" s="183">
        <f>'Q (t)'!G33</f>
        <v>8568740</v>
      </c>
      <c r="Y33" s="184">
        <f>'Q (t)'!H33</f>
        <v>0</v>
      </c>
      <c r="Z33" s="178">
        <f>'Q (t)'!I33</f>
        <v>171600</v>
      </c>
      <c r="AA33" s="178">
        <f>'Q (t)'!J33</f>
        <v>0</v>
      </c>
      <c r="AB33" s="179">
        <f>'Q (t)'!K33</f>
        <v>154600</v>
      </c>
      <c r="AC33" s="178">
        <f>'Q (t)'!L33</f>
        <v>0</v>
      </c>
      <c r="AD33" s="178">
        <f>'Q (t)'!M33</f>
        <v>0</v>
      </c>
      <c r="AE33" s="178">
        <f>'Q (t)'!N33</f>
        <v>0</v>
      </c>
      <c r="AF33" s="179">
        <f>'Q (t)'!O33</f>
        <v>0</v>
      </c>
      <c r="AG33" s="178">
        <f>'Q (t)'!P33</f>
        <v>0</v>
      </c>
      <c r="AH33" s="178">
        <f>'Q (t)'!Q33</f>
        <v>0</v>
      </c>
      <c r="AI33" s="179">
        <f>'Q (t)'!R33</f>
        <v>0</v>
      </c>
      <c r="AJ33" s="184">
        <f>'Q (t)'!S33</f>
        <v>0</v>
      </c>
      <c r="AK33" s="178">
        <f>'Q (t)'!T33</f>
        <v>0</v>
      </c>
      <c r="AL33" s="184">
        <f>'Q (t)'!U33</f>
        <v>0</v>
      </c>
      <c r="AM33" s="179">
        <f>'Q (t)'!V33</f>
        <v>0</v>
      </c>
      <c r="AO33" s="183">
        <f t="shared" si="2"/>
        <v>0</v>
      </c>
      <c r="AP33" s="184">
        <f t="shared" si="0"/>
        <v>0</v>
      </c>
      <c r="AQ33" s="178">
        <f t="shared" si="0"/>
        <v>7207.2000000000007</v>
      </c>
      <c r="AR33" s="178">
        <f t="shared" si="0"/>
        <v>0</v>
      </c>
      <c r="AS33" s="179">
        <f t="shared" si="0"/>
        <v>3246.6000000000004</v>
      </c>
      <c r="AT33" s="178">
        <f t="shared" si="0"/>
        <v>0</v>
      </c>
      <c r="AU33" s="178">
        <f t="shared" si="0"/>
        <v>0</v>
      </c>
      <c r="AV33" s="178">
        <f t="shared" si="0"/>
        <v>0</v>
      </c>
      <c r="AW33" s="179">
        <f t="shared" si="0"/>
        <v>0</v>
      </c>
      <c r="AX33" s="178">
        <f t="shared" si="1"/>
        <v>0</v>
      </c>
      <c r="AY33" s="178">
        <f t="shared" si="1"/>
        <v>0</v>
      </c>
      <c r="AZ33" s="179">
        <f t="shared" si="1"/>
        <v>0</v>
      </c>
      <c r="BA33" s="184">
        <f t="shared" si="1"/>
        <v>0</v>
      </c>
      <c r="BB33" s="178">
        <f t="shared" si="1"/>
        <v>0</v>
      </c>
      <c r="BC33" s="184">
        <f t="shared" si="1"/>
        <v>0</v>
      </c>
      <c r="BD33" s="178">
        <f t="shared" si="1"/>
        <v>0</v>
      </c>
      <c r="BE33" s="251">
        <f t="shared" si="3"/>
        <v>23476</v>
      </c>
      <c r="BF33" s="252">
        <f t="shared" si="4"/>
        <v>326200</v>
      </c>
      <c r="BH33" s="262">
        <f>SUM(AO33)</f>
        <v>0</v>
      </c>
      <c r="BI33" s="262">
        <f>SUM(AP33:AS33)</f>
        <v>10453.800000000001</v>
      </c>
      <c r="BJ33" s="262">
        <f>SUM(AT33:AW33)</f>
        <v>0</v>
      </c>
      <c r="BK33" s="263">
        <f>SUM(AX33:BB33)</f>
        <v>0</v>
      </c>
      <c r="BL33" s="269">
        <f>SUM(BC33:BD33)</f>
        <v>0</v>
      </c>
      <c r="BM33" s="264">
        <f t="shared" si="5"/>
        <v>10453.800000000001</v>
      </c>
      <c r="BO33" s="732">
        <f t="shared" si="6"/>
        <v>32.047210300429192</v>
      </c>
    </row>
    <row r="34" spans="2:67" ht="15" customHeight="1" x14ac:dyDescent="0.25">
      <c r="B34" s="156">
        <f t="shared" si="27"/>
        <v>6</v>
      </c>
      <c r="C34" s="180" t="s">
        <v>71</v>
      </c>
      <c r="D34" s="181" t="str">
        <f t="shared" si="29"/>
        <v>B2RCL</v>
      </c>
      <c r="E34" s="200" t="s">
        <v>72</v>
      </c>
      <c r="G34" s="488">
        <f>G33</f>
        <v>0</v>
      </c>
      <c r="H34" s="490"/>
      <c r="I34" s="475">
        <f>I33</f>
        <v>4.2000000000000003E-2</v>
      </c>
      <c r="J34" s="471"/>
      <c r="K34" s="476">
        <f>K33</f>
        <v>2.1000000000000001E-2</v>
      </c>
      <c r="L34" s="494">
        <f>L32</f>
        <v>1.7000000000000001E-2</v>
      </c>
      <c r="M34" s="471"/>
      <c r="N34" s="471"/>
      <c r="O34" s="472"/>
      <c r="P34" s="471"/>
      <c r="Q34" s="471"/>
      <c r="R34" s="472"/>
      <c r="S34" s="490"/>
      <c r="T34" s="471"/>
      <c r="U34" s="491"/>
      <c r="V34" s="492"/>
      <c r="X34" s="183">
        <f>'Q (t)'!G34</f>
        <v>0</v>
      </c>
      <c r="Y34" s="184">
        <f>'Q (t)'!H34</f>
        <v>0</v>
      </c>
      <c r="Z34" s="178">
        <f>'Q (t)'!I34</f>
        <v>0</v>
      </c>
      <c r="AA34" s="178">
        <f>'Q (t)'!J34</f>
        <v>0</v>
      </c>
      <c r="AB34" s="179">
        <f>'Q (t)'!K34</f>
        <v>0</v>
      </c>
      <c r="AC34" s="178">
        <f>'Q (t)'!L34</f>
        <v>2900</v>
      </c>
      <c r="AD34" s="178">
        <f>'Q (t)'!M34</f>
        <v>0</v>
      </c>
      <c r="AE34" s="178">
        <f>'Q (t)'!N34</f>
        <v>0</v>
      </c>
      <c r="AF34" s="179">
        <f>'Q (t)'!O34</f>
        <v>0</v>
      </c>
      <c r="AG34" s="178">
        <f>'Q (t)'!P34</f>
        <v>0</v>
      </c>
      <c r="AH34" s="178">
        <f>'Q (t)'!Q34</f>
        <v>0</v>
      </c>
      <c r="AI34" s="179">
        <f>'Q (t)'!R34</f>
        <v>0</v>
      </c>
      <c r="AJ34" s="184">
        <f>'Q (t)'!S34</f>
        <v>0</v>
      </c>
      <c r="AK34" s="178">
        <f>'Q (t)'!T34</f>
        <v>0</v>
      </c>
      <c r="AL34" s="184">
        <f>'Q (t)'!U34</f>
        <v>0</v>
      </c>
      <c r="AM34" s="179">
        <f>'Q (t)'!V34</f>
        <v>0</v>
      </c>
      <c r="AO34" s="183">
        <f t="shared" si="2"/>
        <v>0</v>
      </c>
      <c r="AP34" s="184">
        <f t="shared" ref="AP34:AW62" si="30">H34*Y34</f>
        <v>0</v>
      </c>
      <c r="AQ34" s="178">
        <f t="shared" si="30"/>
        <v>0</v>
      </c>
      <c r="AR34" s="178">
        <f t="shared" si="30"/>
        <v>0</v>
      </c>
      <c r="AS34" s="179">
        <f t="shared" si="30"/>
        <v>0</v>
      </c>
      <c r="AT34" s="178">
        <f t="shared" si="30"/>
        <v>49.300000000000004</v>
      </c>
      <c r="AU34" s="178">
        <f t="shared" si="30"/>
        <v>0</v>
      </c>
      <c r="AV34" s="178">
        <f t="shared" si="30"/>
        <v>0</v>
      </c>
      <c r="AW34" s="179">
        <f t="shared" si="30"/>
        <v>0</v>
      </c>
      <c r="AX34" s="178">
        <f t="shared" si="1"/>
        <v>0</v>
      </c>
      <c r="AY34" s="178">
        <f t="shared" si="1"/>
        <v>0</v>
      </c>
      <c r="AZ34" s="179">
        <f t="shared" si="1"/>
        <v>0</v>
      </c>
      <c r="BA34" s="184">
        <f t="shared" si="1"/>
        <v>0</v>
      </c>
      <c r="BB34" s="178">
        <f t="shared" si="1"/>
        <v>0</v>
      </c>
      <c r="BC34" s="184">
        <f t="shared" si="1"/>
        <v>0</v>
      </c>
      <c r="BD34" s="178">
        <f t="shared" si="1"/>
        <v>0</v>
      </c>
      <c r="BE34" s="251">
        <f t="shared" si="3"/>
        <v>0</v>
      </c>
      <c r="BF34" s="252">
        <f t="shared" si="4"/>
        <v>2900</v>
      </c>
      <c r="BH34" s="262">
        <f>SUM(AO34)</f>
        <v>0</v>
      </c>
      <c r="BI34" s="262">
        <f>SUM(AP34:AS34)</f>
        <v>0</v>
      </c>
      <c r="BJ34" s="262">
        <f>SUM(AT34:AW34)</f>
        <v>49.300000000000004</v>
      </c>
      <c r="BK34" s="263">
        <f>SUM(AX34:BB34)</f>
        <v>0</v>
      </c>
      <c r="BL34" s="269">
        <f>SUM(BC34:BD34)</f>
        <v>0</v>
      </c>
      <c r="BM34" s="264">
        <f t="shared" si="5"/>
        <v>49.300000000000004</v>
      </c>
      <c r="BO34" s="732">
        <f t="shared" si="6"/>
        <v>17.000000000000004</v>
      </c>
    </row>
    <row r="35" spans="2:67" ht="15" customHeight="1" x14ac:dyDescent="0.25">
      <c r="B35" s="156">
        <f t="shared" si="27"/>
        <v>7</v>
      </c>
      <c r="C35" s="180" t="s">
        <v>73</v>
      </c>
      <c r="D35" s="181" t="str">
        <f t="shared" si="29"/>
        <v>BCL</v>
      </c>
      <c r="E35" s="200" t="s">
        <v>74</v>
      </c>
      <c r="G35" s="488">
        <v>0</v>
      </c>
      <c r="H35" s="490"/>
      <c r="I35" s="471"/>
      <c r="J35" s="471"/>
      <c r="K35" s="472"/>
      <c r="L35" s="494">
        <f>L32</f>
        <v>1.7000000000000001E-2</v>
      </c>
      <c r="M35" s="471"/>
      <c r="N35" s="471"/>
      <c r="O35" s="472"/>
      <c r="P35" s="471"/>
      <c r="Q35" s="471"/>
      <c r="R35" s="472"/>
      <c r="S35" s="490"/>
      <c r="T35" s="471"/>
      <c r="U35" s="491"/>
      <c r="V35" s="492"/>
      <c r="X35" s="183">
        <f>'Q (t)'!G35</f>
        <v>0</v>
      </c>
      <c r="Y35" s="184">
        <f>'Q (t)'!H35</f>
        <v>0</v>
      </c>
      <c r="Z35" s="178">
        <f>'Q (t)'!I35</f>
        <v>0</v>
      </c>
      <c r="AA35" s="178">
        <f>'Q (t)'!J35</f>
        <v>0</v>
      </c>
      <c r="AB35" s="179">
        <f>'Q (t)'!K35</f>
        <v>0</v>
      </c>
      <c r="AC35" s="178">
        <f>'Q (t)'!L35</f>
        <v>100</v>
      </c>
      <c r="AD35" s="178">
        <f>'Q (t)'!M35</f>
        <v>0</v>
      </c>
      <c r="AE35" s="178">
        <f>'Q (t)'!N35</f>
        <v>0</v>
      </c>
      <c r="AF35" s="179">
        <f>'Q (t)'!O35</f>
        <v>0</v>
      </c>
      <c r="AG35" s="178">
        <f>'Q (t)'!P35</f>
        <v>0</v>
      </c>
      <c r="AH35" s="178">
        <f>'Q (t)'!Q35</f>
        <v>0</v>
      </c>
      <c r="AI35" s="179">
        <f>'Q (t)'!R35</f>
        <v>0</v>
      </c>
      <c r="AJ35" s="184">
        <f>'Q (t)'!S35</f>
        <v>0</v>
      </c>
      <c r="AK35" s="178">
        <f>'Q (t)'!T35</f>
        <v>0</v>
      </c>
      <c r="AL35" s="184">
        <f>'Q (t)'!U35</f>
        <v>0</v>
      </c>
      <c r="AM35" s="179">
        <f>'Q (t)'!V35</f>
        <v>0</v>
      </c>
      <c r="AO35" s="183">
        <f t="shared" si="2"/>
        <v>0</v>
      </c>
      <c r="AP35" s="184">
        <f t="shared" si="30"/>
        <v>0</v>
      </c>
      <c r="AQ35" s="178">
        <f t="shared" si="30"/>
        <v>0</v>
      </c>
      <c r="AR35" s="178">
        <f t="shared" si="30"/>
        <v>0</v>
      </c>
      <c r="AS35" s="179">
        <f t="shared" si="30"/>
        <v>0</v>
      </c>
      <c r="AT35" s="178">
        <f t="shared" si="30"/>
        <v>1.7000000000000002</v>
      </c>
      <c r="AU35" s="178">
        <f t="shared" si="30"/>
        <v>0</v>
      </c>
      <c r="AV35" s="178">
        <f t="shared" si="30"/>
        <v>0</v>
      </c>
      <c r="AW35" s="179">
        <f t="shared" si="30"/>
        <v>0</v>
      </c>
      <c r="AX35" s="178">
        <f t="shared" si="1"/>
        <v>0</v>
      </c>
      <c r="AY35" s="178">
        <f t="shared" si="1"/>
        <v>0</v>
      </c>
      <c r="AZ35" s="179">
        <f t="shared" si="1"/>
        <v>0</v>
      </c>
      <c r="BA35" s="184">
        <f t="shared" si="1"/>
        <v>0</v>
      </c>
      <c r="BB35" s="178">
        <f t="shared" si="1"/>
        <v>0</v>
      </c>
      <c r="BC35" s="184">
        <f t="shared" si="1"/>
        <v>0</v>
      </c>
      <c r="BD35" s="178">
        <f t="shared" si="1"/>
        <v>0</v>
      </c>
      <c r="BE35" s="251">
        <f t="shared" si="3"/>
        <v>0</v>
      </c>
      <c r="BF35" s="252">
        <f t="shared" si="4"/>
        <v>100</v>
      </c>
      <c r="BH35" s="262">
        <f>SUM(AO35)</f>
        <v>0</v>
      </c>
      <c r="BI35" s="262">
        <f>SUM(AP35:AS35)</f>
        <v>0</v>
      </c>
      <c r="BJ35" s="262">
        <f>SUM(AT35:AW35)</f>
        <v>1.7000000000000002</v>
      </c>
      <c r="BK35" s="263">
        <f>SUM(AX35:BB35)</f>
        <v>0</v>
      </c>
      <c r="BL35" s="269">
        <f>SUM(BC35:BD35)</f>
        <v>0</v>
      </c>
      <c r="BM35" s="264">
        <f t="shared" si="5"/>
        <v>1.7000000000000002</v>
      </c>
      <c r="BO35" s="732">
        <f t="shared" si="6"/>
        <v>17.000000000000004</v>
      </c>
    </row>
    <row r="36" spans="2:67" ht="15" customHeight="1" x14ac:dyDescent="0.25">
      <c r="B36" s="156"/>
      <c r="C36" s="201" t="s">
        <v>75</v>
      </c>
      <c r="D36" s="202"/>
      <c r="E36" s="202"/>
      <c r="G36" s="493"/>
      <c r="H36" s="490"/>
      <c r="I36" s="471"/>
      <c r="J36" s="471"/>
      <c r="K36" s="472"/>
      <c r="L36" s="471"/>
      <c r="M36" s="471"/>
      <c r="N36" s="471"/>
      <c r="O36" s="472"/>
      <c r="P36" s="471"/>
      <c r="Q36" s="471"/>
      <c r="R36" s="472"/>
      <c r="S36" s="490"/>
      <c r="T36" s="471"/>
      <c r="U36" s="490"/>
      <c r="V36" s="472"/>
      <c r="X36" s="183">
        <f>'Q (t)'!G36</f>
        <v>0</v>
      </c>
      <c r="Y36" s="184">
        <f>'Q (t)'!H36</f>
        <v>0</v>
      </c>
      <c r="Z36" s="178">
        <f>'Q (t)'!I36</f>
        <v>0</v>
      </c>
      <c r="AA36" s="178">
        <f>'Q (t)'!J36</f>
        <v>0</v>
      </c>
      <c r="AB36" s="179">
        <f>'Q (t)'!K36</f>
        <v>0</v>
      </c>
      <c r="AC36" s="178">
        <f>'Q (t)'!L36</f>
        <v>0</v>
      </c>
      <c r="AD36" s="178">
        <f>'Q (t)'!M36</f>
        <v>0</v>
      </c>
      <c r="AE36" s="178">
        <f>'Q (t)'!N36</f>
        <v>0</v>
      </c>
      <c r="AF36" s="179">
        <f>'Q (t)'!O36</f>
        <v>0</v>
      </c>
      <c r="AG36" s="178">
        <f>'Q (t)'!P36</f>
        <v>0</v>
      </c>
      <c r="AH36" s="178">
        <f>'Q (t)'!Q36</f>
        <v>0</v>
      </c>
      <c r="AI36" s="179">
        <f>'Q (t)'!R36</f>
        <v>0</v>
      </c>
      <c r="AJ36" s="184">
        <f>'Q (t)'!S36</f>
        <v>0</v>
      </c>
      <c r="AK36" s="178">
        <f>'Q (t)'!T36</f>
        <v>0</v>
      </c>
      <c r="AL36" s="184">
        <f>'Q (t)'!U36</f>
        <v>0</v>
      </c>
      <c r="AM36" s="179">
        <f>'Q (t)'!V36</f>
        <v>0</v>
      </c>
      <c r="AO36" s="183">
        <f t="shared" si="2"/>
        <v>0</v>
      </c>
      <c r="AP36" s="184">
        <f t="shared" si="30"/>
        <v>0</v>
      </c>
      <c r="AQ36" s="178">
        <f t="shared" si="30"/>
        <v>0</v>
      </c>
      <c r="AR36" s="178">
        <f t="shared" si="30"/>
        <v>0</v>
      </c>
      <c r="AS36" s="179">
        <f t="shared" si="30"/>
        <v>0</v>
      </c>
      <c r="AT36" s="178">
        <f t="shared" si="30"/>
        <v>0</v>
      </c>
      <c r="AU36" s="178">
        <f t="shared" si="30"/>
        <v>0</v>
      </c>
      <c r="AV36" s="178">
        <f t="shared" si="30"/>
        <v>0</v>
      </c>
      <c r="AW36" s="179">
        <f t="shared" si="30"/>
        <v>0</v>
      </c>
      <c r="AX36" s="178">
        <f t="shared" si="1"/>
        <v>0</v>
      </c>
      <c r="AY36" s="178">
        <f t="shared" si="1"/>
        <v>0</v>
      </c>
      <c r="AZ36" s="179">
        <f t="shared" si="1"/>
        <v>0</v>
      </c>
      <c r="BA36" s="184">
        <f t="shared" si="1"/>
        <v>0</v>
      </c>
      <c r="BB36" s="178">
        <f t="shared" si="1"/>
        <v>0</v>
      </c>
      <c r="BC36" s="184">
        <f t="shared" si="1"/>
        <v>0</v>
      </c>
      <c r="BD36" s="178">
        <f t="shared" si="1"/>
        <v>0</v>
      </c>
      <c r="BE36" s="251">
        <f t="shared" si="3"/>
        <v>0</v>
      </c>
      <c r="BF36" s="252">
        <f t="shared" si="4"/>
        <v>0</v>
      </c>
      <c r="BH36" s="259">
        <f>SUBTOTAL(9,BH37:BH39)</f>
        <v>0</v>
      </c>
      <c r="BI36" s="259">
        <f t="shared" ref="BI36:BL36" si="31">SUBTOTAL(9,BI37:BI39)</f>
        <v>17463.879999999997</v>
      </c>
      <c r="BJ36" s="259">
        <f t="shared" si="31"/>
        <v>0</v>
      </c>
      <c r="BK36" s="259">
        <f t="shared" si="31"/>
        <v>357.14391510000002</v>
      </c>
      <c r="BL36" s="259">
        <f t="shared" si="31"/>
        <v>0</v>
      </c>
      <c r="BM36" s="264">
        <f t="shared" si="5"/>
        <v>17821.023915099999</v>
      </c>
      <c r="BO36" s="732" t="str">
        <f t="shared" si="6"/>
        <v/>
      </c>
    </row>
    <row r="37" spans="2:67" ht="15" customHeight="1" x14ac:dyDescent="0.25">
      <c r="B37" s="156">
        <f>B35+1</f>
        <v>8</v>
      </c>
      <c r="C37" s="180" t="s">
        <v>76</v>
      </c>
      <c r="D37" s="181" t="str">
        <f t="shared" ref="D37:D39" si="32">C37</f>
        <v>SBTOU</v>
      </c>
      <c r="E37" s="200" t="s">
        <v>77</v>
      </c>
      <c r="G37" s="488">
        <v>0</v>
      </c>
      <c r="H37" s="490"/>
      <c r="I37" s="494">
        <v>5.5899999999999998E-2</v>
      </c>
      <c r="J37" s="494">
        <v>3.8899999999999997E-2</v>
      </c>
      <c r="K37" s="495">
        <v>2.1000000000000001E-2</v>
      </c>
      <c r="L37" s="471"/>
      <c r="M37" s="471"/>
      <c r="N37" s="471"/>
      <c r="O37" s="472"/>
      <c r="P37" s="471"/>
      <c r="Q37" s="471"/>
      <c r="R37" s="472"/>
      <c r="S37" s="490"/>
      <c r="T37" s="471"/>
      <c r="U37" s="491"/>
      <c r="V37" s="492"/>
      <c r="X37" s="183">
        <f>'Q (t)'!G37</f>
        <v>7314600</v>
      </c>
      <c r="Y37" s="184">
        <f>'Q (t)'!H37</f>
        <v>0</v>
      </c>
      <c r="Z37" s="178">
        <f>'Q (t)'!I37</f>
        <v>32600</v>
      </c>
      <c r="AA37" s="178">
        <f>'Q (t)'!J37</f>
        <v>229600</v>
      </c>
      <c r="AB37" s="179">
        <f>'Q (t)'!K37</f>
        <v>205100</v>
      </c>
      <c r="AC37" s="178">
        <f>'Q (t)'!L37</f>
        <v>0</v>
      </c>
      <c r="AD37" s="178">
        <f>'Q (t)'!M37</f>
        <v>0</v>
      </c>
      <c r="AE37" s="178">
        <f>'Q (t)'!N37</f>
        <v>0</v>
      </c>
      <c r="AF37" s="179">
        <f>'Q (t)'!O37</f>
        <v>0</v>
      </c>
      <c r="AG37" s="178">
        <f>'Q (t)'!P37</f>
        <v>0</v>
      </c>
      <c r="AH37" s="178">
        <f>'Q (t)'!Q37</f>
        <v>0</v>
      </c>
      <c r="AI37" s="179">
        <f>'Q (t)'!R37</f>
        <v>0</v>
      </c>
      <c r="AJ37" s="184">
        <f>'Q (t)'!S37</f>
        <v>0</v>
      </c>
      <c r="AK37" s="178">
        <f>'Q (t)'!T37</f>
        <v>0</v>
      </c>
      <c r="AL37" s="184">
        <f>'Q (t)'!U37</f>
        <v>0</v>
      </c>
      <c r="AM37" s="179">
        <f>'Q (t)'!V37</f>
        <v>0</v>
      </c>
      <c r="AO37" s="183">
        <f t="shared" si="2"/>
        <v>0</v>
      </c>
      <c r="AP37" s="184">
        <f t="shared" si="30"/>
        <v>0</v>
      </c>
      <c r="AQ37" s="178">
        <f t="shared" si="30"/>
        <v>1822.34</v>
      </c>
      <c r="AR37" s="178">
        <f t="shared" si="30"/>
        <v>8931.4399999999987</v>
      </c>
      <c r="AS37" s="179">
        <f t="shared" si="30"/>
        <v>4307.1000000000004</v>
      </c>
      <c r="AT37" s="178">
        <f t="shared" si="30"/>
        <v>0</v>
      </c>
      <c r="AU37" s="178">
        <f t="shared" si="30"/>
        <v>0</v>
      </c>
      <c r="AV37" s="178">
        <f t="shared" si="30"/>
        <v>0</v>
      </c>
      <c r="AW37" s="179">
        <f t="shared" si="30"/>
        <v>0</v>
      </c>
      <c r="AX37" s="178">
        <f t="shared" si="1"/>
        <v>0</v>
      </c>
      <c r="AY37" s="178">
        <f t="shared" si="1"/>
        <v>0</v>
      </c>
      <c r="AZ37" s="179">
        <f t="shared" si="1"/>
        <v>0</v>
      </c>
      <c r="BA37" s="184">
        <f t="shared" si="1"/>
        <v>0</v>
      </c>
      <c r="BB37" s="178">
        <f t="shared" si="1"/>
        <v>0</v>
      </c>
      <c r="BC37" s="184">
        <f t="shared" si="1"/>
        <v>0</v>
      </c>
      <c r="BD37" s="178">
        <f t="shared" si="1"/>
        <v>0</v>
      </c>
      <c r="BE37" s="251">
        <f t="shared" si="3"/>
        <v>20040</v>
      </c>
      <c r="BF37" s="252">
        <f t="shared" si="4"/>
        <v>467300</v>
      </c>
      <c r="BH37" s="262">
        <f>SUM(AO37)</f>
        <v>0</v>
      </c>
      <c r="BI37" s="262">
        <f>SUM(AP37:AS37)</f>
        <v>15060.88</v>
      </c>
      <c r="BJ37" s="262">
        <f>SUM(AT37:AW37)</f>
        <v>0</v>
      </c>
      <c r="BK37" s="263">
        <f>SUM(AX37:BB37)</f>
        <v>0</v>
      </c>
      <c r="BL37" s="269">
        <f>SUM(BC37:BD37)</f>
        <v>0</v>
      </c>
      <c r="BM37" s="264">
        <f t="shared" si="5"/>
        <v>15060.88</v>
      </c>
      <c r="BO37" s="732">
        <f t="shared" si="6"/>
        <v>32.229574149368716</v>
      </c>
    </row>
    <row r="38" spans="2:67" ht="15" customHeight="1" x14ac:dyDescent="0.25">
      <c r="B38" s="156">
        <f t="shared" si="27"/>
        <v>9</v>
      </c>
      <c r="C38" s="180" t="s">
        <v>78</v>
      </c>
      <c r="D38" s="181" t="str">
        <f t="shared" si="32"/>
        <v>SBTOUD</v>
      </c>
      <c r="E38" s="200" t="s">
        <v>79</v>
      </c>
      <c r="G38" s="488">
        <v>0</v>
      </c>
      <c r="H38" s="490"/>
      <c r="I38" s="494">
        <v>4.4699999999999997E-2</v>
      </c>
      <c r="J38" s="494">
        <v>3.1099999999999999E-2</v>
      </c>
      <c r="K38" s="495">
        <v>1.6799999999999999E-2</v>
      </c>
      <c r="L38" s="471"/>
      <c r="M38" s="471"/>
      <c r="N38" s="471"/>
      <c r="O38" s="472"/>
      <c r="P38" s="471"/>
      <c r="Q38" s="471"/>
      <c r="R38" s="472"/>
      <c r="S38" s="490"/>
      <c r="T38" s="494">
        <v>0</v>
      </c>
      <c r="U38" s="491"/>
      <c r="V38" s="492"/>
      <c r="X38" s="183">
        <f>'Q (t)'!G38</f>
        <v>533265</v>
      </c>
      <c r="Y38" s="184">
        <f>'Q (t)'!H38</f>
        <v>0</v>
      </c>
      <c r="Z38" s="178">
        <f>'Q (t)'!I38</f>
        <v>4400</v>
      </c>
      <c r="AA38" s="178">
        <f>'Q (t)'!J38</f>
        <v>38000</v>
      </c>
      <c r="AB38" s="179">
        <f>'Q (t)'!K38</f>
        <v>25700</v>
      </c>
      <c r="AC38" s="178">
        <f>'Q (t)'!L38</f>
        <v>0</v>
      </c>
      <c r="AD38" s="178">
        <f>'Q (t)'!M38</f>
        <v>0</v>
      </c>
      <c r="AE38" s="178">
        <f>'Q (t)'!N38</f>
        <v>0</v>
      </c>
      <c r="AF38" s="179">
        <f>'Q (t)'!O38</f>
        <v>0</v>
      </c>
      <c r="AG38" s="178">
        <f>'Q (t)'!P38</f>
        <v>0</v>
      </c>
      <c r="AH38" s="178">
        <f>'Q (t)'!Q38</f>
        <v>0</v>
      </c>
      <c r="AI38" s="179">
        <f>'Q (t)'!R38</f>
        <v>0</v>
      </c>
      <c r="AJ38" s="184">
        <f>'Q (t)'!S38</f>
        <v>0</v>
      </c>
      <c r="AK38" s="178">
        <f>'Q (t)'!T38</f>
        <v>26073045</v>
      </c>
      <c r="AL38" s="184">
        <f>'Q (t)'!U38</f>
        <v>0</v>
      </c>
      <c r="AM38" s="179">
        <f>'Q (t)'!V38</f>
        <v>0</v>
      </c>
      <c r="AO38" s="183">
        <f t="shared" si="2"/>
        <v>0</v>
      </c>
      <c r="AP38" s="184">
        <f t="shared" si="30"/>
        <v>0</v>
      </c>
      <c r="AQ38" s="178">
        <f t="shared" si="30"/>
        <v>196.67999999999998</v>
      </c>
      <c r="AR38" s="178">
        <f t="shared" si="30"/>
        <v>1181.8</v>
      </c>
      <c r="AS38" s="179">
        <f t="shared" si="30"/>
        <v>431.76</v>
      </c>
      <c r="AT38" s="178">
        <f t="shared" si="30"/>
        <v>0</v>
      </c>
      <c r="AU38" s="178">
        <f t="shared" si="30"/>
        <v>0</v>
      </c>
      <c r="AV38" s="178">
        <f t="shared" si="30"/>
        <v>0</v>
      </c>
      <c r="AW38" s="179">
        <f t="shared" si="30"/>
        <v>0</v>
      </c>
      <c r="AX38" s="178">
        <f t="shared" si="1"/>
        <v>0</v>
      </c>
      <c r="AY38" s="178">
        <f t="shared" si="1"/>
        <v>0</v>
      </c>
      <c r="AZ38" s="179">
        <f t="shared" si="1"/>
        <v>0</v>
      </c>
      <c r="BA38" s="184">
        <f t="shared" si="1"/>
        <v>0</v>
      </c>
      <c r="BB38" s="178">
        <f t="shared" si="1"/>
        <v>0</v>
      </c>
      <c r="BC38" s="184">
        <f t="shared" si="1"/>
        <v>0</v>
      </c>
      <c r="BD38" s="178">
        <f t="shared" si="1"/>
        <v>0</v>
      </c>
      <c r="BE38" s="251">
        <f t="shared" si="3"/>
        <v>1461</v>
      </c>
      <c r="BF38" s="252">
        <f t="shared" si="4"/>
        <v>68100</v>
      </c>
      <c r="BH38" s="262">
        <f>SUM(AO38)</f>
        <v>0</v>
      </c>
      <c r="BI38" s="262">
        <f>SUM(AP38:AS38)</f>
        <v>1810.24</v>
      </c>
      <c r="BJ38" s="262">
        <f>SUM(AT38:AW38)</f>
        <v>0</v>
      </c>
      <c r="BK38" s="263">
        <f>SUM(AX38:BB38)</f>
        <v>0</v>
      </c>
      <c r="BL38" s="269">
        <f>SUM(BC38:BD38)</f>
        <v>0</v>
      </c>
      <c r="BM38" s="264">
        <f t="shared" si="5"/>
        <v>1810.24</v>
      </c>
      <c r="BO38" s="732">
        <f t="shared" si="6"/>
        <v>26.582085168869309</v>
      </c>
    </row>
    <row r="39" spans="2:67" ht="15" customHeight="1" x14ac:dyDescent="0.25">
      <c r="B39" s="162">
        <f t="shared" si="27"/>
        <v>10</v>
      </c>
      <c r="C39" s="187" t="s">
        <v>80</v>
      </c>
      <c r="D39" s="188" t="str">
        <f t="shared" si="32"/>
        <v>SBD</v>
      </c>
      <c r="E39" s="203" t="s">
        <v>81</v>
      </c>
      <c r="G39" s="496">
        <v>0</v>
      </c>
      <c r="H39" s="497">
        <v>2.0299999999999999E-2</v>
      </c>
      <c r="I39" s="498"/>
      <c r="J39" s="498"/>
      <c r="K39" s="499"/>
      <c r="L39" s="498"/>
      <c r="M39" s="498"/>
      <c r="N39" s="498"/>
      <c r="O39" s="499"/>
      <c r="P39" s="498"/>
      <c r="Q39" s="500">
        <v>8.6800000000000002E-2</v>
      </c>
      <c r="R39" s="501">
        <v>4.2900000000000001E-2</v>
      </c>
      <c r="S39" s="502"/>
      <c r="T39" s="498"/>
      <c r="U39" s="503"/>
      <c r="V39" s="504"/>
      <c r="X39" s="190">
        <f>'Q (t)'!G39</f>
        <v>406975</v>
      </c>
      <c r="Y39" s="197">
        <f>'Q (t)'!H39</f>
        <v>29200</v>
      </c>
      <c r="Z39" s="192">
        <f>'Q (t)'!I39</f>
        <v>0</v>
      </c>
      <c r="AA39" s="192">
        <f>'Q (t)'!J39</f>
        <v>0</v>
      </c>
      <c r="AB39" s="193">
        <f>'Q (t)'!K39</f>
        <v>0</v>
      </c>
      <c r="AC39" s="192">
        <f>'Q (t)'!L39</f>
        <v>0</v>
      </c>
      <c r="AD39" s="192">
        <f>'Q (t)'!M39</f>
        <v>0</v>
      </c>
      <c r="AE39" s="192">
        <f>'Q (t)'!N39</f>
        <v>0</v>
      </c>
      <c r="AF39" s="193">
        <f>'Q (t)'!O39</f>
        <v>0</v>
      </c>
      <c r="AG39" s="192">
        <f>'Q (t)'!P39</f>
        <v>0</v>
      </c>
      <c r="AH39" s="192">
        <f>'Q (t)'!Q39</f>
        <v>1825137</v>
      </c>
      <c r="AI39" s="193">
        <f>'Q (t)'!R39</f>
        <v>4632215</v>
      </c>
      <c r="AJ39" s="197">
        <f>'Q (t)'!S39</f>
        <v>0</v>
      </c>
      <c r="AK39" s="192">
        <f>'Q (t)'!T39</f>
        <v>0</v>
      </c>
      <c r="AL39" s="197">
        <f>'Q (t)'!U39</f>
        <v>0</v>
      </c>
      <c r="AM39" s="193">
        <f>'Q (t)'!V39</f>
        <v>0</v>
      </c>
      <c r="AO39" s="190">
        <f t="shared" si="2"/>
        <v>0</v>
      </c>
      <c r="AP39" s="197">
        <f t="shared" si="30"/>
        <v>592.76</v>
      </c>
      <c r="AQ39" s="192">
        <f t="shared" si="30"/>
        <v>0</v>
      </c>
      <c r="AR39" s="192">
        <f t="shared" si="30"/>
        <v>0</v>
      </c>
      <c r="AS39" s="193">
        <f t="shared" si="30"/>
        <v>0</v>
      </c>
      <c r="AT39" s="192">
        <f t="shared" si="30"/>
        <v>0</v>
      </c>
      <c r="AU39" s="192">
        <f t="shared" si="30"/>
        <v>0</v>
      </c>
      <c r="AV39" s="192">
        <f t="shared" si="30"/>
        <v>0</v>
      </c>
      <c r="AW39" s="193">
        <f t="shared" si="30"/>
        <v>0</v>
      </c>
      <c r="AX39" s="192">
        <f t="shared" si="1"/>
        <v>0</v>
      </c>
      <c r="AY39" s="192">
        <f t="shared" si="1"/>
        <v>158.42189160000001</v>
      </c>
      <c r="AZ39" s="193">
        <f t="shared" si="1"/>
        <v>198.72202350000001</v>
      </c>
      <c r="BA39" s="197">
        <f t="shared" si="1"/>
        <v>0</v>
      </c>
      <c r="BB39" s="192">
        <f t="shared" si="1"/>
        <v>0</v>
      </c>
      <c r="BC39" s="197">
        <f t="shared" si="1"/>
        <v>0</v>
      </c>
      <c r="BD39" s="192">
        <f t="shared" si="1"/>
        <v>0</v>
      </c>
      <c r="BE39" s="253">
        <f t="shared" si="3"/>
        <v>1115</v>
      </c>
      <c r="BF39" s="254">
        <f t="shared" si="4"/>
        <v>29200</v>
      </c>
      <c r="BH39" s="262">
        <f>SUM(AO39)</f>
        <v>0</v>
      </c>
      <c r="BI39" s="262">
        <f>SUM(AP39:AS39)</f>
        <v>592.76</v>
      </c>
      <c r="BJ39" s="262">
        <f>SUM(AT39:AW39)</f>
        <v>0</v>
      </c>
      <c r="BK39" s="263">
        <f>SUM(AX39:BB39)</f>
        <v>357.14391510000002</v>
      </c>
      <c r="BL39" s="269">
        <f>SUM(BC39:BD39)</f>
        <v>0</v>
      </c>
      <c r="BM39" s="264">
        <f t="shared" si="5"/>
        <v>949.90391509999995</v>
      </c>
      <c r="BO39" s="732">
        <f t="shared" si="6"/>
        <v>32.530955996575344</v>
      </c>
    </row>
    <row r="40" spans="2:67" ht="15" customHeight="1" x14ac:dyDescent="0.25">
      <c r="B40" s="167" t="s">
        <v>82</v>
      </c>
      <c r="C40" s="151" t="s">
        <v>83</v>
      </c>
      <c r="D40" s="151"/>
      <c r="E40" s="204"/>
      <c r="G40" s="505"/>
      <c r="H40" s="506"/>
      <c r="I40" s="507"/>
      <c r="J40" s="507"/>
      <c r="K40" s="508"/>
      <c r="L40" s="507"/>
      <c r="M40" s="507"/>
      <c r="N40" s="507"/>
      <c r="O40" s="508"/>
      <c r="P40" s="507"/>
      <c r="Q40" s="507"/>
      <c r="R40" s="508"/>
      <c r="S40" s="506"/>
      <c r="T40" s="507"/>
      <c r="U40" s="506"/>
      <c r="V40" s="508"/>
      <c r="X40" s="205">
        <f>'Q (t)'!G40</f>
        <v>0</v>
      </c>
      <c r="Y40" s="206">
        <f>'Q (t)'!H40</f>
        <v>0</v>
      </c>
      <c r="Z40" s="207">
        <f>'Q (t)'!I40</f>
        <v>0</v>
      </c>
      <c r="AA40" s="207">
        <f>'Q (t)'!J40</f>
        <v>0</v>
      </c>
      <c r="AB40" s="208">
        <f>'Q (t)'!K40</f>
        <v>0</v>
      </c>
      <c r="AC40" s="207">
        <f>'Q (t)'!L40</f>
        <v>0</v>
      </c>
      <c r="AD40" s="207">
        <f>'Q (t)'!M40</f>
        <v>0</v>
      </c>
      <c r="AE40" s="207">
        <f>'Q (t)'!N40</f>
        <v>0</v>
      </c>
      <c r="AF40" s="208">
        <f>'Q (t)'!O40</f>
        <v>0</v>
      </c>
      <c r="AG40" s="207">
        <f>'Q (t)'!P40</f>
        <v>0</v>
      </c>
      <c r="AH40" s="207">
        <f>'Q (t)'!Q40</f>
        <v>0</v>
      </c>
      <c r="AI40" s="208">
        <f>'Q (t)'!R40</f>
        <v>0</v>
      </c>
      <c r="AJ40" s="206">
        <f>'Q (t)'!S40</f>
        <v>0</v>
      </c>
      <c r="AK40" s="207">
        <f>'Q (t)'!T40</f>
        <v>0</v>
      </c>
      <c r="AL40" s="206">
        <f>'Q (t)'!U40</f>
        <v>0</v>
      </c>
      <c r="AM40" s="208">
        <f>'Q (t)'!V40</f>
        <v>0</v>
      </c>
      <c r="AO40" s="205">
        <f t="shared" si="2"/>
        <v>0</v>
      </c>
      <c r="AP40" s="206">
        <f t="shared" si="30"/>
        <v>0</v>
      </c>
      <c r="AQ40" s="207">
        <f t="shared" si="30"/>
        <v>0</v>
      </c>
      <c r="AR40" s="207">
        <f t="shared" si="30"/>
        <v>0</v>
      </c>
      <c r="AS40" s="208">
        <f t="shared" si="30"/>
        <v>0</v>
      </c>
      <c r="AT40" s="207">
        <f t="shared" si="30"/>
        <v>0</v>
      </c>
      <c r="AU40" s="207">
        <f t="shared" si="30"/>
        <v>0</v>
      </c>
      <c r="AV40" s="207">
        <f t="shared" si="30"/>
        <v>0</v>
      </c>
      <c r="AW40" s="208">
        <f t="shared" si="30"/>
        <v>0</v>
      </c>
      <c r="AX40" s="207">
        <f t="shared" si="1"/>
        <v>0</v>
      </c>
      <c r="AY40" s="207">
        <f t="shared" si="1"/>
        <v>0</v>
      </c>
      <c r="AZ40" s="208">
        <f t="shared" si="1"/>
        <v>0</v>
      </c>
      <c r="BA40" s="206">
        <f t="shared" si="1"/>
        <v>0</v>
      </c>
      <c r="BB40" s="207">
        <f t="shared" si="1"/>
        <v>0</v>
      </c>
      <c r="BC40" s="206">
        <f t="shared" si="1"/>
        <v>0</v>
      </c>
      <c r="BD40" s="207">
        <f t="shared" si="1"/>
        <v>0</v>
      </c>
      <c r="BE40" s="249">
        <f t="shared" si="3"/>
        <v>0</v>
      </c>
      <c r="BF40" s="250">
        <f t="shared" si="4"/>
        <v>0</v>
      </c>
      <c r="BH40" s="260">
        <f>SUBTOTAL(9,BH41:BH67)</f>
        <v>0</v>
      </c>
      <c r="BI40" s="260">
        <f>SUBTOTAL(9,BI41:BI67)</f>
        <v>40011.85</v>
      </c>
      <c r="BJ40" s="260">
        <f>SUBTOTAL(9,BJ41:BJ67)</f>
        <v>0</v>
      </c>
      <c r="BK40" s="260">
        <f>SUBTOTAL(9,BK41:BK67)</f>
        <v>28298.91992</v>
      </c>
      <c r="BL40" s="260">
        <f>SUBTOTAL(9,BL41:BL67)</f>
        <v>0</v>
      </c>
      <c r="BM40" s="264">
        <f t="shared" si="5"/>
        <v>68310.769919999992</v>
      </c>
      <c r="BO40" s="732" t="str">
        <f t="shared" si="6"/>
        <v/>
      </c>
    </row>
    <row r="41" spans="2:67" ht="15" customHeight="1" x14ac:dyDescent="0.25">
      <c r="B41" s="156"/>
      <c r="C41" s="126" t="s">
        <v>84</v>
      </c>
      <c r="D41" s="173"/>
      <c r="E41" s="202"/>
      <c r="G41" s="493"/>
      <c r="H41" s="490"/>
      <c r="I41" s="471"/>
      <c r="J41" s="471"/>
      <c r="K41" s="472"/>
      <c r="L41" s="471"/>
      <c r="M41" s="471"/>
      <c r="N41" s="471"/>
      <c r="O41" s="472"/>
      <c r="P41" s="471"/>
      <c r="Q41" s="471"/>
      <c r="R41" s="472"/>
      <c r="S41" s="490"/>
      <c r="T41" s="471"/>
      <c r="U41" s="490"/>
      <c r="V41" s="472"/>
      <c r="X41" s="183">
        <f>'Q (t)'!G41</f>
        <v>0</v>
      </c>
      <c r="Y41" s="184">
        <f>'Q (t)'!H41</f>
        <v>0</v>
      </c>
      <c r="Z41" s="178">
        <f>'Q (t)'!I41</f>
        <v>0</v>
      </c>
      <c r="AA41" s="178">
        <f>'Q (t)'!J41</f>
        <v>0</v>
      </c>
      <c r="AB41" s="179">
        <f>'Q (t)'!K41</f>
        <v>0</v>
      </c>
      <c r="AC41" s="178">
        <f>'Q (t)'!L41</f>
        <v>0</v>
      </c>
      <c r="AD41" s="178">
        <f>'Q (t)'!M41</f>
        <v>0</v>
      </c>
      <c r="AE41" s="178">
        <f>'Q (t)'!N41</f>
        <v>0</v>
      </c>
      <c r="AF41" s="179">
        <f>'Q (t)'!O41</f>
        <v>0</v>
      </c>
      <c r="AG41" s="178">
        <f>'Q (t)'!P41</f>
        <v>0</v>
      </c>
      <c r="AH41" s="178">
        <f>'Q (t)'!Q41</f>
        <v>0</v>
      </c>
      <c r="AI41" s="179">
        <f>'Q (t)'!R41</f>
        <v>0</v>
      </c>
      <c r="AJ41" s="184">
        <f>'Q (t)'!S41</f>
        <v>0</v>
      </c>
      <c r="AK41" s="178">
        <f>'Q (t)'!T41</f>
        <v>0</v>
      </c>
      <c r="AL41" s="184">
        <f>'Q (t)'!U41</f>
        <v>0</v>
      </c>
      <c r="AM41" s="179">
        <f>'Q (t)'!V41</f>
        <v>0</v>
      </c>
      <c r="AO41" s="183">
        <f t="shared" si="2"/>
        <v>0</v>
      </c>
      <c r="AP41" s="184">
        <f t="shared" si="30"/>
        <v>0</v>
      </c>
      <c r="AQ41" s="178">
        <f t="shared" si="30"/>
        <v>0</v>
      </c>
      <c r="AR41" s="178">
        <f t="shared" si="30"/>
        <v>0</v>
      </c>
      <c r="AS41" s="179">
        <f t="shared" si="30"/>
        <v>0</v>
      </c>
      <c r="AT41" s="178">
        <f t="shared" si="30"/>
        <v>0</v>
      </c>
      <c r="AU41" s="178">
        <f t="shared" si="30"/>
        <v>0</v>
      </c>
      <c r="AV41" s="178">
        <f t="shared" si="30"/>
        <v>0</v>
      </c>
      <c r="AW41" s="179">
        <f t="shared" si="30"/>
        <v>0</v>
      </c>
      <c r="AX41" s="178">
        <f t="shared" si="1"/>
        <v>0</v>
      </c>
      <c r="AY41" s="178">
        <f t="shared" si="1"/>
        <v>0</v>
      </c>
      <c r="AZ41" s="179">
        <f t="shared" si="1"/>
        <v>0</v>
      </c>
      <c r="BA41" s="184">
        <f t="shared" si="1"/>
        <v>0</v>
      </c>
      <c r="BB41" s="178">
        <f t="shared" si="1"/>
        <v>0</v>
      </c>
      <c r="BC41" s="184">
        <f t="shared" si="1"/>
        <v>0</v>
      </c>
      <c r="BD41" s="178">
        <f t="shared" si="1"/>
        <v>0</v>
      </c>
      <c r="BE41" s="251">
        <f t="shared" si="3"/>
        <v>0</v>
      </c>
      <c r="BF41" s="252">
        <f t="shared" si="4"/>
        <v>0</v>
      </c>
      <c r="BH41" s="259">
        <f>SUBTOTAL(9,BH42:BH45)</f>
        <v>0</v>
      </c>
      <c r="BI41" s="259">
        <f t="shared" ref="BI41:BL41" si="33">SUBTOTAL(9,BI42:BI45)</f>
        <v>12.030000000000001</v>
      </c>
      <c r="BJ41" s="259">
        <f t="shared" si="33"/>
        <v>0</v>
      </c>
      <c r="BK41" s="259">
        <f t="shared" si="33"/>
        <v>0</v>
      </c>
      <c r="BL41" s="259">
        <f t="shared" si="33"/>
        <v>0</v>
      </c>
      <c r="BM41" s="264">
        <f t="shared" si="5"/>
        <v>12.030000000000001</v>
      </c>
      <c r="BO41" s="732" t="str">
        <f t="shared" si="6"/>
        <v/>
      </c>
    </row>
    <row r="42" spans="2:67" ht="15" customHeight="1" x14ac:dyDescent="0.25">
      <c r="B42" s="156">
        <f t="shared" si="27"/>
        <v>1</v>
      </c>
      <c r="C42" s="180" t="s">
        <v>85</v>
      </c>
      <c r="D42" s="181" t="str">
        <f t="shared" ref="D42:D45" si="34">C42</f>
        <v>LBSR</v>
      </c>
      <c r="E42" s="200" t="s">
        <v>86</v>
      </c>
      <c r="G42" s="488">
        <v>0</v>
      </c>
      <c r="H42" s="489">
        <v>4.4699999999999997E-2</v>
      </c>
      <c r="I42" s="471"/>
      <c r="J42" s="471"/>
      <c r="K42" s="472"/>
      <c r="L42" s="471"/>
      <c r="M42" s="471"/>
      <c r="N42" s="471"/>
      <c r="O42" s="472"/>
      <c r="P42" s="471"/>
      <c r="Q42" s="471"/>
      <c r="R42" s="472"/>
      <c r="S42" s="490"/>
      <c r="T42" s="471"/>
      <c r="U42" s="491"/>
      <c r="V42" s="492"/>
      <c r="X42" s="183">
        <f>'Q (t)'!G42</f>
        <v>200</v>
      </c>
      <c r="Y42" s="184">
        <f>'Q (t)'!H42</f>
        <v>100</v>
      </c>
      <c r="Z42" s="178">
        <f>'Q (t)'!I42</f>
        <v>0</v>
      </c>
      <c r="AA42" s="178">
        <f>'Q (t)'!J42</f>
        <v>0</v>
      </c>
      <c r="AB42" s="179">
        <f>'Q (t)'!K42</f>
        <v>0</v>
      </c>
      <c r="AC42" s="178">
        <f>'Q (t)'!L42</f>
        <v>0</v>
      </c>
      <c r="AD42" s="178">
        <f>'Q (t)'!M42</f>
        <v>0</v>
      </c>
      <c r="AE42" s="178">
        <f>'Q (t)'!N42</f>
        <v>0</v>
      </c>
      <c r="AF42" s="179">
        <f>'Q (t)'!O42</f>
        <v>0</v>
      </c>
      <c r="AG42" s="178">
        <f>'Q (t)'!P42</f>
        <v>0</v>
      </c>
      <c r="AH42" s="178">
        <f>'Q (t)'!Q42</f>
        <v>0</v>
      </c>
      <c r="AI42" s="179">
        <f>'Q (t)'!R42</f>
        <v>0</v>
      </c>
      <c r="AJ42" s="184">
        <f>'Q (t)'!S42</f>
        <v>0</v>
      </c>
      <c r="AK42" s="178">
        <f>'Q (t)'!T42</f>
        <v>0</v>
      </c>
      <c r="AL42" s="184">
        <f>'Q (t)'!U42</f>
        <v>0</v>
      </c>
      <c r="AM42" s="179">
        <f>'Q (t)'!V42</f>
        <v>0</v>
      </c>
      <c r="AO42" s="183">
        <f t="shared" si="2"/>
        <v>0</v>
      </c>
      <c r="AP42" s="184">
        <f t="shared" si="30"/>
        <v>4.47</v>
      </c>
      <c r="AQ42" s="178">
        <f t="shared" si="30"/>
        <v>0</v>
      </c>
      <c r="AR42" s="178">
        <f t="shared" si="30"/>
        <v>0</v>
      </c>
      <c r="AS42" s="179">
        <f t="shared" si="30"/>
        <v>0</v>
      </c>
      <c r="AT42" s="178">
        <f t="shared" si="30"/>
        <v>0</v>
      </c>
      <c r="AU42" s="178">
        <f t="shared" si="30"/>
        <v>0</v>
      </c>
      <c r="AV42" s="178">
        <f t="shared" si="30"/>
        <v>0</v>
      </c>
      <c r="AW42" s="179">
        <f t="shared" si="30"/>
        <v>0</v>
      </c>
      <c r="AX42" s="178">
        <f t="shared" si="1"/>
        <v>0</v>
      </c>
      <c r="AY42" s="178">
        <f t="shared" si="1"/>
        <v>0</v>
      </c>
      <c r="AZ42" s="179">
        <f t="shared" si="1"/>
        <v>0</v>
      </c>
      <c r="BA42" s="184">
        <f t="shared" si="1"/>
        <v>0</v>
      </c>
      <c r="BB42" s="178">
        <f t="shared" si="1"/>
        <v>0</v>
      </c>
      <c r="BC42" s="184">
        <f t="shared" si="1"/>
        <v>0</v>
      </c>
      <c r="BD42" s="178">
        <f t="shared" si="1"/>
        <v>0</v>
      </c>
      <c r="BE42" s="251">
        <f t="shared" si="3"/>
        <v>0.54794520547945202</v>
      </c>
      <c r="BF42" s="252">
        <f t="shared" si="4"/>
        <v>100</v>
      </c>
      <c r="BH42" s="262">
        <f>SUM(AO42)</f>
        <v>0</v>
      </c>
      <c r="BI42" s="262">
        <f>SUM(AP42:AS42)</f>
        <v>4.47</v>
      </c>
      <c r="BJ42" s="262">
        <f>SUM(AT42:AW42)</f>
        <v>0</v>
      </c>
      <c r="BK42" s="263">
        <f>SUM(AX42:BB42)</f>
        <v>0</v>
      </c>
      <c r="BL42" s="269">
        <f>SUM(BC42:BD42)</f>
        <v>0</v>
      </c>
      <c r="BM42" s="264">
        <f t="shared" si="5"/>
        <v>4.47</v>
      </c>
      <c r="BO42" s="732">
        <f t="shared" si="6"/>
        <v>44.7</v>
      </c>
    </row>
    <row r="43" spans="2:67" ht="15" customHeight="1" x14ac:dyDescent="0.25">
      <c r="B43" s="156">
        <f t="shared" si="27"/>
        <v>2</v>
      </c>
      <c r="C43" s="180" t="s">
        <v>87</v>
      </c>
      <c r="D43" s="181" t="str">
        <f t="shared" si="34"/>
        <v>LBSRCL</v>
      </c>
      <c r="E43" s="200" t="s">
        <v>88</v>
      </c>
      <c r="G43" s="488">
        <f>G42</f>
        <v>0</v>
      </c>
      <c r="H43" s="489">
        <f>H42</f>
        <v>4.4699999999999997E-2</v>
      </c>
      <c r="I43" s="471"/>
      <c r="J43" s="471"/>
      <c r="K43" s="472"/>
      <c r="L43" s="494">
        <f>L32</f>
        <v>1.7000000000000001E-2</v>
      </c>
      <c r="M43" s="471"/>
      <c r="N43" s="471"/>
      <c r="O43" s="472"/>
      <c r="P43" s="471"/>
      <c r="Q43" s="471"/>
      <c r="R43" s="472"/>
      <c r="S43" s="490"/>
      <c r="T43" s="471"/>
      <c r="U43" s="491"/>
      <c r="V43" s="492"/>
      <c r="X43" s="183">
        <f>'Q (t)'!G43</f>
        <v>0</v>
      </c>
      <c r="Y43" s="184">
        <f>'Q (t)'!H43</f>
        <v>0</v>
      </c>
      <c r="Z43" s="178">
        <f>'Q (t)'!I43</f>
        <v>0</v>
      </c>
      <c r="AA43" s="178">
        <f>'Q (t)'!J43</f>
        <v>0</v>
      </c>
      <c r="AB43" s="179">
        <f>'Q (t)'!K43</f>
        <v>0</v>
      </c>
      <c r="AC43" s="178">
        <f>'Q (t)'!L43</f>
        <v>0</v>
      </c>
      <c r="AD43" s="178">
        <f>'Q (t)'!M43</f>
        <v>0</v>
      </c>
      <c r="AE43" s="178">
        <f>'Q (t)'!N43</f>
        <v>0</v>
      </c>
      <c r="AF43" s="179">
        <f>'Q (t)'!O43</f>
        <v>0</v>
      </c>
      <c r="AG43" s="178">
        <f>'Q (t)'!P43</f>
        <v>0</v>
      </c>
      <c r="AH43" s="178">
        <f>'Q (t)'!Q43</f>
        <v>0</v>
      </c>
      <c r="AI43" s="179">
        <f>'Q (t)'!R43</f>
        <v>0</v>
      </c>
      <c r="AJ43" s="184">
        <f>'Q (t)'!S43</f>
        <v>0</v>
      </c>
      <c r="AK43" s="178">
        <f>'Q (t)'!T43</f>
        <v>0</v>
      </c>
      <c r="AL43" s="184">
        <f>'Q (t)'!U43</f>
        <v>0</v>
      </c>
      <c r="AM43" s="179">
        <f>'Q (t)'!V43</f>
        <v>0</v>
      </c>
      <c r="AO43" s="183">
        <f t="shared" si="2"/>
        <v>0</v>
      </c>
      <c r="AP43" s="184">
        <f t="shared" si="30"/>
        <v>0</v>
      </c>
      <c r="AQ43" s="178">
        <f t="shared" si="30"/>
        <v>0</v>
      </c>
      <c r="AR43" s="178">
        <f t="shared" si="30"/>
        <v>0</v>
      </c>
      <c r="AS43" s="179">
        <f t="shared" si="30"/>
        <v>0</v>
      </c>
      <c r="AT43" s="178">
        <f t="shared" si="30"/>
        <v>0</v>
      </c>
      <c r="AU43" s="178">
        <f t="shared" si="30"/>
        <v>0</v>
      </c>
      <c r="AV43" s="178">
        <f t="shared" si="30"/>
        <v>0</v>
      </c>
      <c r="AW43" s="179">
        <f t="shared" si="30"/>
        <v>0</v>
      </c>
      <c r="AX43" s="178">
        <f t="shared" si="1"/>
        <v>0</v>
      </c>
      <c r="AY43" s="178">
        <f t="shared" si="1"/>
        <v>0</v>
      </c>
      <c r="AZ43" s="179">
        <f t="shared" si="1"/>
        <v>0</v>
      </c>
      <c r="BA43" s="184">
        <f t="shared" si="1"/>
        <v>0</v>
      </c>
      <c r="BB43" s="178">
        <f t="shared" si="1"/>
        <v>0</v>
      </c>
      <c r="BC43" s="184">
        <f t="shared" si="1"/>
        <v>0</v>
      </c>
      <c r="BD43" s="178">
        <f t="shared" si="1"/>
        <v>0</v>
      </c>
      <c r="BE43" s="251">
        <f t="shared" si="3"/>
        <v>0</v>
      </c>
      <c r="BF43" s="252">
        <f t="shared" si="4"/>
        <v>0</v>
      </c>
      <c r="BH43" s="262">
        <f>SUM(AO43)</f>
        <v>0</v>
      </c>
      <c r="BI43" s="262">
        <f>SUM(AP43:AS43)</f>
        <v>0</v>
      </c>
      <c r="BJ43" s="262">
        <f>SUM(AT43:AW43)</f>
        <v>0</v>
      </c>
      <c r="BK43" s="263">
        <f>SUM(AX43:BB43)</f>
        <v>0</v>
      </c>
      <c r="BL43" s="269">
        <f>SUM(BC43:BD43)</f>
        <v>0</v>
      </c>
      <c r="BM43" s="264">
        <f t="shared" si="5"/>
        <v>0</v>
      </c>
      <c r="BO43" s="732" t="str">
        <f t="shared" si="6"/>
        <v/>
      </c>
    </row>
    <row r="44" spans="2:67" ht="15" customHeight="1" x14ac:dyDescent="0.25">
      <c r="B44" s="156">
        <f t="shared" si="27"/>
        <v>3</v>
      </c>
      <c r="C44" s="180" t="s">
        <v>89</v>
      </c>
      <c r="D44" s="181" t="str">
        <f t="shared" si="34"/>
        <v>LB2R</v>
      </c>
      <c r="E44" s="200" t="s">
        <v>90</v>
      </c>
      <c r="G44" s="488">
        <v>0</v>
      </c>
      <c r="H44" s="490"/>
      <c r="I44" s="494">
        <v>5.04E-2</v>
      </c>
      <c r="J44" s="471"/>
      <c r="K44" s="495">
        <v>2.52E-2</v>
      </c>
      <c r="L44" s="471"/>
      <c r="M44" s="471"/>
      <c r="N44" s="471"/>
      <c r="O44" s="472"/>
      <c r="P44" s="471"/>
      <c r="Q44" s="471"/>
      <c r="R44" s="472"/>
      <c r="S44" s="490"/>
      <c r="T44" s="471"/>
      <c r="U44" s="491"/>
      <c r="V44" s="492"/>
      <c r="X44" s="183">
        <f>'Q (t)'!G44</f>
        <v>400</v>
      </c>
      <c r="Y44" s="184">
        <f>'Q (t)'!H44</f>
        <v>0</v>
      </c>
      <c r="Z44" s="178">
        <f>'Q (t)'!I44</f>
        <v>100</v>
      </c>
      <c r="AA44" s="178">
        <f>'Q (t)'!J44</f>
        <v>0</v>
      </c>
      <c r="AB44" s="179">
        <f>'Q (t)'!K44</f>
        <v>100</v>
      </c>
      <c r="AC44" s="178">
        <f>'Q (t)'!L44</f>
        <v>0</v>
      </c>
      <c r="AD44" s="178">
        <f>'Q (t)'!M44</f>
        <v>0</v>
      </c>
      <c r="AE44" s="178">
        <f>'Q (t)'!N44</f>
        <v>0</v>
      </c>
      <c r="AF44" s="179">
        <f>'Q (t)'!O44</f>
        <v>0</v>
      </c>
      <c r="AG44" s="178">
        <f>'Q (t)'!P44</f>
        <v>0</v>
      </c>
      <c r="AH44" s="178">
        <f>'Q (t)'!Q44</f>
        <v>0</v>
      </c>
      <c r="AI44" s="179">
        <f>'Q (t)'!R44</f>
        <v>0</v>
      </c>
      <c r="AJ44" s="184">
        <f>'Q (t)'!S44</f>
        <v>0</v>
      </c>
      <c r="AK44" s="178">
        <f>'Q (t)'!T44</f>
        <v>0</v>
      </c>
      <c r="AL44" s="184">
        <f>'Q (t)'!U44</f>
        <v>0</v>
      </c>
      <c r="AM44" s="179">
        <f>'Q (t)'!V44</f>
        <v>0</v>
      </c>
      <c r="AO44" s="183">
        <f t="shared" si="2"/>
        <v>0</v>
      </c>
      <c r="AP44" s="184">
        <f t="shared" si="30"/>
        <v>0</v>
      </c>
      <c r="AQ44" s="178">
        <f t="shared" si="30"/>
        <v>5.04</v>
      </c>
      <c r="AR44" s="178">
        <f t="shared" si="30"/>
        <v>0</v>
      </c>
      <c r="AS44" s="179">
        <f t="shared" si="30"/>
        <v>2.52</v>
      </c>
      <c r="AT44" s="178">
        <f t="shared" si="30"/>
        <v>0</v>
      </c>
      <c r="AU44" s="178">
        <f t="shared" si="30"/>
        <v>0</v>
      </c>
      <c r="AV44" s="178">
        <f t="shared" si="30"/>
        <v>0</v>
      </c>
      <c r="AW44" s="179">
        <f t="shared" si="30"/>
        <v>0</v>
      </c>
      <c r="AX44" s="178">
        <f t="shared" si="1"/>
        <v>0</v>
      </c>
      <c r="AY44" s="178">
        <f t="shared" si="1"/>
        <v>0</v>
      </c>
      <c r="AZ44" s="179">
        <f t="shared" si="1"/>
        <v>0</v>
      </c>
      <c r="BA44" s="184">
        <f t="shared" si="1"/>
        <v>0</v>
      </c>
      <c r="BB44" s="178">
        <f t="shared" si="1"/>
        <v>0</v>
      </c>
      <c r="BC44" s="184">
        <f t="shared" si="1"/>
        <v>0</v>
      </c>
      <c r="BD44" s="178">
        <f t="shared" si="1"/>
        <v>0</v>
      </c>
      <c r="BE44" s="251">
        <f t="shared" si="3"/>
        <v>1.095890410958904</v>
      </c>
      <c r="BF44" s="252">
        <f t="shared" si="4"/>
        <v>200</v>
      </c>
      <c r="BH44" s="262">
        <f>SUM(AO44)</f>
        <v>0</v>
      </c>
      <c r="BI44" s="262">
        <f>SUM(AP44:AS44)</f>
        <v>7.5600000000000005</v>
      </c>
      <c r="BJ44" s="262">
        <f>SUM(AT44:AW44)</f>
        <v>0</v>
      </c>
      <c r="BK44" s="263">
        <f>SUM(AX44:BB44)</f>
        <v>0</v>
      </c>
      <c r="BL44" s="269">
        <f>SUM(BC44:BD44)</f>
        <v>0</v>
      </c>
      <c r="BM44" s="264">
        <f t="shared" si="5"/>
        <v>7.5600000000000005</v>
      </c>
      <c r="BO44" s="732">
        <f t="shared" si="6"/>
        <v>37.800000000000004</v>
      </c>
    </row>
    <row r="45" spans="2:67" ht="15" customHeight="1" x14ac:dyDescent="0.25">
      <c r="B45" s="156">
        <f t="shared" si="27"/>
        <v>4</v>
      </c>
      <c r="C45" s="180" t="s">
        <v>91</v>
      </c>
      <c r="D45" s="181" t="str">
        <f t="shared" si="34"/>
        <v>LB2RCL</v>
      </c>
      <c r="E45" s="209" t="s">
        <v>92</v>
      </c>
      <c r="G45" s="488">
        <f>G44</f>
        <v>0</v>
      </c>
      <c r="H45" s="490"/>
      <c r="I45" s="494">
        <f>I44</f>
        <v>5.04E-2</v>
      </c>
      <c r="J45" s="471"/>
      <c r="K45" s="495">
        <f>K44</f>
        <v>2.52E-2</v>
      </c>
      <c r="L45" s="494">
        <f>L34</f>
        <v>1.7000000000000001E-2</v>
      </c>
      <c r="M45" s="471"/>
      <c r="N45" s="471"/>
      <c r="O45" s="472"/>
      <c r="P45" s="471"/>
      <c r="Q45" s="471"/>
      <c r="R45" s="472"/>
      <c r="S45" s="490"/>
      <c r="T45" s="471"/>
      <c r="U45" s="491"/>
      <c r="V45" s="492"/>
      <c r="X45" s="183">
        <f>'Q (t)'!G45</f>
        <v>0</v>
      </c>
      <c r="Y45" s="184">
        <f>'Q (t)'!H45</f>
        <v>0</v>
      </c>
      <c r="Z45" s="178">
        <f>'Q (t)'!I45</f>
        <v>0</v>
      </c>
      <c r="AA45" s="178">
        <f>'Q (t)'!J45</f>
        <v>0</v>
      </c>
      <c r="AB45" s="179">
        <f>'Q (t)'!K45</f>
        <v>0</v>
      </c>
      <c r="AC45" s="178">
        <f>'Q (t)'!L45</f>
        <v>0</v>
      </c>
      <c r="AD45" s="178">
        <f>'Q (t)'!M45</f>
        <v>0</v>
      </c>
      <c r="AE45" s="178">
        <f>'Q (t)'!N45</f>
        <v>0</v>
      </c>
      <c r="AF45" s="179">
        <f>'Q (t)'!O45</f>
        <v>0</v>
      </c>
      <c r="AG45" s="178">
        <f>'Q (t)'!P45</f>
        <v>0</v>
      </c>
      <c r="AH45" s="178">
        <f>'Q (t)'!Q45</f>
        <v>0</v>
      </c>
      <c r="AI45" s="179">
        <f>'Q (t)'!R45</f>
        <v>0</v>
      </c>
      <c r="AJ45" s="184">
        <f>'Q (t)'!S45</f>
        <v>0</v>
      </c>
      <c r="AK45" s="178">
        <f>'Q (t)'!T45</f>
        <v>0</v>
      </c>
      <c r="AL45" s="184">
        <f>'Q (t)'!U45</f>
        <v>0</v>
      </c>
      <c r="AM45" s="179">
        <f>'Q (t)'!V45</f>
        <v>0</v>
      </c>
      <c r="AO45" s="183">
        <f t="shared" si="2"/>
        <v>0</v>
      </c>
      <c r="AP45" s="184">
        <f t="shared" si="30"/>
        <v>0</v>
      </c>
      <c r="AQ45" s="178">
        <f t="shared" si="30"/>
        <v>0</v>
      </c>
      <c r="AR45" s="178">
        <f t="shared" si="30"/>
        <v>0</v>
      </c>
      <c r="AS45" s="179">
        <f t="shared" si="30"/>
        <v>0</v>
      </c>
      <c r="AT45" s="178">
        <f t="shared" si="30"/>
        <v>0</v>
      </c>
      <c r="AU45" s="178">
        <f t="shared" si="30"/>
        <v>0</v>
      </c>
      <c r="AV45" s="178">
        <f t="shared" si="30"/>
        <v>0</v>
      </c>
      <c r="AW45" s="179">
        <f t="shared" si="30"/>
        <v>0</v>
      </c>
      <c r="AX45" s="178">
        <f t="shared" si="1"/>
        <v>0</v>
      </c>
      <c r="AY45" s="178">
        <f t="shared" si="1"/>
        <v>0</v>
      </c>
      <c r="AZ45" s="179">
        <f t="shared" si="1"/>
        <v>0</v>
      </c>
      <c r="BA45" s="184">
        <f t="shared" si="1"/>
        <v>0</v>
      </c>
      <c r="BB45" s="178">
        <f t="shared" si="1"/>
        <v>0</v>
      </c>
      <c r="BC45" s="184">
        <f t="shared" si="1"/>
        <v>0</v>
      </c>
      <c r="BD45" s="178">
        <f t="shared" si="1"/>
        <v>0</v>
      </c>
      <c r="BE45" s="251">
        <f t="shared" si="3"/>
        <v>0</v>
      </c>
      <c r="BF45" s="252">
        <f t="shared" si="4"/>
        <v>0</v>
      </c>
      <c r="BH45" s="262">
        <f>SUM(AO45)</f>
        <v>0</v>
      </c>
      <c r="BI45" s="262">
        <f>SUM(AP45:AS45)</f>
        <v>0</v>
      </c>
      <c r="BJ45" s="262">
        <f>SUM(AT45:AW45)</f>
        <v>0</v>
      </c>
      <c r="BK45" s="263">
        <f>SUM(AX45:BB45)</f>
        <v>0</v>
      </c>
      <c r="BL45" s="269">
        <f>SUM(BC45:BD45)</f>
        <v>0</v>
      </c>
      <c r="BM45" s="264">
        <f t="shared" si="5"/>
        <v>0</v>
      </c>
      <c r="BO45" s="732" t="str">
        <f t="shared" si="6"/>
        <v/>
      </c>
    </row>
    <row r="46" spans="2:67" ht="15" customHeight="1" x14ac:dyDescent="0.25">
      <c r="B46" s="156"/>
      <c r="C46" s="126" t="s">
        <v>93</v>
      </c>
      <c r="D46" s="173"/>
      <c r="E46" s="202"/>
      <c r="G46" s="493"/>
      <c r="H46" s="490"/>
      <c r="I46" s="471"/>
      <c r="J46" s="471"/>
      <c r="K46" s="472"/>
      <c r="L46" s="471"/>
      <c r="M46" s="471"/>
      <c r="N46" s="471"/>
      <c r="O46" s="472"/>
      <c r="P46" s="471"/>
      <c r="Q46" s="471"/>
      <c r="R46" s="472"/>
      <c r="S46" s="490"/>
      <c r="T46" s="471"/>
      <c r="U46" s="490"/>
      <c r="V46" s="472"/>
      <c r="X46" s="183">
        <f>'Q (t)'!G46</f>
        <v>0</v>
      </c>
      <c r="Y46" s="184">
        <f>'Q (t)'!H46</f>
        <v>0</v>
      </c>
      <c r="Z46" s="178">
        <f>'Q (t)'!I46</f>
        <v>0</v>
      </c>
      <c r="AA46" s="178">
        <f>'Q (t)'!J46</f>
        <v>0</v>
      </c>
      <c r="AB46" s="179">
        <f>'Q (t)'!K46</f>
        <v>0</v>
      </c>
      <c r="AC46" s="178">
        <f>'Q (t)'!L46</f>
        <v>0</v>
      </c>
      <c r="AD46" s="178">
        <f>'Q (t)'!M46</f>
        <v>0</v>
      </c>
      <c r="AE46" s="178">
        <f>'Q (t)'!N46</f>
        <v>0</v>
      </c>
      <c r="AF46" s="179">
        <f>'Q (t)'!O46</f>
        <v>0</v>
      </c>
      <c r="AG46" s="178">
        <f>'Q (t)'!P46</f>
        <v>0</v>
      </c>
      <c r="AH46" s="178">
        <f>'Q (t)'!Q46</f>
        <v>0</v>
      </c>
      <c r="AI46" s="179">
        <f>'Q (t)'!R46</f>
        <v>0</v>
      </c>
      <c r="AJ46" s="184">
        <f>'Q (t)'!S46</f>
        <v>0</v>
      </c>
      <c r="AK46" s="178">
        <f>'Q (t)'!T46</f>
        <v>0</v>
      </c>
      <c r="AL46" s="184">
        <f>'Q (t)'!U46</f>
        <v>0</v>
      </c>
      <c r="AM46" s="179">
        <f>'Q (t)'!V46</f>
        <v>0</v>
      </c>
      <c r="AO46" s="183">
        <f t="shared" si="2"/>
        <v>0</v>
      </c>
      <c r="AP46" s="184">
        <f t="shared" si="30"/>
        <v>0</v>
      </c>
      <c r="AQ46" s="178">
        <f t="shared" si="30"/>
        <v>0</v>
      </c>
      <c r="AR46" s="178">
        <f t="shared" si="30"/>
        <v>0</v>
      </c>
      <c r="AS46" s="179">
        <f t="shared" si="30"/>
        <v>0</v>
      </c>
      <c r="AT46" s="178">
        <f t="shared" si="30"/>
        <v>0</v>
      </c>
      <c r="AU46" s="178">
        <f t="shared" si="30"/>
        <v>0</v>
      </c>
      <c r="AV46" s="178">
        <f t="shared" si="30"/>
        <v>0</v>
      </c>
      <c r="AW46" s="179">
        <f t="shared" si="30"/>
        <v>0</v>
      </c>
      <c r="AX46" s="178">
        <f t="shared" si="1"/>
        <v>0</v>
      </c>
      <c r="AY46" s="178">
        <f t="shared" si="1"/>
        <v>0</v>
      </c>
      <c r="AZ46" s="179">
        <f t="shared" si="1"/>
        <v>0</v>
      </c>
      <c r="BA46" s="184">
        <f t="shared" si="1"/>
        <v>0</v>
      </c>
      <c r="BB46" s="178">
        <f t="shared" si="1"/>
        <v>0</v>
      </c>
      <c r="BC46" s="184">
        <f t="shared" si="1"/>
        <v>0</v>
      </c>
      <c r="BD46" s="178">
        <f t="shared" si="1"/>
        <v>0</v>
      </c>
      <c r="BE46" s="251">
        <f t="shared" si="3"/>
        <v>0</v>
      </c>
      <c r="BF46" s="252">
        <f t="shared" si="4"/>
        <v>0</v>
      </c>
      <c r="BH46" s="259">
        <f>SUBTOTAL(9,BH47:BH67)</f>
        <v>0</v>
      </c>
      <c r="BI46" s="259">
        <f>SUBTOTAL(9,BI47:BI67)</f>
        <v>39999.82</v>
      </c>
      <c r="BJ46" s="259">
        <f>SUBTOTAL(9,BJ47:BJ67)</f>
        <v>0</v>
      </c>
      <c r="BK46" s="259">
        <f>SUBTOTAL(9,BK47:BK67)</f>
        <v>28298.91992</v>
      </c>
      <c r="BL46" s="259">
        <f>SUBTOTAL(9,BL47:BL67)</f>
        <v>0</v>
      </c>
      <c r="BM46" s="264">
        <f t="shared" si="5"/>
        <v>68298.739919999993</v>
      </c>
      <c r="BO46" s="732" t="str">
        <f t="shared" si="6"/>
        <v/>
      </c>
    </row>
    <row r="47" spans="2:67" ht="15" customHeight="1" x14ac:dyDescent="0.25">
      <c r="B47" s="156">
        <f>B45+1</f>
        <v>5</v>
      </c>
      <c r="C47" s="180" t="s">
        <v>599</v>
      </c>
      <c r="D47" s="181" t="s">
        <v>600</v>
      </c>
      <c r="E47" s="210" t="s">
        <v>94</v>
      </c>
      <c r="G47" s="488">
        <v>0</v>
      </c>
      <c r="H47" s="490"/>
      <c r="I47" s="494">
        <v>1.7600000000000001E-2</v>
      </c>
      <c r="J47" s="471"/>
      <c r="K47" s="495">
        <v>1.0999999999999999E-2</v>
      </c>
      <c r="L47" s="471"/>
      <c r="M47" s="471"/>
      <c r="N47" s="471"/>
      <c r="O47" s="472"/>
      <c r="P47" s="471"/>
      <c r="Q47" s="471"/>
      <c r="R47" s="472"/>
      <c r="S47" s="489">
        <v>0.10829999999999999</v>
      </c>
      <c r="T47" s="494">
        <v>0</v>
      </c>
      <c r="U47" s="491"/>
      <c r="V47" s="492"/>
      <c r="X47" s="183">
        <f>'Q (t)'!G47</f>
        <v>1389555</v>
      </c>
      <c r="Y47" s="184">
        <f>'Q (t)'!H47</f>
        <v>0</v>
      </c>
      <c r="Z47" s="178">
        <f>'Q (t)'!I47</f>
        <v>1286940</v>
      </c>
      <c r="AA47" s="178">
        <f>'Q (t)'!J47</f>
        <v>0</v>
      </c>
      <c r="AB47" s="179">
        <f>'Q (t)'!K47</f>
        <v>1235550</v>
      </c>
      <c r="AC47" s="178">
        <f>'Q (t)'!L47</f>
        <v>0</v>
      </c>
      <c r="AD47" s="178">
        <f>'Q (t)'!M47</f>
        <v>0</v>
      </c>
      <c r="AE47" s="178">
        <f>'Q (t)'!N47</f>
        <v>0</v>
      </c>
      <c r="AF47" s="179">
        <f>'Q (t)'!O47</f>
        <v>0</v>
      </c>
      <c r="AG47" s="178">
        <f>'Q (t)'!P47</f>
        <v>0</v>
      </c>
      <c r="AH47" s="178">
        <f>'Q (t)'!Q47</f>
        <v>0</v>
      </c>
      <c r="AI47" s="179">
        <f>'Q (t)'!R47</f>
        <v>0</v>
      </c>
      <c r="AJ47" s="184">
        <f>'Q (t)'!S47</f>
        <v>236666000</v>
      </c>
      <c r="AK47" s="178">
        <f>'Q (t)'!T47</f>
        <v>323704630</v>
      </c>
      <c r="AL47" s="184">
        <f>'Q (t)'!U47</f>
        <v>0</v>
      </c>
      <c r="AM47" s="179">
        <f>'Q (t)'!V47</f>
        <v>0</v>
      </c>
      <c r="AO47" s="183">
        <f t="shared" si="2"/>
        <v>0</v>
      </c>
      <c r="AP47" s="184">
        <f t="shared" si="30"/>
        <v>0</v>
      </c>
      <c r="AQ47" s="178">
        <f t="shared" si="30"/>
        <v>22650.144</v>
      </c>
      <c r="AR47" s="178">
        <f t="shared" si="30"/>
        <v>0</v>
      </c>
      <c r="AS47" s="179">
        <f t="shared" si="30"/>
        <v>13591.05</v>
      </c>
      <c r="AT47" s="178">
        <f t="shared" si="30"/>
        <v>0</v>
      </c>
      <c r="AU47" s="178">
        <f t="shared" si="30"/>
        <v>0</v>
      </c>
      <c r="AV47" s="178">
        <f t="shared" si="30"/>
        <v>0</v>
      </c>
      <c r="AW47" s="179">
        <f t="shared" si="30"/>
        <v>0</v>
      </c>
      <c r="AX47" s="178">
        <f t="shared" si="1"/>
        <v>0</v>
      </c>
      <c r="AY47" s="178">
        <f t="shared" si="1"/>
        <v>0</v>
      </c>
      <c r="AZ47" s="179">
        <f t="shared" si="1"/>
        <v>0</v>
      </c>
      <c r="BA47" s="184">
        <f t="shared" si="1"/>
        <v>25630.927799999998</v>
      </c>
      <c r="BB47" s="178">
        <f t="shared" si="1"/>
        <v>0</v>
      </c>
      <c r="BC47" s="184">
        <f t="shared" si="1"/>
        <v>0</v>
      </c>
      <c r="BD47" s="178">
        <f t="shared" si="1"/>
        <v>0</v>
      </c>
      <c r="BE47" s="251">
        <f t="shared" si="3"/>
        <v>3807</v>
      </c>
      <c r="BF47" s="252">
        <f t="shared" si="4"/>
        <v>2522490</v>
      </c>
      <c r="BH47" s="262">
        <f t="shared" ref="BH47:BH67" si="35">SUM(AO47)</f>
        <v>0</v>
      </c>
      <c r="BI47" s="262">
        <f t="shared" ref="BI47:BI67" si="36">SUM(AP47:AS47)</f>
        <v>36241.194000000003</v>
      </c>
      <c r="BJ47" s="262">
        <f t="shared" ref="BJ47:BJ67" si="37">SUM(AT47:AW47)</f>
        <v>0</v>
      </c>
      <c r="BK47" s="263">
        <f t="shared" ref="BK47:BK67" si="38">SUM(AX47:BB47)</f>
        <v>25630.927799999998</v>
      </c>
      <c r="BL47" s="269">
        <f t="shared" ref="BL47:BL67" si="39">SUM(BC47:BD47)</f>
        <v>0</v>
      </c>
      <c r="BM47" s="264">
        <f t="shared" si="5"/>
        <v>61872.121800000001</v>
      </c>
      <c r="BO47" s="732">
        <f t="shared" si="6"/>
        <v>24.528193094918119</v>
      </c>
    </row>
    <row r="48" spans="2:67" ht="15" customHeight="1" x14ac:dyDescent="0.25">
      <c r="B48" s="156">
        <f t="shared" si="27"/>
        <v>6</v>
      </c>
      <c r="C48" s="180" t="s">
        <v>597</v>
      </c>
      <c r="D48" s="181" t="s">
        <v>601</v>
      </c>
      <c r="E48" s="210" t="s">
        <v>95</v>
      </c>
      <c r="G48" s="488">
        <v>0</v>
      </c>
      <c r="H48" s="490"/>
      <c r="I48" s="494">
        <v>1.7600000000000001E-2</v>
      </c>
      <c r="J48" s="471"/>
      <c r="K48" s="495">
        <v>1.0999999999999999E-2</v>
      </c>
      <c r="L48" s="471"/>
      <c r="M48" s="471"/>
      <c r="N48" s="471"/>
      <c r="O48" s="472"/>
      <c r="P48" s="494">
        <v>0.3926</v>
      </c>
      <c r="Q48" s="471"/>
      <c r="R48" s="472"/>
      <c r="S48" s="490"/>
      <c r="T48" s="494">
        <v>0</v>
      </c>
      <c r="U48" s="490"/>
      <c r="V48" s="472"/>
      <c r="X48" s="183">
        <f>'Q (t)'!G48</f>
        <v>109865</v>
      </c>
      <c r="Y48" s="184">
        <f>'Q (t)'!H48</f>
        <v>0</v>
      </c>
      <c r="Z48" s="178">
        <f>'Q (t)'!I48</f>
        <v>79500</v>
      </c>
      <c r="AA48" s="178">
        <f>'Q (t)'!J48</f>
        <v>0</v>
      </c>
      <c r="AB48" s="179">
        <f>'Q (t)'!K48</f>
        <v>54000</v>
      </c>
      <c r="AC48" s="178">
        <f>'Q (t)'!L48</f>
        <v>0</v>
      </c>
      <c r="AD48" s="178">
        <f>'Q (t)'!M48</f>
        <v>0</v>
      </c>
      <c r="AE48" s="178">
        <f>'Q (t)'!N48</f>
        <v>0</v>
      </c>
      <c r="AF48" s="179">
        <f>'Q (t)'!O48</f>
        <v>0</v>
      </c>
      <c r="AG48" s="178">
        <f>'Q (t)'!P48</f>
        <v>3651331</v>
      </c>
      <c r="AH48" s="178">
        <f>'Q (t)'!Q48</f>
        <v>0</v>
      </c>
      <c r="AI48" s="179">
        <f>'Q (t)'!R48</f>
        <v>0</v>
      </c>
      <c r="AJ48" s="184">
        <f>'Q (t)'!S48</f>
        <v>0</v>
      </c>
      <c r="AK48" s="178">
        <f>'Q (t)'!T48</f>
        <v>30277845</v>
      </c>
      <c r="AL48" s="184">
        <f>'Q (t)'!U48</f>
        <v>0</v>
      </c>
      <c r="AM48" s="179">
        <f>'Q (t)'!V48</f>
        <v>0</v>
      </c>
      <c r="AO48" s="183">
        <f t="shared" si="2"/>
        <v>0</v>
      </c>
      <c r="AP48" s="184">
        <f t="shared" si="30"/>
        <v>0</v>
      </c>
      <c r="AQ48" s="178">
        <f>I48*Z48</f>
        <v>1399.2</v>
      </c>
      <c r="AR48" s="178">
        <f t="shared" si="30"/>
        <v>0</v>
      </c>
      <c r="AS48" s="179">
        <f t="shared" si="30"/>
        <v>594</v>
      </c>
      <c r="AT48" s="178">
        <f t="shared" si="30"/>
        <v>0</v>
      </c>
      <c r="AU48" s="178">
        <f t="shared" si="30"/>
        <v>0</v>
      </c>
      <c r="AV48" s="178">
        <f t="shared" si="30"/>
        <v>0</v>
      </c>
      <c r="AW48" s="179">
        <f t="shared" si="30"/>
        <v>0</v>
      </c>
      <c r="AX48" s="178">
        <f t="shared" si="1"/>
        <v>1433.5125505999999</v>
      </c>
      <c r="AY48" s="178">
        <f t="shared" si="1"/>
        <v>0</v>
      </c>
      <c r="AZ48" s="179">
        <f t="shared" si="1"/>
        <v>0</v>
      </c>
      <c r="BA48" s="184">
        <f t="shared" si="1"/>
        <v>0</v>
      </c>
      <c r="BB48" s="178">
        <f t="shared" si="1"/>
        <v>0</v>
      </c>
      <c r="BC48" s="184">
        <f t="shared" si="1"/>
        <v>0</v>
      </c>
      <c r="BD48" s="178">
        <f t="shared" si="1"/>
        <v>0</v>
      </c>
      <c r="BE48" s="251">
        <f t="shared" si="3"/>
        <v>301</v>
      </c>
      <c r="BF48" s="252">
        <f t="shared" si="4"/>
        <v>133500</v>
      </c>
      <c r="BH48" s="262">
        <f t="shared" si="35"/>
        <v>0</v>
      </c>
      <c r="BI48" s="262">
        <f t="shared" si="36"/>
        <v>1993.2</v>
      </c>
      <c r="BJ48" s="262">
        <f t="shared" si="37"/>
        <v>0</v>
      </c>
      <c r="BK48" s="263">
        <f t="shared" si="38"/>
        <v>1433.5125505999999</v>
      </c>
      <c r="BL48" s="269">
        <f t="shared" si="39"/>
        <v>0</v>
      </c>
      <c r="BM48" s="264">
        <f t="shared" si="5"/>
        <v>3426.7125506000002</v>
      </c>
      <c r="BO48" s="732">
        <f t="shared" si="6"/>
        <v>25.668258805992512</v>
      </c>
    </row>
    <row r="49" spans="2:67" ht="15" customHeight="1" x14ac:dyDescent="0.25">
      <c r="B49" s="156">
        <f t="shared" si="27"/>
        <v>7</v>
      </c>
      <c r="C49" s="180" t="s">
        <v>598</v>
      </c>
      <c r="D49" s="181" t="s">
        <v>602</v>
      </c>
      <c r="E49" s="210" t="s">
        <v>96</v>
      </c>
      <c r="G49" s="488"/>
      <c r="H49" s="490"/>
      <c r="I49" s="494"/>
      <c r="J49" s="471"/>
      <c r="K49" s="495"/>
      <c r="L49" s="471"/>
      <c r="M49" s="471"/>
      <c r="N49" s="471"/>
      <c r="O49" s="472"/>
      <c r="P49" s="471"/>
      <c r="Q49" s="471"/>
      <c r="R49" s="472"/>
      <c r="S49" s="490"/>
      <c r="T49" s="471"/>
      <c r="U49" s="490"/>
      <c r="V49" s="472"/>
      <c r="X49" s="183">
        <f>'Q (t)'!G49</f>
        <v>0</v>
      </c>
      <c r="Y49" s="184">
        <f>'Q (t)'!H49</f>
        <v>0</v>
      </c>
      <c r="Z49" s="178">
        <f>'Q (t)'!I49</f>
        <v>0</v>
      </c>
      <c r="AA49" s="178">
        <f>'Q (t)'!J49</f>
        <v>0</v>
      </c>
      <c r="AB49" s="179">
        <f>'Q (t)'!K49</f>
        <v>0</v>
      </c>
      <c r="AC49" s="178">
        <f>'Q (t)'!L49</f>
        <v>0</v>
      </c>
      <c r="AD49" s="178">
        <f>'Q (t)'!M49</f>
        <v>0</v>
      </c>
      <c r="AE49" s="178">
        <f>'Q (t)'!N49</f>
        <v>0</v>
      </c>
      <c r="AF49" s="179">
        <f>'Q (t)'!O49</f>
        <v>0</v>
      </c>
      <c r="AG49" s="178">
        <f>'Q (t)'!P49</f>
        <v>0</v>
      </c>
      <c r="AH49" s="178">
        <f>'Q (t)'!Q49</f>
        <v>0</v>
      </c>
      <c r="AI49" s="179">
        <f>'Q (t)'!R49</f>
        <v>0</v>
      </c>
      <c r="AJ49" s="184">
        <f>'Q (t)'!S49</f>
        <v>0</v>
      </c>
      <c r="AK49" s="178">
        <f>'Q (t)'!T49</f>
        <v>0</v>
      </c>
      <c r="AL49" s="184">
        <f>'Q (t)'!U49</f>
        <v>0</v>
      </c>
      <c r="AM49" s="179">
        <f>'Q (t)'!V49</f>
        <v>0</v>
      </c>
      <c r="AO49" s="183">
        <f t="shared" si="2"/>
        <v>0</v>
      </c>
      <c r="AP49" s="184">
        <f t="shared" si="30"/>
        <v>0</v>
      </c>
      <c r="AQ49" s="178">
        <f t="shared" si="30"/>
        <v>0</v>
      </c>
      <c r="AR49" s="178">
        <f t="shared" si="30"/>
        <v>0</v>
      </c>
      <c r="AS49" s="179">
        <f t="shared" si="30"/>
        <v>0</v>
      </c>
      <c r="AT49" s="178">
        <f t="shared" si="30"/>
        <v>0</v>
      </c>
      <c r="AU49" s="178">
        <f t="shared" si="30"/>
        <v>0</v>
      </c>
      <c r="AV49" s="178">
        <f t="shared" si="30"/>
        <v>0</v>
      </c>
      <c r="AW49" s="179">
        <f t="shared" si="30"/>
        <v>0</v>
      </c>
      <c r="AX49" s="178">
        <f t="shared" si="1"/>
        <v>0</v>
      </c>
      <c r="AY49" s="178">
        <f t="shared" si="1"/>
        <v>0</v>
      </c>
      <c r="AZ49" s="179">
        <f t="shared" si="1"/>
        <v>0</v>
      </c>
      <c r="BA49" s="184">
        <f t="shared" si="1"/>
        <v>0</v>
      </c>
      <c r="BB49" s="178">
        <f t="shared" si="1"/>
        <v>0</v>
      </c>
      <c r="BC49" s="184">
        <f t="shared" si="1"/>
        <v>0</v>
      </c>
      <c r="BD49" s="178">
        <f t="shared" si="1"/>
        <v>0</v>
      </c>
      <c r="BE49" s="251">
        <f t="shared" si="3"/>
        <v>0</v>
      </c>
      <c r="BF49" s="252">
        <f t="shared" si="4"/>
        <v>0</v>
      </c>
      <c r="BH49" s="262">
        <f t="shared" si="35"/>
        <v>0</v>
      </c>
      <c r="BI49" s="262">
        <f t="shared" si="36"/>
        <v>0</v>
      </c>
      <c r="BJ49" s="262">
        <f t="shared" si="37"/>
        <v>0</v>
      </c>
      <c r="BK49" s="263">
        <f t="shared" si="38"/>
        <v>0</v>
      </c>
      <c r="BL49" s="269">
        <f t="shared" si="39"/>
        <v>0</v>
      </c>
      <c r="BM49" s="264">
        <f t="shared" si="5"/>
        <v>0</v>
      </c>
      <c r="BO49" s="732" t="str">
        <f t="shared" si="6"/>
        <v/>
      </c>
    </row>
    <row r="50" spans="2:67" ht="15" customHeight="1" x14ac:dyDescent="0.25">
      <c r="B50" s="156">
        <f t="shared" si="27"/>
        <v>8</v>
      </c>
      <c r="C50" s="180" t="s">
        <v>97</v>
      </c>
      <c r="D50" s="181" t="s">
        <v>97</v>
      </c>
      <c r="E50" s="210" t="s">
        <v>98</v>
      </c>
      <c r="G50" s="488">
        <v>0</v>
      </c>
      <c r="H50" s="489">
        <v>2.0299999999999999E-2</v>
      </c>
      <c r="I50" s="471"/>
      <c r="J50" s="471"/>
      <c r="K50" s="472"/>
      <c r="L50" s="471"/>
      <c r="M50" s="471"/>
      <c r="N50" s="471"/>
      <c r="O50" s="472"/>
      <c r="P50" s="471"/>
      <c r="Q50" s="494">
        <v>8.6800000000000002E-2</v>
      </c>
      <c r="R50" s="495">
        <v>4.2900000000000001E-2</v>
      </c>
      <c r="S50" s="490"/>
      <c r="T50" s="471"/>
      <c r="U50" s="490"/>
      <c r="V50" s="472"/>
      <c r="X50" s="183">
        <f>'Q (t)'!G50</f>
        <v>79205</v>
      </c>
      <c r="Y50" s="184">
        <f>'Q (t)'!H50</f>
        <v>71000</v>
      </c>
      <c r="Z50" s="178">
        <f>'Q (t)'!I50</f>
        <v>0</v>
      </c>
      <c r="AA50" s="178">
        <f>'Q (t)'!J50</f>
        <v>0</v>
      </c>
      <c r="AB50" s="179">
        <f>'Q (t)'!K50</f>
        <v>0</v>
      </c>
      <c r="AC50" s="178">
        <f>'Q (t)'!L50</f>
        <v>0</v>
      </c>
      <c r="AD50" s="178">
        <f>'Q (t)'!M50</f>
        <v>0</v>
      </c>
      <c r="AE50" s="178">
        <f>'Q (t)'!N50</f>
        <v>0</v>
      </c>
      <c r="AF50" s="179">
        <f>'Q (t)'!O50</f>
        <v>0</v>
      </c>
      <c r="AG50" s="178">
        <f>'Q (t)'!P50</f>
        <v>0</v>
      </c>
      <c r="AH50" s="178">
        <f>'Q (t)'!Q50</f>
        <v>5382848</v>
      </c>
      <c r="AI50" s="179">
        <f>'Q (t)'!R50</f>
        <v>11592765</v>
      </c>
      <c r="AJ50" s="184">
        <f>'Q (t)'!S50</f>
        <v>0</v>
      </c>
      <c r="AK50" s="178">
        <f>'Q (t)'!T50</f>
        <v>0</v>
      </c>
      <c r="AL50" s="184">
        <f>'Q (t)'!U50</f>
        <v>0</v>
      </c>
      <c r="AM50" s="179">
        <f>'Q (t)'!V50</f>
        <v>0</v>
      </c>
      <c r="AO50" s="183">
        <f t="shared" si="2"/>
        <v>0</v>
      </c>
      <c r="AP50" s="184">
        <f t="shared" si="30"/>
        <v>1441.3</v>
      </c>
      <c r="AQ50" s="178">
        <f t="shared" si="30"/>
        <v>0</v>
      </c>
      <c r="AR50" s="178">
        <f t="shared" si="30"/>
        <v>0</v>
      </c>
      <c r="AS50" s="179">
        <f t="shared" si="30"/>
        <v>0</v>
      </c>
      <c r="AT50" s="178">
        <f t="shared" si="30"/>
        <v>0</v>
      </c>
      <c r="AU50" s="178">
        <f t="shared" si="30"/>
        <v>0</v>
      </c>
      <c r="AV50" s="178">
        <f t="shared" si="30"/>
        <v>0</v>
      </c>
      <c r="AW50" s="179">
        <f t="shared" si="30"/>
        <v>0</v>
      </c>
      <c r="AX50" s="178">
        <f t="shared" si="1"/>
        <v>0</v>
      </c>
      <c r="AY50" s="178">
        <f t="shared" si="1"/>
        <v>467.23120640000002</v>
      </c>
      <c r="AZ50" s="179">
        <f t="shared" si="1"/>
        <v>497.32961849999998</v>
      </c>
      <c r="BA50" s="184">
        <f t="shared" si="1"/>
        <v>0</v>
      </c>
      <c r="BB50" s="178">
        <f t="shared" si="1"/>
        <v>0</v>
      </c>
      <c r="BC50" s="184">
        <f t="shared" si="1"/>
        <v>0</v>
      </c>
      <c r="BD50" s="178">
        <f t="shared" si="1"/>
        <v>0</v>
      </c>
      <c r="BE50" s="251">
        <f t="shared" si="3"/>
        <v>217</v>
      </c>
      <c r="BF50" s="252">
        <f t="shared" ref="BF50:BF77" si="40">SUM(Y50:AF50)</f>
        <v>71000</v>
      </c>
      <c r="BH50" s="262">
        <f t="shared" si="35"/>
        <v>0</v>
      </c>
      <c r="BI50" s="262">
        <f t="shared" si="36"/>
        <v>1441.3</v>
      </c>
      <c r="BJ50" s="262">
        <f t="shared" si="37"/>
        <v>0</v>
      </c>
      <c r="BK50" s="263">
        <f t="shared" si="38"/>
        <v>964.56082489999994</v>
      </c>
      <c r="BL50" s="269">
        <f t="shared" si="39"/>
        <v>0</v>
      </c>
      <c r="BM50" s="264">
        <f t="shared" si="5"/>
        <v>2405.8608248999999</v>
      </c>
      <c r="BO50" s="732">
        <f t="shared" si="6"/>
        <v>33.885363730985915</v>
      </c>
    </row>
    <row r="51" spans="2:67" ht="15" customHeight="1" x14ac:dyDescent="0.25">
      <c r="B51" s="156">
        <f t="shared" si="27"/>
        <v>9</v>
      </c>
      <c r="C51" s="180" t="s">
        <v>603</v>
      </c>
      <c r="D51" s="181" t="s">
        <v>604</v>
      </c>
      <c r="E51" s="210" t="s">
        <v>99</v>
      </c>
      <c r="G51" s="488">
        <v>0</v>
      </c>
      <c r="H51" s="490"/>
      <c r="I51" s="494">
        <v>0</v>
      </c>
      <c r="J51" s="471"/>
      <c r="K51" s="495">
        <v>0</v>
      </c>
      <c r="L51" s="471"/>
      <c r="M51" s="471"/>
      <c r="N51" s="471"/>
      <c r="O51" s="472"/>
      <c r="P51" s="471"/>
      <c r="Q51" s="471"/>
      <c r="R51" s="472"/>
      <c r="S51" s="489">
        <v>0.10829999999999999</v>
      </c>
      <c r="T51" s="495">
        <v>0</v>
      </c>
      <c r="U51" s="490"/>
      <c r="V51" s="472"/>
      <c r="X51" s="183">
        <f>'Q (t)'!G51</f>
        <v>365</v>
      </c>
      <c r="Y51" s="184">
        <f>'Q (t)'!H51</f>
        <v>0</v>
      </c>
      <c r="Z51" s="178">
        <f>'Q (t)'!I51</f>
        <v>0</v>
      </c>
      <c r="AA51" s="178">
        <f>'Q (t)'!J51</f>
        <v>0</v>
      </c>
      <c r="AB51" s="179">
        <f>'Q (t)'!K51</f>
        <v>100</v>
      </c>
      <c r="AC51" s="178">
        <f>'Q (t)'!L51</f>
        <v>0</v>
      </c>
      <c r="AD51" s="178">
        <f>'Q (t)'!M51</f>
        <v>0</v>
      </c>
      <c r="AE51" s="178">
        <f>'Q (t)'!N51</f>
        <v>0</v>
      </c>
      <c r="AF51" s="179">
        <f>'Q (t)'!O51</f>
        <v>0</v>
      </c>
      <c r="AG51" s="178">
        <f>'Q (t)'!P51</f>
        <v>0</v>
      </c>
      <c r="AH51" s="178">
        <f>'Q (t)'!Q51</f>
        <v>0</v>
      </c>
      <c r="AI51" s="179">
        <f>'Q (t)'!R51</f>
        <v>0</v>
      </c>
      <c r="AJ51" s="184">
        <f>'Q (t)'!S51</f>
        <v>0</v>
      </c>
      <c r="AK51" s="178">
        <f>'Q (t)'!T51</f>
        <v>0</v>
      </c>
      <c r="AL51" s="184">
        <f>'Q (t)'!U51</f>
        <v>0</v>
      </c>
      <c r="AM51" s="179">
        <f>'Q (t)'!V51</f>
        <v>0</v>
      </c>
      <c r="AO51" s="183">
        <f t="shared" si="2"/>
        <v>0</v>
      </c>
      <c r="AP51" s="184">
        <f t="shared" si="30"/>
        <v>0</v>
      </c>
      <c r="AQ51" s="178">
        <f t="shared" si="30"/>
        <v>0</v>
      </c>
      <c r="AR51" s="178">
        <f t="shared" si="30"/>
        <v>0</v>
      </c>
      <c r="AS51" s="179">
        <f t="shared" si="30"/>
        <v>0</v>
      </c>
      <c r="AT51" s="178">
        <f t="shared" si="30"/>
        <v>0</v>
      </c>
      <c r="AU51" s="178">
        <f t="shared" si="30"/>
        <v>0</v>
      </c>
      <c r="AV51" s="178">
        <f t="shared" si="30"/>
        <v>0</v>
      </c>
      <c r="AW51" s="179">
        <f t="shared" si="30"/>
        <v>0</v>
      </c>
      <c r="AX51" s="178">
        <f t="shared" si="1"/>
        <v>0</v>
      </c>
      <c r="AY51" s="178">
        <f t="shared" si="1"/>
        <v>0</v>
      </c>
      <c r="AZ51" s="179">
        <f t="shared" si="1"/>
        <v>0</v>
      </c>
      <c r="BA51" s="184">
        <f t="shared" ref="BA51:BD111" si="41">S51*AJ51/1000</f>
        <v>0</v>
      </c>
      <c r="BB51" s="178">
        <f t="shared" si="41"/>
        <v>0</v>
      </c>
      <c r="BC51" s="184">
        <f t="shared" si="41"/>
        <v>0</v>
      </c>
      <c r="BD51" s="178">
        <f t="shared" si="41"/>
        <v>0</v>
      </c>
      <c r="BE51" s="251">
        <f t="shared" si="3"/>
        <v>1</v>
      </c>
      <c r="BF51" s="252">
        <f t="shared" si="40"/>
        <v>100</v>
      </c>
      <c r="BH51" s="262">
        <f t="shared" si="35"/>
        <v>0</v>
      </c>
      <c r="BI51" s="262">
        <f t="shared" si="36"/>
        <v>0</v>
      </c>
      <c r="BJ51" s="262">
        <f t="shared" si="37"/>
        <v>0</v>
      </c>
      <c r="BK51" s="263">
        <f t="shared" si="38"/>
        <v>0</v>
      </c>
      <c r="BL51" s="269">
        <f t="shared" si="39"/>
        <v>0</v>
      </c>
      <c r="BM51" s="264">
        <f t="shared" si="5"/>
        <v>0</v>
      </c>
      <c r="BO51" s="732">
        <f t="shared" si="6"/>
        <v>0</v>
      </c>
    </row>
    <row r="52" spans="2:67" ht="15" customHeight="1" x14ac:dyDescent="0.25">
      <c r="B52" s="156">
        <f t="shared" si="27"/>
        <v>10</v>
      </c>
      <c r="C52" s="211"/>
      <c r="D52" s="212"/>
      <c r="E52" s="217" t="s">
        <v>100</v>
      </c>
      <c r="G52" s="493"/>
      <c r="H52" s="490"/>
      <c r="I52" s="471"/>
      <c r="J52" s="471"/>
      <c r="K52" s="472"/>
      <c r="L52" s="471"/>
      <c r="M52" s="471"/>
      <c r="N52" s="471"/>
      <c r="O52" s="472"/>
      <c r="P52" s="471"/>
      <c r="Q52" s="471"/>
      <c r="R52" s="472"/>
      <c r="S52" s="490"/>
      <c r="T52" s="471"/>
      <c r="U52" s="490"/>
      <c r="V52" s="472"/>
      <c r="X52" s="183">
        <f>'Q (t)'!G52</f>
        <v>0</v>
      </c>
      <c r="Y52" s="184">
        <f>'Q (t)'!H52</f>
        <v>0</v>
      </c>
      <c r="Z52" s="178">
        <f>'Q (t)'!I52</f>
        <v>0</v>
      </c>
      <c r="AA52" s="178">
        <f>'Q (t)'!J52</f>
        <v>0</v>
      </c>
      <c r="AB52" s="179">
        <f>'Q (t)'!K52</f>
        <v>0</v>
      </c>
      <c r="AC52" s="178">
        <f>'Q (t)'!L52</f>
        <v>0</v>
      </c>
      <c r="AD52" s="178">
        <f>'Q (t)'!M52</f>
        <v>0</v>
      </c>
      <c r="AE52" s="178">
        <f>'Q (t)'!N52</f>
        <v>0</v>
      </c>
      <c r="AF52" s="179">
        <f>'Q (t)'!O52</f>
        <v>0</v>
      </c>
      <c r="AG52" s="178">
        <f>'Q (t)'!P52</f>
        <v>0</v>
      </c>
      <c r="AH52" s="178">
        <f>'Q (t)'!Q52</f>
        <v>0</v>
      </c>
      <c r="AI52" s="179">
        <f>'Q (t)'!R52</f>
        <v>0</v>
      </c>
      <c r="AJ52" s="184">
        <f>'Q (t)'!S52</f>
        <v>0</v>
      </c>
      <c r="AK52" s="178">
        <f>'Q (t)'!T52</f>
        <v>0</v>
      </c>
      <c r="AL52" s="184">
        <f>'Q (t)'!U52</f>
        <v>0</v>
      </c>
      <c r="AM52" s="179">
        <f>'Q (t)'!V52</f>
        <v>0</v>
      </c>
      <c r="AO52" s="183">
        <f t="shared" si="2"/>
        <v>0</v>
      </c>
      <c r="AP52" s="184">
        <f t="shared" si="30"/>
        <v>0</v>
      </c>
      <c r="AQ52" s="178">
        <f t="shared" si="30"/>
        <v>0</v>
      </c>
      <c r="AR52" s="178">
        <f t="shared" si="30"/>
        <v>0</v>
      </c>
      <c r="AS52" s="179">
        <f t="shared" si="30"/>
        <v>0</v>
      </c>
      <c r="AT52" s="178">
        <f t="shared" si="30"/>
        <v>0</v>
      </c>
      <c r="AU52" s="178">
        <f t="shared" si="30"/>
        <v>0</v>
      </c>
      <c r="AV52" s="178">
        <f t="shared" si="30"/>
        <v>0</v>
      </c>
      <c r="AW52" s="179">
        <f t="shared" si="30"/>
        <v>0</v>
      </c>
      <c r="AX52" s="178">
        <f t="shared" ref="AX52:BC112" si="42">P52*AG52/1000</f>
        <v>0</v>
      </c>
      <c r="AY52" s="178">
        <f t="shared" si="42"/>
        <v>0</v>
      </c>
      <c r="AZ52" s="179">
        <f t="shared" si="42"/>
        <v>0</v>
      </c>
      <c r="BA52" s="184">
        <f t="shared" si="41"/>
        <v>0</v>
      </c>
      <c r="BB52" s="178">
        <f t="shared" si="41"/>
        <v>0</v>
      </c>
      <c r="BC52" s="184">
        <f t="shared" si="41"/>
        <v>0</v>
      </c>
      <c r="BD52" s="178">
        <f t="shared" si="41"/>
        <v>0</v>
      </c>
      <c r="BE52" s="251">
        <f t="shared" si="3"/>
        <v>0</v>
      </c>
      <c r="BF52" s="252">
        <f t="shared" si="40"/>
        <v>0</v>
      </c>
      <c r="BH52" s="262">
        <f t="shared" si="35"/>
        <v>0</v>
      </c>
      <c r="BI52" s="262">
        <f t="shared" si="36"/>
        <v>0</v>
      </c>
      <c r="BJ52" s="262">
        <f t="shared" si="37"/>
        <v>0</v>
      </c>
      <c r="BK52" s="263">
        <f t="shared" si="38"/>
        <v>0</v>
      </c>
      <c r="BL52" s="269">
        <f t="shared" si="39"/>
        <v>0</v>
      </c>
      <c r="BM52" s="264">
        <f t="shared" si="5"/>
        <v>0</v>
      </c>
      <c r="BO52" s="732" t="str">
        <f t="shared" si="6"/>
        <v/>
      </c>
    </row>
    <row r="53" spans="2:67" ht="15" customHeight="1" x14ac:dyDescent="0.25">
      <c r="B53" s="156">
        <f t="shared" si="27"/>
        <v>11</v>
      </c>
      <c r="C53" s="180" t="s">
        <v>585</v>
      </c>
      <c r="D53" s="181"/>
      <c r="E53" s="210" t="s">
        <v>94</v>
      </c>
      <c r="G53" s="488">
        <f>('Cust Specific'!S10)</f>
        <v>0</v>
      </c>
      <c r="H53" s="490"/>
      <c r="I53" s="494">
        <f>'Cust Specific'!S13</f>
        <v>1.7600000000000001E-2</v>
      </c>
      <c r="J53" s="471"/>
      <c r="K53" s="495">
        <f>'Cust Specific'!S14</f>
        <v>1.0999999999999999E-2</v>
      </c>
      <c r="L53" s="471"/>
      <c r="M53" s="471"/>
      <c r="N53" s="471"/>
      <c r="O53" s="472"/>
      <c r="P53" s="471"/>
      <c r="Q53" s="471"/>
      <c r="R53" s="472"/>
      <c r="S53" s="489">
        <f>'Cust Specific'!S11</f>
        <v>0.10829999999999999</v>
      </c>
      <c r="T53" s="494">
        <f>'Cust Specific'!S12</f>
        <v>0</v>
      </c>
      <c r="U53" s="491"/>
      <c r="V53" s="492"/>
      <c r="X53" s="183">
        <f>'Q (t)'!G53</f>
        <v>0</v>
      </c>
      <c r="Y53" s="184">
        <f>'Q (t)'!H53</f>
        <v>0</v>
      </c>
      <c r="Z53" s="178">
        <f>'Q (t)'!I53</f>
        <v>0</v>
      </c>
      <c r="AA53" s="178">
        <f>'Q (t)'!J53</f>
        <v>0</v>
      </c>
      <c r="AB53" s="179">
        <f>'Q (t)'!K53</f>
        <v>0</v>
      </c>
      <c r="AC53" s="178">
        <f>'Q (t)'!L53</f>
        <v>0</v>
      </c>
      <c r="AD53" s="178">
        <f>'Q (t)'!M53</f>
        <v>0</v>
      </c>
      <c r="AE53" s="178">
        <f>'Q (t)'!N53</f>
        <v>0</v>
      </c>
      <c r="AF53" s="179">
        <f>'Q (t)'!O53</f>
        <v>0</v>
      </c>
      <c r="AG53" s="178">
        <f>'Q (t)'!P53</f>
        <v>0</v>
      </c>
      <c r="AH53" s="178">
        <f>'Q (t)'!Q53</f>
        <v>0</v>
      </c>
      <c r="AI53" s="179">
        <f>'Q (t)'!R53</f>
        <v>0</v>
      </c>
      <c r="AJ53" s="184">
        <f>'Q (t)'!S53</f>
        <v>0</v>
      </c>
      <c r="AK53" s="178">
        <f>'Q (t)'!T53</f>
        <v>0</v>
      </c>
      <c r="AL53" s="184">
        <f>'Q (t)'!U53</f>
        <v>0</v>
      </c>
      <c r="AM53" s="179">
        <f>'Q (t)'!V53</f>
        <v>0</v>
      </c>
      <c r="AO53" s="183">
        <f t="shared" si="2"/>
        <v>0</v>
      </c>
      <c r="AP53" s="184">
        <f t="shared" si="30"/>
        <v>0</v>
      </c>
      <c r="AQ53" s="178">
        <f t="shared" si="30"/>
        <v>0</v>
      </c>
      <c r="AR53" s="178">
        <f t="shared" si="30"/>
        <v>0</v>
      </c>
      <c r="AS53" s="179">
        <f t="shared" si="30"/>
        <v>0</v>
      </c>
      <c r="AT53" s="178">
        <f t="shared" si="30"/>
        <v>0</v>
      </c>
      <c r="AU53" s="178">
        <f t="shared" si="30"/>
        <v>0</v>
      </c>
      <c r="AV53" s="178">
        <f t="shared" si="30"/>
        <v>0</v>
      </c>
      <c r="AW53" s="179">
        <f t="shared" si="30"/>
        <v>0</v>
      </c>
      <c r="AX53" s="178">
        <f t="shared" si="42"/>
        <v>0</v>
      </c>
      <c r="AY53" s="178">
        <f t="shared" si="42"/>
        <v>0</v>
      </c>
      <c r="AZ53" s="179">
        <f t="shared" si="42"/>
        <v>0</v>
      </c>
      <c r="BA53" s="184">
        <f t="shared" si="41"/>
        <v>0</v>
      </c>
      <c r="BB53" s="178">
        <f t="shared" si="41"/>
        <v>0</v>
      </c>
      <c r="BC53" s="184">
        <f t="shared" si="41"/>
        <v>0</v>
      </c>
      <c r="BD53" s="178">
        <f t="shared" si="41"/>
        <v>0</v>
      </c>
      <c r="BE53" s="251">
        <f t="shared" si="3"/>
        <v>0</v>
      </c>
      <c r="BF53" s="252">
        <f t="shared" si="40"/>
        <v>0</v>
      </c>
      <c r="BH53" s="262">
        <f t="shared" si="35"/>
        <v>0</v>
      </c>
      <c r="BI53" s="262">
        <f t="shared" si="36"/>
        <v>0</v>
      </c>
      <c r="BJ53" s="262">
        <f t="shared" si="37"/>
        <v>0</v>
      </c>
      <c r="BK53" s="263">
        <f t="shared" si="38"/>
        <v>0</v>
      </c>
      <c r="BL53" s="269">
        <f t="shared" si="39"/>
        <v>0</v>
      </c>
      <c r="BM53" s="264">
        <f t="shared" si="5"/>
        <v>0</v>
      </c>
      <c r="BO53" s="732" t="str">
        <f t="shared" si="6"/>
        <v/>
      </c>
    </row>
    <row r="54" spans="2:67" ht="15" customHeight="1" x14ac:dyDescent="0.25">
      <c r="B54" s="156">
        <f t="shared" si="27"/>
        <v>12</v>
      </c>
      <c r="C54" s="180" t="s">
        <v>586</v>
      </c>
      <c r="D54" s="181"/>
      <c r="E54" s="210" t="s">
        <v>94</v>
      </c>
      <c r="G54" s="488">
        <f>('Cust Specific'!S18)</f>
        <v>0</v>
      </c>
      <c r="H54" s="490"/>
      <c r="I54" s="494">
        <f>'Cust Specific'!S21</f>
        <v>1.7600000000000001E-2</v>
      </c>
      <c r="J54" s="471"/>
      <c r="K54" s="495">
        <f>'Cust Specific'!S22</f>
        <v>1.0999999999999999E-2</v>
      </c>
      <c r="L54" s="471"/>
      <c r="M54" s="471"/>
      <c r="N54" s="471"/>
      <c r="O54" s="472"/>
      <c r="P54" s="471"/>
      <c r="Q54" s="471"/>
      <c r="R54" s="472"/>
      <c r="S54" s="489">
        <f>'Cust Specific'!S19</f>
        <v>0.10829999999999999</v>
      </c>
      <c r="T54" s="494">
        <f>'Cust Specific'!S20</f>
        <v>0</v>
      </c>
      <c r="U54" s="491"/>
      <c r="V54" s="492"/>
      <c r="X54" s="183">
        <f>'Q (t)'!G54</f>
        <v>0</v>
      </c>
      <c r="Y54" s="184">
        <f>'Q (t)'!H54</f>
        <v>0</v>
      </c>
      <c r="Z54" s="178">
        <f>'Q (t)'!I54</f>
        <v>0</v>
      </c>
      <c r="AA54" s="178">
        <f>'Q (t)'!J54</f>
        <v>0</v>
      </c>
      <c r="AB54" s="179">
        <f>'Q (t)'!K54</f>
        <v>0</v>
      </c>
      <c r="AC54" s="178">
        <f>'Q (t)'!L54</f>
        <v>0</v>
      </c>
      <c r="AD54" s="178">
        <f>'Q (t)'!M54</f>
        <v>0</v>
      </c>
      <c r="AE54" s="178">
        <f>'Q (t)'!N54</f>
        <v>0</v>
      </c>
      <c r="AF54" s="179">
        <f>'Q (t)'!O54</f>
        <v>0</v>
      </c>
      <c r="AG54" s="178">
        <f>'Q (t)'!P54</f>
        <v>0</v>
      </c>
      <c r="AH54" s="178">
        <f>'Q (t)'!Q54</f>
        <v>0</v>
      </c>
      <c r="AI54" s="179">
        <f>'Q (t)'!R54</f>
        <v>0</v>
      </c>
      <c r="AJ54" s="184">
        <f>'Q (t)'!S54</f>
        <v>0</v>
      </c>
      <c r="AK54" s="178">
        <f>'Q (t)'!T54</f>
        <v>0</v>
      </c>
      <c r="AL54" s="184">
        <f>'Q (t)'!U54</f>
        <v>0</v>
      </c>
      <c r="AM54" s="179">
        <f>'Q (t)'!V54</f>
        <v>0</v>
      </c>
      <c r="AO54" s="183">
        <f t="shared" si="2"/>
        <v>0</v>
      </c>
      <c r="AP54" s="184">
        <f t="shared" si="30"/>
        <v>0</v>
      </c>
      <c r="AQ54" s="178">
        <f t="shared" si="30"/>
        <v>0</v>
      </c>
      <c r="AR54" s="178">
        <f t="shared" si="30"/>
        <v>0</v>
      </c>
      <c r="AS54" s="179">
        <f t="shared" si="30"/>
        <v>0</v>
      </c>
      <c r="AT54" s="178">
        <f t="shared" si="30"/>
        <v>0</v>
      </c>
      <c r="AU54" s="178">
        <f t="shared" si="30"/>
        <v>0</v>
      </c>
      <c r="AV54" s="178">
        <f t="shared" si="30"/>
        <v>0</v>
      </c>
      <c r="AW54" s="179">
        <f t="shared" si="30"/>
        <v>0</v>
      </c>
      <c r="AX54" s="178">
        <f t="shared" si="42"/>
        <v>0</v>
      </c>
      <c r="AY54" s="178">
        <f t="shared" si="42"/>
        <v>0</v>
      </c>
      <c r="AZ54" s="179">
        <f t="shared" si="42"/>
        <v>0</v>
      </c>
      <c r="BA54" s="184">
        <f t="shared" si="41"/>
        <v>0</v>
      </c>
      <c r="BB54" s="178">
        <f t="shared" si="41"/>
        <v>0</v>
      </c>
      <c r="BC54" s="184">
        <f t="shared" si="41"/>
        <v>0</v>
      </c>
      <c r="BD54" s="178">
        <f t="shared" si="41"/>
        <v>0</v>
      </c>
      <c r="BE54" s="251">
        <f t="shared" si="3"/>
        <v>0</v>
      </c>
      <c r="BF54" s="252">
        <f t="shared" si="40"/>
        <v>0</v>
      </c>
      <c r="BH54" s="262">
        <f t="shared" si="35"/>
        <v>0</v>
      </c>
      <c r="BI54" s="262">
        <f t="shared" si="36"/>
        <v>0</v>
      </c>
      <c r="BJ54" s="262">
        <f t="shared" si="37"/>
        <v>0</v>
      </c>
      <c r="BK54" s="263">
        <f t="shared" si="38"/>
        <v>0</v>
      </c>
      <c r="BL54" s="269">
        <f t="shared" si="39"/>
        <v>0</v>
      </c>
      <c r="BM54" s="264">
        <f t="shared" si="5"/>
        <v>0</v>
      </c>
      <c r="BO54" s="732" t="str">
        <f t="shared" si="6"/>
        <v/>
      </c>
    </row>
    <row r="55" spans="2:67" ht="15" customHeight="1" x14ac:dyDescent="0.25">
      <c r="B55" s="156">
        <f t="shared" si="27"/>
        <v>13</v>
      </c>
      <c r="C55" s="180" t="s">
        <v>587</v>
      </c>
      <c r="D55" s="181"/>
      <c r="E55" s="210" t="s">
        <v>94</v>
      </c>
      <c r="G55" s="488">
        <f>('Cust Specific'!S26)</f>
        <v>0</v>
      </c>
      <c r="H55" s="490"/>
      <c r="I55" s="494">
        <f>'Cust Specific'!S29</f>
        <v>1.7600000000000001E-2</v>
      </c>
      <c r="J55" s="471"/>
      <c r="K55" s="495">
        <f>'Cust Specific'!S30</f>
        <v>1.0999999999999999E-2</v>
      </c>
      <c r="L55" s="471"/>
      <c r="M55" s="471"/>
      <c r="N55" s="471"/>
      <c r="O55" s="472"/>
      <c r="P55" s="471"/>
      <c r="Q55" s="471"/>
      <c r="R55" s="472"/>
      <c r="S55" s="489">
        <f>'Cust Specific'!S27</f>
        <v>0.10829999999999999</v>
      </c>
      <c r="T55" s="494">
        <f>'Cust Specific'!S28</f>
        <v>0</v>
      </c>
      <c r="U55" s="491"/>
      <c r="V55" s="492"/>
      <c r="X55" s="183">
        <f>'Q (t)'!G55</f>
        <v>0</v>
      </c>
      <c r="Y55" s="184">
        <f>'Q (t)'!H55</f>
        <v>0</v>
      </c>
      <c r="Z55" s="178">
        <f>'Q (t)'!I55</f>
        <v>0</v>
      </c>
      <c r="AA55" s="178">
        <f>'Q (t)'!J55</f>
        <v>0</v>
      </c>
      <c r="AB55" s="179">
        <f>'Q (t)'!K55</f>
        <v>0</v>
      </c>
      <c r="AC55" s="178">
        <f>'Q (t)'!L55</f>
        <v>0</v>
      </c>
      <c r="AD55" s="178">
        <f>'Q (t)'!M55</f>
        <v>0</v>
      </c>
      <c r="AE55" s="178">
        <f>'Q (t)'!N55</f>
        <v>0</v>
      </c>
      <c r="AF55" s="179">
        <f>'Q (t)'!O55</f>
        <v>0</v>
      </c>
      <c r="AG55" s="178">
        <f>'Q (t)'!P55</f>
        <v>0</v>
      </c>
      <c r="AH55" s="178">
        <f>'Q (t)'!Q55</f>
        <v>0</v>
      </c>
      <c r="AI55" s="179">
        <f>'Q (t)'!R55</f>
        <v>0</v>
      </c>
      <c r="AJ55" s="184">
        <f>'Q (t)'!S55</f>
        <v>0</v>
      </c>
      <c r="AK55" s="178">
        <f>'Q (t)'!T55</f>
        <v>0</v>
      </c>
      <c r="AL55" s="184">
        <f>'Q (t)'!U55</f>
        <v>0</v>
      </c>
      <c r="AM55" s="179">
        <f>'Q (t)'!V55</f>
        <v>0</v>
      </c>
      <c r="AO55" s="183">
        <f t="shared" si="2"/>
        <v>0</v>
      </c>
      <c r="AP55" s="184">
        <f t="shared" si="30"/>
        <v>0</v>
      </c>
      <c r="AQ55" s="178">
        <f t="shared" si="30"/>
        <v>0</v>
      </c>
      <c r="AR55" s="178">
        <f t="shared" si="30"/>
        <v>0</v>
      </c>
      <c r="AS55" s="179">
        <f t="shared" si="30"/>
        <v>0</v>
      </c>
      <c r="AT55" s="178">
        <f t="shared" si="30"/>
        <v>0</v>
      </c>
      <c r="AU55" s="178">
        <f t="shared" si="30"/>
        <v>0</v>
      </c>
      <c r="AV55" s="178">
        <f t="shared" si="30"/>
        <v>0</v>
      </c>
      <c r="AW55" s="179">
        <f t="shared" si="30"/>
        <v>0</v>
      </c>
      <c r="AX55" s="178">
        <f t="shared" si="42"/>
        <v>0</v>
      </c>
      <c r="AY55" s="178">
        <f t="shared" si="42"/>
        <v>0</v>
      </c>
      <c r="AZ55" s="179">
        <f t="shared" si="42"/>
        <v>0</v>
      </c>
      <c r="BA55" s="184">
        <f t="shared" si="41"/>
        <v>0</v>
      </c>
      <c r="BB55" s="178">
        <f t="shared" si="41"/>
        <v>0</v>
      </c>
      <c r="BC55" s="184">
        <f t="shared" si="41"/>
        <v>0</v>
      </c>
      <c r="BD55" s="178">
        <f t="shared" si="41"/>
        <v>0</v>
      </c>
      <c r="BE55" s="251">
        <f t="shared" si="3"/>
        <v>0</v>
      </c>
      <c r="BF55" s="252">
        <f t="shared" si="40"/>
        <v>0</v>
      </c>
      <c r="BH55" s="262">
        <f t="shared" si="35"/>
        <v>0</v>
      </c>
      <c r="BI55" s="262">
        <f t="shared" si="36"/>
        <v>0</v>
      </c>
      <c r="BJ55" s="262">
        <f t="shared" si="37"/>
        <v>0</v>
      </c>
      <c r="BK55" s="263">
        <f t="shared" si="38"/>
        <v>0</v>
      </c>
      <c r="BL55" s="269">
        <f t="shared" si="39"/>
        <v>0</v>
      </c>
      <c r="BM55" s="264">
        <f t="shared" si="5"/>
        <v>0</v>
      </c>
      <c r="BO55" s="732" t="str">
        <f t="shared" si="6"/>
        <v/>
      </c>
    </row>
    <row r="56" spans="2:67" ht="15" customHeight="1" x14ac:dyDescent="0.25">
      <c r="B56" s="156">
        <f t="shared" si="27"/>
        <v>14</v>
      </c>
      <c r="C56" s="180" t="s">
        <v>589</v>
      </c>
      <c r="D56" s="181"/>
      <c r="E56" s="210" t="s">
        <v>94</v>
      </c>
      <c r="G56" s="488">
        <f>('Cust Specific'!S34)</f>
        <v>0</v>
      </c>
      <c r="H56" s="490"/>
      <c r="I56" s="494">
        <f>'Cust Specific'!S37</f>
        <v>1.7600000000000001E-2</v>
      </c>
      <c r="J56" s="471"/>
      <c r="K56" s="495">
        <f>'Cust Specific'!S38</f>
        <v>1.0999999999999999E-2</v>
      </c>
      <c r="L56" s="471"/>
      <c r="M56" s="471"/>
      <c r="N56" s="471"/>
      <c r="O56" s="472"/>
      <c r="P56" s="471"/>
      <c r="Q56" s="471"/>
      <c r="R56" s="472"/>
      <c r="S56" s="489">
        <f>'Cust Specific'!S35</f>
        <v>0.10829999999999999</v>
      </c>
      <c r="T56" s="494">
        <f>'Cust Specific'!S36</f>
        <v>0</v>
      </c>
      <c r="U56" s="491"/>
      <c r="V56" s="492"/>
      <c r="X56" s="183">
        <f>'Q (t)'!G56</f>
        <v>0</v>
      </c>
      <c r="Y56" s="184">
        <f>'Q (t)'!H56</f>
        <v>0</v>
      </c>
      <c r="Z56" s="178">
        <f>'Q (t)'!I56</f>
        <v>0</v>
      </c>
      <c r="AA56" s="178">
        <f>'Q (t)'!J56</f>
        <v>0</v>
      </c>
      <c r="AB56" s="179">
        <f>'Q (t)'!K56</f>
        <v>0</v>
      </c>
      <c r="AC56" s="178">
        <f>'Q (t)'!L56</f>
        <v>0</v>
      </c>
      <c r="AD56" s="178">
        <f>'Q (t)'!M56</f>
        <v>0</v>
      </c>
      <c r="AE56" s="178">
        <f>'Q (t)'!N56</f>
        <v>0</v>
      </c>
      <c r="AF56" s="179">
        <f>'Q (t)'!O56</f>
        <v>0</v>
      </c>
      <c r="AG56" s="178">
        <f>'Q (t)'!P56</f>
        <v>0</v>
      </c>
      <c r="AH56" s="178">
        <f>'Q (t)'!Q56</f>
        <v>0</v>
      </c>
      <c r="AI56" s="179">
        <f>'Q (t)'!R56</f>
        <v>0</v>
      </c>
      <c r="AJ56" s="184">
        <f>'Q (t)'!S56</f>
        <v>0</v>
      </c>
      <c r="AK56" s="178">
        <f>'Q (t)'!T56</f>
        <v>0</v>
      </c>
      <c r="AL56" s="184">
        <f>'Q (t)'!U56</f>
        <v>0</v>
      </c>
      <c r="AM56" s="179">
        <f>'Q (t)'!V56</f>
        <v>0</v>
      </c>
      <c r="AO56" s="183">
        <f t="shared" si="2"/>
        <v>0</v>
      </c>
      <c r="AP56" s="184">
        <f t="shared" si="30"/>
        <v>0</v>
      </c>
      <c r="AQ56" s="178">
        <f t="shared" si="30"/>
        <v>0</v>
      </c>
      <c r="AR56" s="178">
        <f t="shared" si="30"/>
        <v>0</v>
      </c>
      <c r="AS56" s="179">
        <f t="shared" si="30"/>
        <v>0</v>
      </c>
      <c r="AT56" s="178">
        <f t="shared" si="30"/>
        <v>0</v>
      </c>
      <c r="AU56" s="178">
        <f t="shared" si="30"/>
        <v>0</v>
      </c>
      <c r="AV56" s="178">
        <f t="shared" si="30"/>
        <v>0</v>
      </c>
      <c r="AW56" s="179">
        <f t="shared" si="30"/>
        <v>0</v>
      </c>
      <c r="AX56" s="178">
        <f t="shared" si="42"/>
        <v>0</v>
      </c>
      <c r="AY56" s="178">
        <f t="shared" si="42"/>
        <v>0</v>
      </c>
      <c r="AZ56" s="179">
        <f t="shared" si="42"/>
        <v>0</v>
      </c>
      <c r="BA56" s="184">
        <f t="shared" si="41"/>
        <v>0</v>
      </c>
      <c r="BB56" s="178">
        <f t="shared" si="41"/>
        <v>0</v>
      </c>
      <c r="BC56" s="184">
        <f t="shared" si="41"/>
        <v>0</v>
      </c>
      <c r="BD56" s="178">
        <f t="shared" si="41"/>
        <v>0</v>
      </c>
      <c r="BE56" s="251">
        <f t="shared" si="3"/>
        <v>0</v>
      </c>
      <c r="BF56" s="252">
        <f t="shared" si="40"/>
        <v>0</v>
      </c>
      <c r="BH56" s="262">
        <f t="shared" si="35"/>
        <v>0</v>
      </c>
      <c r="BI56" s="262">
        <f t="shared" si="36"/>
        <v>0</v>
      </c>
      <c r="BJ56" s="262">
        <f t="shared" si="37"/>
        <v>0</v>
      </c>
      <c r="BK56" s="263">
        <f t="shared" si="38"/>
        <v>0</v>
      </c>
      <c r="BL56" s="269">
        <f t="shared" si="39"/>
        <v>0</v>
      </c>
      <c r="BM56" s="264">
        <f t="shared" si="5"/>
        <v>0</v>
      </c>
      <c r="BO56" s="732" t="str">
        <f t="shared" si="6"/>
        <v/>
      </c>
    </row>
    <row r="57" spans="2:67" ht="15" customHeight="1" x14ac:dyDescent="0.25">
      <c r="B57" s="156">
        <f t="shared" si="27"/>
        <v>15</v>
      </c>
      <c r="C57" s="180" t="s">
        <v>591</v>
      </c>
      <c r="D57" s="181"/>
      <c r="E57" s="210" t="s">
        <v>94</v>
      </c>
      <c r="G57" s="488">
        <f>('Cust Specific'!S42)</f>
        <v>0</v>
      </c>
      <c r="H57" s="490"/>
      <c r="I57" s="494">
        <f>'Cust Specific'!S45</f>
        <v>1.7600000000000001E-2</v>
      </c>
      <c r="J57" s="471"/>
      <c r="K57" s="495">
        <f>'Cust Specific'!S46</f>
        <v>1.0999999999999999E-2</v>
      </c>
      <c r="L57" s="471"/>
      <c r="M57" s="471"/>
      <c r="N57" s="471"/>
      <c r="O57" s="472"/>
      <c r="P57" s="471"/>
      <c r="Q57" s="471"/>
      <c r="R57" s="472"/>
      <c r="S57" s="489">
        <f>'Cust Specific'!S43</f>
        <v>0.10829999999999999</v>
      </c>
      <c r="T57" s="494">
        <f>'Cust Specific'!S44</f>
        <v>0</v>
      </c>
      <c r="U57" s="491"/>
      <c r="V57" s="492"/>
      <c r="X57" s="183">
        <f>'Q (t)'!G57</f>
        <v>365</v>
      </c>
      <c r="Y57" s="184">
        <f>'Q (t)'!H57</f>
        <v>0</v>
      </c>
      <c r="Z57" s="178">
        <f>'Q (t)'!I57</f>
        <v>4140</v>
      </c>
      <c r="AA57" s="178">
        <f>'Q (t)'!J57</f>
        <v>0</v>
      </c>
      <c r="AB57" s="179">
        <f>'Q (t)'!K57</f>
        <v>5830</v>
      </c>
      <c r="AC57" s="178">
        <f>'Q (t)'!L57</f>
        <v>0</v>
      </c>
      <c r="AD57" s="178">
        <f>'Q (t)'!M57</f>
        <v>0</v>
      </c>
      <c r="AE57" s="178">
        <f>'Q (t)'!N57</f>
        <v>0</v>
      </c>
      <c r="AF57" s="179">
        <f>'Q (t)'!O57</f>
        <v>0</v>
      </c>
      <c r="AG57" s="178">
        <f>'Q (t)'!P57</f>
        <v>0</v>
      </c>
      <c r="AH57" s="178">
        <f>'Q (t)'!Q57</f>
        <v>0</v>
      </c>
      <c r="AI57" s="179">
        <f>'Q (t)'!R57</f>
        <v>0</v>
      </c>
      <c r="AJ57" s="184">
        <f>'Q (t)'!S57</f>
        <v>738395</v>
      </c>
      <c r="AK57" s="178">
        <f>'Q (t)'!T57</f>
        <v>911040</v>
      </c>
      <c r="AL57" s="184">
        <f>'Q (t)'!U57</f>
        <v>0</v>
      </c>
      <c r="AM57" s="179">
        <f>'Q (t)'!V57</f>
        <v>0</v>
      </c>
      <c r="AO57" s="183">
        <f t="shared" si="2"/>
        <v>0</v>
      </c>
      <c r="AP57" s="184">
        <f t="shared" si="30"/>
        <v>0</v>
      </c>
      <c r="AQ57" s="178">
        <f t="shared" si="30"/>
        <v>72.864000000000004</v>
      </c>
      <c r="AR57" s="178">
        <f t="shared" si="30"/>
        <v>0</v>
      </c>
      <c r="AS57" s="179">
        <f t="shared" si="30"/>
        <v>64.13</v>
      </c>
      <c r="AT57" s="178">
        <f t="shared" si="30"/>
        <v>0</v>
      </c>
      <c r="AU57" s="178">
        <f t="shared" si="30"/>
        <v>0</v>
      </c>
      <c r="AV57" s="178">
        <f t="shared" si="30"/>
        <v>0</v>
      </c>
      <c r="AW57" s="179">
        <f t="shared" si="30"/>
        <v>0</v>
      </c>
      <c r="AX57" s="178">
        <f t="shared" si="42"/>
        <v>0</v>
      </c>
      <c r="AY57" s="178">
        <f t="shared" si="42"/>
        <v>0</v>
      </c>
      <c r="AZ57" s="179">
        <f t="shared" si="42"/>
        <v>0</v>
      </c>
      <c r="BA57" s="184">
        <f t="shared" si="41"/>
        <v>79.968178499999993</v>
      </c>
      <c r="BB57" s="178">
        <f t="shared" si="41"/>
        <v>0</v>
      </c>
      <c r="BC57" s="184">
        <f t="shared" si="41"/>
        <v>0</v>
      </c>
      <c r="BD57" s="178">
        <f t="shared" si="41"/>
        <v>0</v>
      </c>
      <c r="BE57" s="251">
        <f t="shared" si="3"/>
        <v>1</v>
      </c>
      <c r="BF57" s="252">
        <f t="shared" si="40"/>
        <v>9970</v>
      </c>
      <c r="BH57" s="262">
        <f t="shared" si="35"/>
        <v>0</v>
      </c>
      <c r="BI57" s="262">
        <f t="shared" si="36"/>
        <v>136.994</v>
      </c>
      <c r="BJ57" s="262">
        <f t="shared" si="37"/>
        <v>0</v>
      </c>
      <c r="BK57" s="263">
        <f t="shared" si="38"/>
        <v>79.968178499999993</v>
      </c>
      <c r="BL57" s="269">
        <f t="shared" si="39"/>
        <v>0</v>
      </c>
      <c r="BM57" s="264">
        <f t="shared" si="5"/>
        <v>216.96217849999999</v>
      </c>
      <c r="BO57" s="732">
        <f t="shared" si="6"/>
        <v>21.761502357071212</v>
      </c>
    </row>
    <row r="58" spans="2:67" ht="15" customHeight="1" x14ac:dyDescent="0.25">
      <c r="B58" s="156">
        <f t="shared" si="27"/>
        <v>16</v>
      </c>
      <c r="C58" s="180" t="s">
        <v>679</v>
      </c>
      <c r="D58" s="181"/>
      <c r="E58" s="210" t="s">
        <v>94</v>
      </c>
      <c r="G58" s="488">
        <f>('Cust Specific'!S50)</f>
        <v>0</v>
      </c>
      <c r="H58" s="490"/>
      <c r="I58" s="494">
        <f>'Cust Specific'!S53</f>
        <v>1.7600000000000001E-2</v>
      </c>
      <c r="J58" s="471"/>
      <c r="K58" s="495">
        <f>'Cust Specific'!S54</f>
        <v>1.0999999999999999E-2</v>
      </c>
      <c r="L58" s="471"/>
      <c r="M58" s="471"/>
      <c r="N58" s="471"/>
      <c r="O58" s="472"/>
      <c r="P58" s="471"/>
      <c r="Q58" s="471"/>
      <c r="R58" s="472"/>
      <c r="S58" s="489">
        <f>'Cust Specific'!S51</f>
        <v>0.10829999999999999</v>
      </c>
      <c r="T58" s="494">
        <f>'Cust Specific'!S52</f>
        <v>0</v>
      </c>
      <c r="U58" s="491"/>
      <c r="V58" s="492"/>
      <c r="X58" s="183">
        <f>'Q (t)'!G58</f>
        <v>365</v>
      </c>
      <c r="Y58" s="184">
        <f>'Q (t)'!H58</f>
        <v>0</v>
      </c>
      <c r="Z58" s="178">
        <f>'Q (t)'!I58</f>
        <v>420</v>
      </c>
      <c r="AA58" s="178">
        <f>'Q (t)'!J58</f>
        <v>0</v>
      </c>
      <c r="AB58" s="179">
        <f>'Q (t)'!K58</f>
        <v>1020</v>
      </c>
      <c r="AC58" s="178">
        <f>'Q (t)'!L58</f>
        <v>0</v>
      </c>
      <c r="AD58" s="178">
        <f>'Q (t)'!M58</f>
        <v>0</v>
      </c>
      <c r="AE58" s="178">
        <f>'Q (t)'!N58</f>
        <v>0</v>
      </c>
      <c r="AF58" s="179">
        <f>'Q (t)'!O58</f>
        <v>0</v>
      </c>
      <c r="AG58" s="178">
        <f>'Q (t)'!P58</f>
        <v>0</v>
      </c>
      <c r="AH58" s="178">
        <f>'Q (t)'!Q58</f>
        <v>0</v>
      </c>
      <c r="AI58" s="179">
        <f>'Q (t)'!R58</f>
        <v>0</v>
      </c>
      <c r="AJ58" s="184">
        <f>'Q (t)'!S58</f>
        <v>287620</v>
      </c>
      <c r="AK58" s="178">
        <f>'Q (t)'!T58</f>
        <v>514650</v>
      </c>
      <c r="AL58" s="184">
        <f>'Q (t)'!U58</f>
        <v>0</v>
      </c>
      <c r="AM58" s="179">
        <f>'Q (t)'!V58</f>
        <v>0</v>
      </c>
      <c r="AO58" s="183">
        <f>G58*X58/1000</f>
        <v>0</v>
      </c>
      <c r="AP58" s="184">
        <f t="shared" ref="AP58:AW58" si="43">H58*Y58</f>
        <v>0</v>
      </c>
      <c r="AQ58" s="178">
        <f t="shared" si="43"/>
        <v>7.3920000000000003</v>
      </c>
      <c r="AR58" s="178">
        <f t="shared" si="43"/>
        <v>0</v>
      </c>
      <c r="AS58" s="179">
        <f t="shared" si="43"/>
        <v>11.219999999999999</v>
      </c>
      <c r="AT58" s="178">
        <f t="shared" si="43"/>
        <v>0</v>
      </c>
      <c r="AU58" s="178">
        <f t="shared" si="43"/>
        <v>0</v>
      </c>
      <c r="AV58" s="178">
        <f t="shared" si="43"/>
        <v>0</v>
      </c>
      <c r="AW58" s="179">
        <f t="shared" si="43"/>
        <v>0</v>
      </c>
      <c r="AX58" s="178">
        <f t="shared" ref="AX58:BD58" si="44">P58*AG58/1000</f>
        <v>0</v>
      </c>
      <c r="AY58" s="178">
        <f t="shared" si="44"/>
        <v>0</v>
      </c>
      <c r="AZ58" s="179">
        <f t="shared" si="44"/>
        <v>0</v>
      </c>
      <c r="BA58" s="184">
        <f t="shared" si="44"/>
        <v>31.149245999999998</v>
      </c>
      <c r="BB58" s="178">
        <f t="shared" si="44"/>
        <v>0</v>
      </c>
      <c r="BC58" s="184">
        <f t="shared" si="44"/>
        <v>0</v>
      </c>
      <c r="BD58" s="178">
        <f t="shared" si="44"/>
        <v>0</v>
      </c>
      <c r="BE58" s="251">
        <f>X58/$BE$7</f>
        <v>1</v>
      </c>
      <c r="BF58" s="252">
        <f>SUM(Y58:AF58)</f>
        <v>1440</v>
      </c>
      <c r="BH58" s="262">
        <f>SUM(AO58)</f>
        <v>0</v>
      </c>
      <c r="BI58" s="262">
        <f>SUM(AP58:AS58)</f>
        <v>18.611999999999998</v>
      </c>
      <c r="BJ58" s="262">
        <f>SUM(AT58:AW58)</f>
        <v>0</v>
      </c>
      <c r="BK58" s="263">
        <f>SUM(AX58:BB58)</f>
        <v>31.149245999999998</v>
      </c>
      <c r="BL58" s="269">
        <f>SUM(BC58:BD58)</f>
        <v>0</v>
      </c>
      <c r="BM58" s="264">
        <f>SUM(BH58:BL58)</f>
        <v>49.761246</v>
      </c>
      <c r="BO58" s="732">
        <f>IF(BF58=0,"",BM58*1000/BF58)</f>
        <v>34.556420833333334</v>
      </c>
    </row>
    <row r="59" spans="2:67" ht="15" customHeight="1" x14ac:dyDescent="0.25">
      <c r="B59" s="156">
        <f t="shared" si="27"/>
        <v>17</v>
      </c>
      <c r="C59" s="180" t="s">
        <v>590</v>
      </c>
      <c r="D59" s="181"/>
      <c r="E59" s="210" t="s">
        <v>94</v>
      </c>
      <c r="G59" s="488">
        <f>('Cust Specific'!S58)</f>
        <v>0</v>
      </c>
      <c r="H59" s="490"/>
      <c r="I59" s="494">
        <f>'Cust Specific'!S61</f>
        <v>1.7600000000000001E-2</v>
      </c>
      <c r="J59" s="471"/>
      <c r="K59" s="495">
        <f>'Cust Specific'!S62</f>
        <v>1.0999999999999999E-2</v>
      </c>
      <c r="L59" s="471"/>
      <c r="M59" s="471"/>
      <c r="N59" s="471"/>
      <c r="O59" s="472"/>
      <c r="P59" s="471"/>
      <c r="Q59" s="471"/>
      <c r="R59" s="472"/>
      <c r="S59" s="489">
        <f>'Cust Specific'!S59</f>
        <v>0.10829999999999999</v>
      </c>
      <c r="T59" s="494">
        <f>'Cust Specific'!S60</f>
        <v>0</v>
      </c>
      <c r="U59" s="491"/>
      <c r="V59" s="492"/>
      <c r="X59" s="183">
        <f>'Q (t)'!G59</f>
        <v>0</v>
      </c>
      <c r="Y59" s="184">
        <f>'Q (t)'!H59</f>
        <v>0</v>
      </c>
      <c r="Z59" s="178">
        <f>'Q (t)'!I59</f>
        <v>0</v>
      </c>
      <c r="AA59" s="178">
        <f>'Q (t)'!J59</f>
        <v>0</v>
      </c>
      <c r="AB59" s="179">
        <f>'Q (t)'!K59</f>
        <v>0</v>
      </c>
      <c r="AC59" s="178">
        <f>'Q (t)'!L59</f>
        <v>0</v>
      </c>
      <c r="AD59" s="178">
        <f>'Q (t)'!M59</f>
        <v>0</v>
      </c>
      <c r="AE59" s="178">
        <f>'Q (t)'!N59</f>
        <v>0</v>
      </c>
      <c r="AF59" s="179">
        <f>'Q (t)'!O59</f>
        <v>0</v>
      </c>
      <c r="AG59" s="178">
        <f>'Q (t)'!P59</f>
        <v>0</v>
      </c>
      <c r="AH59" s="178">
        <f>'Q (t)'!Q59</f>
        <v>0</v>
      </c>
      <c r="AI59" s="179">
        <f>'Q (t)'!R59</f>
        <v>0</v>
      </c>
      <c r="AJ59" s="184">
        <f>'Q (t)'!S59</f>
        <v>0</v>
      </c>
      <c r="AK59" s="178">
        <f>'Q (t)'!T59</f>
        <v>0</v>
      </c>
      <c r="AL59" s="184">
        <f>'Q (t)'!U59</f>
        <v>0</v>
      </c>
      <c r="AM59" s="179">
        <f>'Q (t)'!V59</f>
        <v>0</v>
      </c>
      <c r="AO59" s="183">
        <f t="shared" si="2"/>
        <v>0</v>
      </c>
      <c r="AP59" s="184">
        <f t="shared" si="30"/>
        <v>0</v>
      </c>
      <c r="AQ59" s="178">
        <f t="shared" si="30"/>
        <v>0</v>
      </c>
      <c r="AR59" s="178">
        <f t="shared" si="30"/>
        <v>0</v>
      </c>
      <c r="AS59" s="179">
        <f t="shared" si="30"/>
        <v>0</v>
      </c>
      <c r="AT59" s="178">
        <f t="shared" si="30"/>
        <v>0</v>
      </c>
      <c r="AU59" s="178">
        <f t="shared" si="30"/>
        <v>0</v>
      </c>
      <c r="AV59" s="178">
        <f t="shared" si="30"/>
        <v>0</v>
      </c>
      <c r="AW59" s="179">
        <f t="shared" si="30"/>
        <v>0</v>
      </c>
      <c r="AX59" s="178">
        <f t="shared" si="42"/>
        <v>0</v>
      </c>
      <c r="AY59" s="178">
        <f t="shared" si="42"/>
        <v>0</v>
      </c>
      <c r="AZ59" s="179">
        <f t="shared" si="42"/>
        <v>0</v>
      </c>
      <c r="BA59" s="184">
        <f t="shared" si="41"/>
        <v>0</v>
      </c>
      <c r="BB59" s="178">
        <f t="shared" si="41"/>
        <v>0</v>
      </c>
      <c r="BC59" s="184">
        <f t="shared" si="41"/>
        <v>0</v>
      </c>
      <c r="BD59" s="178">
        <f t="shared" si="41"/>
        <v>0</v>
      </c>
      <c r="BE59" s="251">
        <f t="shared" si="3"/>
        <v>0</v>
      </c>
      <c r="BF59" s="252">
        <f t="shared" si="40"/>
        <v>0</v>
      </c>
      <c r="BH59" s="262">
        <f t="shared" si="35"/>
        <v>0</v>
      </c>
      <c r="BI59" s="262">
        <f t="shared" si="36"/>
        <v>0</v>
      </c>
      <c r="BJ59" s="262">
        <f t="shared" si="37"/>
        <v>0</v>
      </c>
      <c r="BK59" s="263">
        <f t="shared" si="38"/>
        <v>0</v>
      </c>
      <c r="BL59" s="269">
        <f t="shared" si="39"/>
        <v>0</v>
      </c>
      <c r="BM59" s="264">
        <f t="shared" si="5"/>
        <v>0</v>
      </c>
      <c r="BO59" s="732" t="str">
        <f t="shared" si="6"/>
        <v/>
      </c>
    </row>
    <row r="60" spans="2:67" ht="15" customHeight="1" x14ac:dyDescent="0.25">
      <c r="B60" s="156">
        <f t="shared" si="27"/>
        <v>18</v>
      </c>
      <c r="C60" s="180" t="s">
        <v>592</v>
      </c>
      <c r="D60" s="181"/>
      <c r="E60" s="210" t="s">
        <v>94</v>
      </c>
      <c r="G60" s="488">
        <f>('Cust Specific'!S66)</f>
        <v>0</v>
      </c>
      <c r="H60" s="490"/>
      <c r="I60" s="494">
        <f>'Cust Specific'!S69</f>
        <v>1.7600000000000001E-2</v>
      </c>
      <c r="J60" s="471"/>
      <c r="K60" s="495">
        <f>'Cust Specific'!S70</f>
        <v>1.0999999999999999E-2</v>
      </c>
      <c r="L60" s="471"/>
      <c r="M60" s="471"/>
      <c r="N60" s="471"/>
      <c r="O60" s="472"/>
      <c r="P60" s="471"/>
      <c r="Q60" s="471"/>
      <c r="R60" s="472"/>
      <c r="S60" s="489">
        <f>'Cust Specific'!S67</f>
        <v>0.10829999999999999</v>
      </c>
      <c r="T60" s="494">
        <f>'Cust Specific'!S68</f>
        <v>0</v>
      </c>
      <c r="U60" s="491"/>
      <c r="V60" s="492"/>
      <c r="X60" s="183">
        <f>'Q (t)'!G60</f>
        <v>0</v>
      </c>
      <c r="Y60" s="184">
        <f>'Q (t)'!H60</f>
        <v>0</v>
      </c>
      <c r="Z60" s="178">
        <f>'Q (t)'!I60</f>
        <v>0</v>
      </c>
      <c r="AA60" s="178">
        <f>'Q (t)'!J60</f>
        <v>0</v>
      </c>
      <c r="AB60" s="179">
        <f>'Q (t)'!K60</f>
        <v>0</v>
      </c>
      <c r="AC60" s="178">
        <f>'Q (t)'!L60</f>
        <v>0</v>
      </c>
      <c r="AD60" s="178">
        <f>'Q (t)'!M60</f>
        <v>0</v>
      </c>
      <c r="AE60" s="178">
        <f>'Q (t)'!N60</f>
        <v>0</v>
      </c>
      <c r="AF60" s="179">
        <f>'Q (t)'!O60</f>
        <v>0</v>
      </c>
      <c r="AG60" s="178">
        <f>'Q (t)'!P60</f>
        <v>0</v>
      </c>
      <c r="AH60" s="178">
        <f>'Q (t)'!Q60</f>
        <v>0</v>
      </c>
      <c r="AI60" s="179">
        <f>'Q (t)'!R60</f>
        <v>0</v>
      </c>
      <c r="AJ60" s="184">
        <f>'Q (t)'!S60</f>
        <v>0</v>
      </c>
      <c r="AK60" s="178">
        <f>'Q (t)'!T60</f>
        <v>0</v>
      </c>
      <c r="AL60" s="184">
        <f>'Q (t)'!U60</f>
        <v>0</v>
      </c>
      <c r="AM60" s="179">
        <f>'Q (t)'!V60</f>
        <v>0</v>
      </c>
      <c r="AO60" s="183">
        <f t="shared" si="2"/>
        <v>0</v>
      </c>
      <c r="AP60" s="184">
        <f t="shared" si="30"/>
        <v>0</v>
      </c>
      <c r="AQ60" s="178">
        <f t="shared" si="30"/>
        <v>0</v>
      </c>
      <c r="AR60" s="178">
        <f t="shared" si="30"/>
        <v>0</v>
      </c>
      <c r="AS60" s="179">
        <f t="shared" si="30"/>
        <v>0</v>
      </c>
      <c r="AT60" s="178">
        <f t="shared" si="30"/>
        <v>0</v>
      </c>
      <c r="AU60" s="178">
        <f t="shared" si="30"/>
        <v>0</v>
      </c>
      <c r="AV60" s="178">
        <f t="shared" si="30"/>
        <v>0</v>
      </c>
      <c r="AW60" s="179">
        <f t="shared" si="30"/>
        <v>0</v>
      </c>
      <c r="AX60" s="178">
        <f t="shared" si="42"/>
        <v>0</v>
      </c>
      <c r="AY60" s="178">
        <f t="shared" si="42"/>
        <v>0</v>
      </c>
      <c r="AZ60" s="179">
        <f t="shared" si="42"/>
        <v>0</v>
      </c>
      <c r="BA60" s="184">
        <f t="shared" si="41"/>
        <v>0</v>
      </c>
      <c r="BB60" s="178">
        <f t="shared" si="41"/>
        <v>0</v>
      </c>
      <c r="BC60" s="184">
        <f t="shared" si="41"/>
        <v>0</v>
      </c>
      <c r="BD60" s="178">
        <f t="shared" si="41"/>
        <v>0</v>
      </c>
      <c r="BE60" s="251">
        <f t="shared" si="3"/>
        <v>0</v>
      </c>
      <c r="BF60" s="252">
        <f t="shared" si="40"/>
        <v>0</v>
      </c>
      <c r="BH60" s="262">
        <f t="shared" si="35"/>
        <v>0</v>
      </c>
      <c r="BI60" s="262">
        <f t="shared" si="36"/>
        <v>0</v>
      </c>
      <c r="BJ60" s="262">
        <f t="shared" si="37"/>
        <v>0</v>
      </c>
      <c r="BK60" s="263">
        <f t="shared" si="38"/>
        <v>0</v>
      </c>
      <c r="BL60" s="269">
        <f t="shared" si="39"/>
        <v>0</v>
      </c>
      <c r="BM60" s="264">
        <f t="shared" si="5"/>
        <v>0</v>
      </c>
      <c r="BO60" s="732" t="str">
        <f t="shared" si="6"/>
        <v/>
      </c>
    </row>
    <row r="61" spans="2:67" ht="15" customHeight="1" x14ac:dyDescent="0.25">
      <c r="B61" s="156">
        <f t="shared" si="27"/>
        <v>19</v>
      </c>
      <c r="C61" s="180" t="s">
        <v>593</v>
      </c>
      <c r="D61" s="181"/>
      <c r="E61" s="210" t="s">
        <v>94</v>
      </c>
      <c r="G61" s="488">
        <f>('Cust Specific'!S74)</f>
        <v>0</v>
      </c>
      <c r="H61" s="490"/>
      <c r="I61" s="494">
        <f>'Cust Specific'!S77</f>
        <v>1.7600000000000001E-2</v>
      </c>
      <c r="J61" s="471"/>
      <c r="K61" s="495">
        <f>'Cust Specific'!S78</f>
        <v>1.0999999999999999E-2</v>
      </c>
      <c r="L61" s="471"/>
      <c r="M61" s="471"/>
      <c r="N61" s="471"/>
      <c r="O61" s="472"/>
      <c r="P61" s="471"/>
      <c r="Q61" s="471"/>
      <c r="R61" s="472"/>
      <c r="S61" s="489">
        <f>'Cust Specific'!S75</f>
        <v>0.10829999999999999</v>
      </c>
      <c r="T61" s="494">
        <f>'Cust Specific'!S76</f>
        <v>0</v>
      </c>
      <c r="U61" s="491"/>
      <c r="V61" s="492"/>
      <c r="X61" s="183">
        <f>'Q (t)'!G61</f>
        <v>0</v>
      </c>
      <c r="Y61" s="184">
        <f>'Q (t)'!H61</f>
        <v>0</v>
      </c>
      <c r="Z61" s="178">
        <f>'Q (t)'!I61</f>
        <v>0</v>
      </c>
      <c r="AA61" s="178">
        <f>'Q (t)'!J61</f>
        <v>0</v>
      </c>
      <c r="AB61" s="179">
        <f>'Q (t)'!K61</f>
        <v>0</v>
      </c>
      <c r="AC61" s="178">
        <f>'Q (t)'!L61</f>
        <v>0</v>
      </c>
      <c r="AD61" s="178">
        <f>'Q (t)'!M61</f>
        <v>0</v>
      </c>
      <c r="AE61" s="178">
        <f>'Q (t)'!N61</f>
        <v>0</v>
      </c>
      <c r="AF61" s="179">
        <f>'Q (t)'!O61</f>
        <v>0</v>
      </c>
      <c r="AG61" s="178">
        <f>'Q (t)'!P61</f>
        <v>0</v>
      </c>
      <c r="AH61" s="178">
        <f>'Q (t)'!Q61</f>
        <v>0</v>
      </c>
      <c r="AI61" s="179">
        <f>'Q (t)'!R61</f>
        <v>0</v>
      </c>
      <c r="AJ61" s="184">
        <f>'Q (t)'!S61</f>
        <v>0</v>
      </c>
      <c r="AK61" s="178">
        <f>'Q (t)'!T61</f>
        <v>0</v>
      </c>
      <c r="AL61" s="184">
        <f>'Q (t)'!U61</f>
        <v>0</v>
      </c>
      <c r="AM61" s="179">
        <f>'Q (t)'!V61</f>
        <v>0</v>
      </c>
      <c r="AO61" s="183">
        <f t="shared" si="2"/>
        <v>0</v>
      </c>
      <c r="AP61" s="184">
        <f t="shared" si="30"/>
        <v>0</v>
      </c>
      <c r="AQ61" s="178">
        <f t="shared" si="30"/>
        <v>0</v>
      </c>
      <c r="AR61" s="178">
        <f t="shared" si="30"/>
        <v>0</v>
      </c>
      <c r="AS61" s="179">
        <f t="shared" si="30"/>
        <v>0</v>
      </c>
      <c r="AT61" s="178">
        <f t="shared" si="30"/>
        <v>0</v>
      </c>
      <c r="AU61" s="178">
        <f t="shared" si="30"/>
        <v>0</v>
      </c>
      <c r="AV61" s="178">
        <f t="shared" si="30"/>
        <v>0</v>
      </c>
      <c r="AW61" s="179">
        <f t="shared" si="30"/>
        <v>0</v>
      </c>
      <c r="AX61" s="178">
        <f t="shared" si="42"/>
        <v>0</v>
      </c>
      <c r="AY61" s="178">
        <f t="shared" si="42"/>
        <v>0</v>
      </c>
      <c r="AZ61" s="179">
        <f t="shared" si="42"/>
        <v>0</v>
      </c>
      <c r="BA61" s="184">
        <f t="shared" si="41"/>
        <v>0</v>
      </c>
      <c r="BB61" s="178">
        <f t="shared" si="41"/>
        <v>0</v>
      </c>
      <c r="BC61" s="184">
        <f t="shared" si="41"/>
        <v>0</v>
      </c>
      <c r="BD61" s="178">
        <f t="shared" si="41"/>
        <v>0</v>
      </c>
      <c r="BE61" s="251">
        <f t="shared" si="3"/>
        <v>0</v>
      </c>
      <c r="BF61" s="252">
        <f t="shared" si="40"/>
        <v>0</v>
      </c>
      <c r="BH61" s="262">
        <f t="shared" si="35"/>
        <v>0</v>
      </c>
      <c r="BI61" s="262">
        <f t="shared" si="36"/>
        <v>0</v>
      </c>
      <c r="BJ61" s="262">
        <f t="shared" si="37"/>
        <v>0</v>
      </c>
      <c r="BK61" s="263">
        <f t="shared" si="38"/>
        <v>0</v>
      </c>
      <c r="BL61" s="269">
        <f t="shared" si="39"/>
        <v>0</v>
      </c>
      <c r="BM61" s="264">
        <f t="shared" si="5"/>
        <v>0</v>
      </c>
      <c r="BO61" s="732" t="str">
        <f t="shared" si="6"/>
        <v/>
      </c>
    </row>
    <row r="62" spans="2:67" ht="15" customHeight="1" x14ac:dyDescent="0.25">
      <c r="B62" s="156">
        <f t="shared" si="27"/>
        <v>20</v>
      </c>
      <c r="C62" s="180" t="s">
        <v>594</v>
      </c>
      <c r="D62" s="181"/>
      <c r="E62" s="210" t="s">
        <v>94</v>
      </c>
      <c r="G62" s="488">
        <f>('Cust Specific'!S82)</f>
        <v>0</v>
      </c>
      <c r="H62" s="490"/>
      <c r="I62" s="494">
        <f>'Cust Specific'!S85</f>
        <v>1.7600000000000001E-2</v>
      </c>
      <c r="J62" s="471"/>
      <c r="K62" s="495">
        <f>'Cust Specific'!S86</f>
        <v>1.0999999999999999E-2</v>
      </c>
      <c r="L62" s="471"/>
      <c r="M62" s="471"/>
      <c r="N62" s="471"/>
      <c r="O62" s="472"/>
      <c r="P62" s="471"/>
      <c r="Q62" s="471"/>
      <c r="R62" s="472"/>
      <c r="S62" s="489">
        <f>'Cust Specific'!S83</f>
        <v>0.10829999999999999</v>
      </c>
      <c r="T62" s="494">
        <f>'Cust Specific'!S84</f>
        <v>0</v>
      </c>
      <c r="U62" s="491"/>
      <c r="V62" s="492"/>
      <c r="X62" s="183">
        <f>'Q (t)'!G62</f>
        <v>0</v>
      </c>
      <c r="Y62" s="184">
        <f>'Q (t)'!H62</f>
        <v>0</v>
      </c>
      <c r="Z62" s="178">
        <f>'Q (t)'!I62</f>
        <v>0</v>
      </c>
      <c r="AA62" s="178">
        <f>'Q (t)'!J62</f>
        <v>0</v>
      </c>
      <c r="AB62" s="179">
        <f>'Q (t)'!K62</f>
        <v>0</v>
      </c>
      <c r="AC62" s="178">
        <f>'Q (t)'!L62</f>
        <v>0</v>
      </c>
      <c r="AD62" s="178">
        <f>'Q (t)'!M62</f>
        <v>0</v>
      </c>
      <c r="AE62" s="178">
        <f>'Q (t)'!N62</f>
        <v>0</v>
      </c>
      <c r="AF62" s="179">
        <f>'Q (t)'!O62</f>
        <v>0</v>
      </c>
      <c r="AG62" s="178">
        <f>'Q (t)'!P62</f>
        <v>0</v>
      </c>
      <c r="AH62" s="178">
        <f>'Q (t)'!Q62</f>
        <v>0</v>
      </c>
      <c r="AI62" s="179">
        <f>'Q (t)'!R62</f>
        <v>0</v>
      </c>
      <c r="AJ62" s="184">
        <f>'Q (t)'!S62</f>
        <v>0</v>
      </c>
      <c r="AK62" s="178">
        <f>'Q (t)'!T62</f>
        <v>0</v>
      </c>
      <c r="AL62" s="184">
        <f>'Q (t)'!U62</f>
        <v>0</v>
      </c>
      <c r="AM62" s="179">
        <f>'Q (t)'!V62</f>
        <v>0</v>
      </c>
      <c r="AO62" s="183">
        <f t="shared" si="2"/>
        <v>0</v>
      </c>
      <c r="AP62" s="184">
        <f t="shared" si="30"/>
        <v>0</v>
      </c>
      <c r="AQ62" s="178">
        <f t="shared" si="30"/>
        <v>0</v>
      </c>
      <c r="AR62" s="178">
        <f t="shared" si="30"/>
        <v>0</v>
      </c>
      <c r="AS62" s="179">
        <f t="shared" si="30"/>
        <v>0</v>
      </c>
      <c r="AT62" s="178">
        <f t="shared" si="30"/>
        <v>0</v>
      </c>
      <c r="AU62" s="178">
        <f t="shared" si="30"/>
        <v>0</v>
      </c>
      <c r="AV62" s="178">
        <f t="shared" si="30"/>
        <v>0</v>
      </c>
      <c r="AW62" s="179">
        <f t="shared" si="30"/>
        <v>0</v>
      </c>
      <c r="AX62" s="178">
        <f t="shared" si="42"/>
        <v>0</v>
      </c>
      <c r="AY62" s="178">
        <f t="shared" si="42"/>
        <v>0</v>
      </c>
      <c r="AZ62" s="179">
        <f t="shared" si="42"/>
        <v>0</v>
      </c>
      <c r="BA62" s="184">
        <f t="shared" si="41"/>
        <v>0</v>
      </c>
      <c r="BB62" s="178">
        <f t="shared" si="41"/>
        <v>0</v>
      </c>
      <c r="BC62" s="184">
        <f t="shared" si="41"/>
        <v>0</v>
      </c>
      <c r="BD62" s="178">
        <f t="shared" si="41"/>
        <v>0</v>
      </c>
      <c r="BE62" s="251">
        <f t="shared" si="3"/>
        <v>0</v>
      </c>
      <c r="BF62" s="252">
        <f t="shared" si="40"/>
        <v>0</v>
      </c>
      <c r="BH62" s="262">
        <f t="shared" si="35"/>
        <v>0</v>
      </c>
      <c r="BI62" s="262">
        <f t="shared" si="36"/>
        <v>0</v>
      </c>
      <c r="BJ62" s="262">
        <f t="shared" si="37"/>
        <v>0</v>
      </c>
      <c r="BK62" s="263">
        <f t="shared" si="38"/>
        <v>0</v>
      </c>
      <c r="BL62" s="269">
        <f t="shared" si="39"/>
        <v>0</v>
      </c>
      <c r="BM62" s="264">
        <f t="shared" si="5"/>
        <v>0</v>
      </c>
      <c r="BO62" s="732" t="str">
        <f t="shared" si="6"/>
        <v/>
      </c>
    </row>
    <row r="63" spans="2:67" ht="15" customHeight="1" x14ac:dyDescent="0.25">
      <c r="B63" s="156">
        <f t="shared" si="27"/>
        <v>21</v>
      </c>
      <c r="C63" s="180" t="s">
        <v>595</v>
      </c>
      <c r="D63" s="181"/>
      <c r="E63" s="210" t="s">
        <v>94</v>
      </c>
      <c r="G63" s="488">
        <f>('Cust Specific'!S90)</f>
        <v>0</v>
      </c>
      <c r="H63" s="490"/>
      <c r="I63" s="494">
        <f>'Cust Specific'!S93</f>
        <v>1.7600000000000001E-2</v>
      </c>
      <c r="J63" s="471"/>
      <c r="K63" s="495">
        <f>'Cust Specific'!S94</f>
        <v>1.0999999999999999E-2</v>
      </c>
      <c r="L63" s="471"/>
      <c r="M63" s="471"/>
      <c r="N63" s="471"/>
      <c r="O63" s="472"/>
      <c r="P63" s="471"/>
      <c r="Q63" s="471"/>
      <c r="R63" s="472"/>
      <c r="S63" s="489">
        <f>'Cust Specific'!S91</f>
        <v>0.10829999999999999</v>
      </c>
      <c r="T63" s="494">
        <f>'Cust Specific'!S92</f>
        <v>0</v>
      </c>
      <c r="U63" s="491"/>
      <c r="V63" s="492"/>
      <c r="X63" s="183">
        <f>'Q (t)'!G63</f>
        <v>365</v>
      </c>
      <c r="Y63" s="184">
        <f>'Q (t)'!H63</f>
        <v>0</v>
      </c>
      <c r="Z63" s="178">
        <f>'Q (t)'!I63</f>
        <v>4100</v>
      </c>
      <c r="AA63" s="178">
        <f>'Q (t)'!J63</f>
        <v>0</v>
      </c>
      <c r="AB63" s="179">
        <f>'Q (t)'!K63</f>
        <v>5400</v>
      </c>
      <c r="AC63" s="178">
        <f>'Q (t)'!L63</f>
        <v>0</v>
      </c>
      <c r="AD63" s="178">
        <f>'Q (t)'!M63</f>
        <v>0</v>
      </c>
      <c r="AE63" s="178">
        <f>'Q (t)'!N63</f>
        <v>0</v>
      </c>
      <c r="AF63" s="179">
        <f>'Q (t)'!O63</f>
        <v>0</v>
      </c>
      <c r="AG63" s="178">
        <f>'Q (t)'!P63</f>
        <v>0</v>
      </c>
      <c r="AH63" s="178">
        <f>'Q (t)'!Q63</f>
        <v>0</v>
      </c>
      <c r="AI63" s="179">
        <f>'Q (t)'!R63</f>
        <v>0</v>
      </c>
      <c r="AJ63" s="184">
        <f>'Q (t)'!S63</f>
        <v>1069450</v>
      </c>
      <c r="AK63" s="178">
        <f>'Q (t)'!T63</f>
        <v>1800910</v>
      </c>
      <c r="AL63" s="184">
        <f>'Q (t)'!U63</f>
        <v>0</v>
      </c>
      <c r="AM63" s="179">
        <f>'Q (t)'!V63</f>
        <v>0</v>
      </c>
      <c r="AO63" s="183">
        <f t="shared" si="2"/>
        <v>0</v>
      </c>
      <c r="AP63" s="184">
        <f t="shared" ref="AP63:AW77" si="45">H63*Y63</f>
        <v>0</v>
      </c>
      <c r="AQ63" s="178">
        <f t="shared" si="45"/>
        <v>72.160000000000011</v>
      </c>
      <c r="AR63" s="178">
        <f t="shared" si="45"/>
        <v>0</v>
      </c>
      <c r="AS63" s="179">
        <f t="shared" si="45"/>
        <v>59.4</v>
      </c>
      <c r="AT63" s="178">
        <f t="shared" si="45"/>
        <v>0</v>
      </c>
      <c r="AU63" s="178">
        <f t="shared" si="45"/>
        <v>0</v>
      </c>
      <c r="AV63" s="178">
        <f t="shared" si="45"/>
        <v>0</v>
      </c>
      <c r="AW63" s="179">
        <f t="shared" si="45"/>
        <v>0</v>
      </c>
      <c r="AX63" s="178">
        <f t="shared" si="42"/>
        <v>0</v>
      </c>
      <c r="AY63" s="178">
        <f t="shared" si="42"/>
        <v>0</v>
      </c>
      <c r="AZ63" s="179">
        <f t="shared" si="42"/>
        <v>0</v>
      </c>
      <c r="BA63" s="184">
        <f t="shared" si="41"/>
        <v>115.82143499999999</v>
      </c>
      <c r="BB63" s="178">
        <f t="shared" si="41"/>
        <v>0</v>
      </c>
      <c r="BC63" s="184">
        <f t="shared" si="41"/>
        <v>0</v>
      </c>
      <c r="BD63" s="178">
        <f t="shared" si="41"/>
        <v>0</v>
      </c>
      <c r="BE63" s="251">
        <f t="shared" si="3"/>
        <v>1</v>
      </c>
      <c r="BF63" s="252">
        <f t="shared" si="40"/>
        <v>9500</v>
      </c>
      <c r="BH63" s="262">
        <f t="shared" si="35"/>
        <v>0</v>
      </c>
      <c r="BI63" s="262">
        <f t="shared" si="36"/>
        <v>131.56</v>
      </c>
      <c r="BJ63" s="262">
        <f t="shared" si="37"/>
        <v>0</v>
      </c>
      <c r="BK63" s="263">
        <f t="shared" si="38"/>
        <v>115.82143499999999</v>
      </c>
      <c r="BL63" s="269">
        <f t="shared" si="39"/>
        <v>0</v>
      </c>
      <c r="BM63" s="264">
        <f t="shared" si="5"/>
        <v>247.38143500000001</v>
      </c>
      <c r="BO63" s="732">
        <f t="shared" si="6"/>
        <v>26.040151052631579</v>
      </c>
    </row>
    <row r="64" spans="2:67" ht="15" customHeight="1" x14ac:dyDescent="0.25">
      <c r="B64" s="156">
        <f t="shared" si="27"/>
        <v>22</v>
      </c>
      <c r="C64" s="180" t="s">
        <v>660</v>
      </c>
      <c r="D64" s="181"/>
      <c r="E64" s="210" t="s">
        <v>680</v>
      </c>
      <c r="G64" s="488">
        <f>('Cust Specific'!S98)</f>
        <v>0</v>
      </c>
      <c r="H64" s="490"/>
      <c r="I64" s="494">
        <f>'Cust Specific'!S101</f>
        <v>1.7600000000000001E-2</v>
      </c>
      <c r="J64" s="471"/>
      <c r="K64" s="495">
        <f>'Cust Specific'!S102</f>
        <v>1.0999999999999999E-2</v>
      </c>
      <c r="L64" s="471"/>
      <c r="M64" s="471"/>
      <c r="N64" s="471"/>
      <c r="O64" s="472"/>
      <c r="P64" s="494">
        <f>'Cust Specific'!S99</f>
        <v>0.3926</v>
      </c>
      <c r="Q64" s="471"/>
      <c r="R64" s="472"/>
      <c r="S64" s="490"/>
      <c r="T64" s="494">
        <f>'Cust Specific'!S100</f>
        <v>0</v>
      </c>
      <c r="U64" s="491"/>
      <c r="V64" s="492"/>
      <c r="X64" s="183">
        <f>'Q (t)'!G64</f>
        <v>365</v>
      </c>
      <c r="Y64" s="184">
        <f>'Q (t)'!H64</f>
        <v>0</v>
      </c>
      <c r="Z64" s="178">
        <f>'Q (t)'!I64</f>
        <v>1100</v>
      </c>
      <c r="AA64" s="178">
        <f>'Q (t)'!J64</f>
        <v>0</v>
      </c>
      <c r="AB64" s="179">
        <f>'Q (t)'!K64</f>
        <v>1600</v>
      </c>
      <c r="AC64" s="178">
        <f>'Q (t)'!L64</f>
        <v>0</v>
      </c>
      <c r="AD64" s="178">
        <f>'Q (t)'!M64</f>
        <v>0</v>
      </c>
      <c r="AE64" s="178">
        <f>'Q (t)'!N64</f>
        <v>0</v>
      </c>
      <c r="AF64" s="179">
        <f>'Q (t)'!O64</f>
        <v>0</v>
      </c>
      <c r="AG64" s="178">
        <f>'Q (t)'!P64</f>
        <v>109475</v>
      </c>
      <c r="AH64" s="178">
        <f>'Q (t)'!Q64</f>
        <v>0</v>
      </c>
      <c r="AI64" s="179">
        <f>'Q (t)'!R64</f>
        <v>0</v>
      </c>
      <c r="AJ64" s="184">
        <f>'Q (t)'!S64</f>
        <v>0</v>
      </c>
      <c r="AK64" s="178">
        <f>'Q (t)'!T64</f>
        <v>572320</v>
      </c>
      <c r="AL64" s="184">
        <f>'Q (t)'!U64</f>
        <v>0</v>
      </c>
      <c r="AM64" s="179">
        <f>'Q (t)'!V64</f>
        <v>0</v>
      </c>
      <c r="AO64" s="183">
        <f t="shared" si="2"/>
        <v>0</v>
      </c>
      <c r="AP64" s="184">
        <f t="shared" si="45"/>
        <v>0</v>
      </c>
      <c r="AQ64" s="178">
        <f t="shared" si="45"/>
        <v>19.36</v>
      </c>
      <c r="AR64" s="178">
        <f t="shared" si="45"/>
        <v>0</v>
      </c>
      <c r="AS64" s="179">
        <f t="shared" si="45"/>
        <v>17.599999999999998</v>
      </c>
      <c r="AT64" s="178">
        <f t="shared" si="45"/>
        <v>0</v>
      </c>
      <c r="AU64" s="178">
        <f t="shared" si="45"/>
        <v>0</v>
      </c>
      <c r="AV64" s="178">
        <f t="shared" si="45"/>
        <v>0</v>
      </c>
      <c r="AW64" s="179">
        <f t="shared" si="45"/>
        <v>0</v>
      </c>
      <c r="AX64" s="178">
        <f t="shared" si="42"/>
        <v>42.979885000000003</v>
      </c>
      <c r="AY64" s="178">
        <f t="shared" si="42"/>
        <v>0</v>
      </c>
      <c r="AZ64" s="179">
        <f t="shared" si="42"/>
        <v>0</v>
      </c>
      <c r="BA64" s="184">
        <f t="shared" si="41"/>
        <v>0</v>
      </c>
      <c r="BB64" s="178">
        <f t="shared" si="41"/>
        <v>0</v>
      </c>
      <c r="BC64" s="184">
        <f t="shared" si="41"/>
        <v>0</v>
      </c>
      <c r="BD64" s="178">
        <f t="shared" si="41"/>
        <v>0</v>
      </c>
      <c r="BE64" s="251">
        <f t="shared" si="3"/>
        <v>1</v>
      </c>
      <c r="BF64" s="252">
        <f t="shared" si="40"/>
        <v>2700</v>
      </c>
      <c r="BH64" s="262">
        <f t="shared" si="35"/>
        <v>0</v>
      </c>
      <c r="BI64" s="262">
        <f t="shared" si="36"/>
        <v>36.959999999999994</v>
      </c>
      <c r="BJ64" s="262">
        <f t="shared" si="37"/>
        <v>0</v>
      </c>
      <c r="BK64" s="263">
        <f t="shared" si="38"/>
        <v>42.979885000000003</v>
      </c>
      <c r="BL64" s="269">
        <f t="shared" si="39"/>
        <v>0</v>
      </c>
      <c r="BM64" s="264">
        <f t="shared" si="5"/>
        <v>79.939885000000004</v>
      </c>
      <c r="BO64" s="732">
        <f t="shared" si="6"/>
        <v>29.607364814814819</v>
      </c>
    </row>
    <row r="65" spans="2:67" ht="15" customHeight="1" x14ac:dyDescent="0.25">
      <c r="B65" s="156">
        <f t="shared" si="27"/>
        <v>23</v>
      </c>
      <c r="C65" s="211"/>
      <c r="D65" s="212"/>
      <c r="E65" s="213"/>
      <c r="G65" s="493"/>
      <c r="H65" s="490"/>
      <c r="I65" s="471"/>
      <c r="J65" s="471"/>
      <c r="K65" s="472"/>
      <c r="L65" s="471"/>
      <c r="M65" s="471"/>
      <c r="N65" s="471"/>
      <c r="O65" s="472"/>
      <c r="P65" s="471"/>
      <c r="Q65" s="471"/>
      <c r="R65" s="472"/>
      <c r="S65" s="490"/>
      <c r="T65" s="471"/>
      <c r="U65" s="490"/>
      <c r="V65" s="472"/>
      <c r="X65" s="183">
        <f>'Q (t)'!G65</f>
        <v>0</v>
      </c>
      <c r="Y65" s="184">
        <f>'Q (t)'!H65</f>
        <v>0</v>
      </c>
      <c r="Z65" s="178">
        <f>'Q (t)'!I65</f>
        <v>0</v>
      </c>
      <c r="AA65" s="178">
        <f>'Q (t)'!J65</f>
        <v>0</v>
      </c>
      <c r="AB65" s="179">
        <f>'Q (t)'!K65</f>
        <v>0</v>
      </c>
      <c r="AC65" s="178">
        <f>'Q (t)'!L65</f>
        <v>0</v>
      </c>
      <c r="AD65" s="178">
        <f>'Q (t)'!M65</f>
        <v>0</v>
      </c>
      <c r="AE65" s="178">
        <f>'Q (t)'!N65</f>
        <v>0</v>
      </c>
      <c r="AF65" s="179">
        <f>'Q (t)'!O65</f>
        <v>0</v>
      </c>
      <c r="AG65" s="178">
        <f>'Q (t)'!P65</f>
        <v>0</v>
      </c>
      <c r="AH65" s="178">
        <f>'Q (t)'!Q65</f>
        <v>0</v>
      </c>
      <c r="AI65" s="179">
        <f>'Q (t)'!R65</f>
        <v>0</v>
      </c>
      <c r="AJ65" s="184">
        <f>'Q (t)'!S65</f>
        <v>0</v>
      </c>
      <c r="AK65" s="178">
        <f>'Q (t)'!T65</f>
        <v>0</v>
      </c>
      <c r="AL65" s="184">
        <f>'Q (t)'!U65</f>
        <v>0</v>
      </c>
      <c r="AM65" s="179">
        <f>'Q (t)'!V65</f>
        <v>0</v>
      </c>
      <c r="AO65" s="183">
        <f t="shared" si="2"/>
        <v>0</v>
      </c>
      <c r="AP65" s="184">
        <f t="shared" si="45"/>
        <v>0</v>
      </c>
      <c r="AQ65" s="178">
        <f t="shared" si="45"/>
        <v>0</v>
      </c>
      <c r="AR65" s="178">
        <f t="shared" si="45"/>
        <v>0</v>
      </c>
      <c r="AS65" s="179">
        <f t="shared" si="45"/>
        <v>0</v>
      </c>
      <c r="AT65" s="178">
        <f t="shared" si="45"/>
        <v>0</v>
      </c>
      <c r="AU65" s="178">
        <f t="shared" si="45"/>
        <v>0</v>
      </c>
      <c r="AV65" s="178">
        <f t="shared" si="45"/>
        <v>0</v>
      </c>
      <c r="AW65" s="179">
        <f t="shared" si="45"/>
        <v>0</v>
      </c>
      <c r="AX65" s="178">
        <f t="shared" si="42"/>
        <v>0</v>
      </c>
      <c r="AY65" s="178">
        <f t="shared" si="42"/>
        <v>0</v>
      </c>
      <c r="AZ65" s="179">
        <f t="shared" si="42"/>
        <v>0</v>
      </c>
      <c r="BA65" s="184">
        <f t="shared" si="41"/>
        <v>0</v>
      </c>
      <c r="BB65" s="178">
        <f t="shared" si="41"/>
        <v>0</v>
      </c>
      <c r="BC65" s="184">
        <f t="shared" si="41"/>
        <v>0</v>
      </c>
      <c r="BD65" s="178">
        <f t="shared" si="41"/>
        <v>0</v>
      </c>
      <c r="BE65" s="251">
        <f t="shared" si="3"/>
        <v>0</v>
      </c>
      <c r="BF65" s="252">
        <f t="shared" si="40"/>
        <v>0</v>
      </c>
      <c r="BH65" s="262">
        <f t="shared" si="35"/>
        <v>0</v>
      </c>
      <c r="BI65" s="262">
        <f t="shared" si="36"/>
        <v>0</v>
      </c>
      <c r="BJ65" s="262">
        <f t="shared" si="37"/>
        <v>0</v>
      </c>
      <c r="BK65" s="263">
        <f t="shared" si="38"/>
        <v>0</v>
      </c>
      <c r="BL65" s="269">
        <f t="shared" si="39"/>
        <v>0</v>
      </c>
      <c r="BM65" s="264">
        <f t="shared" si="5"/>
        <v>0</v>
      </c>
      <c r="BO65" s="732" t="str">
        <f t="shared" si="6"/>
        <v/>
      </c>
    </row>
    <row r="66" spans="2:67" ht="15" customHeight="1" x14ac:dyDescent="0.25">
      <c r="B66" s="156">
        <f t="shared" si="27"/>
        <v>24</v>
      </c>
      <c r="C66" s="211"/>
      <c r="D66" s="212"/>
      <c r="E66" s="213"/>
      <c r="G66" s="493"/>
      <c r="H66" s="490"/>
      <c r="I66" s="471"/>
      <c r="J66" s="471"/>
      <c r="K66" s="472"/>
      <c r="L66" s="471"/>
      <c r="M66" s="471"/>
      <c r="N66" s="471"/>
      <c r="O66" s="472"/>
      <c r="P66" s="471"/>
      <c r="Q66" s="471"/>
      <c r="R66" s="472"/>
      <c r="S66" s="490"/>
      <c r="T66" s="471"/>
      <c r="U66" s="490"/>
      <c r="V66" s="472"/>
      <c r="X66" s="183">
        <f>'Q (t)'!G66</f>
        <v>0</v>
      </c>
      <c r="Y66" s="184">
        <f>'Q (t)'!H66</f>
        <v>0</v>
      </c>
      <c r="Z66" s="178">
        <f>'Q (t)'!I66</f>
        <v>0</v>
      </c>
      <c r="AA66" s="178">
        <f>'Q (t)'!J66</f>
        <v>0</v>
      </c>
      <c r="AB66" s="179">
        <f>'Q (t)'!K66</f>
        <v>0</v>
      </c>
      <c r="AC66" s="178">
        <f>'Q (t)'!L66</f>
        <v>0</v>
      </c>
      <c r="AD66" s="178">
        <f>'Q (t)'!M66</f>
        <v>0</v>
      </c>
      <c r="AE66" s="178">
        <f>'Q (t)'!N66</f>
        <v>0</v>
      </c>
      <c r="AF66" s="179">
        <f>'Q (t)'!O66</f>
        <v>0</v>
      </c>
      <c r="AG66" s="178">
        <f>'Q (t)'!P66</f>
        <v>0</v>
      </c>
      <c r="AH66" s="178">
        <f>'Q (t)'!Q66</f>
        <v>0</v>
      </c>
      <c r="AI66" s="179">
        <f>'Q (t)'!R66</f>
        <v>0</v>
      </c>
      <c r="AJ66" s="184">
        <f>'Q (t)'!S66</f>
        <v>0</v>
      </c>
      <c r="AK66" s="178">
        <f>'Q (t)'!T66</f>
        <v>0</v>
      </c>
      <c r="AL66" s="184">
        <f>'Q (t)'!U66</f>
        <v>0</v>
      </c>
      <c r="AM66" s="179">
        <f>'Q (t)'!V66</f>
        <v>0</v>
      </c>
      <c r="AO66" s="183">
        <f t="shared" si="2"/>
        <v>0</v>
      </c>
      <c r="AP66" s="184">
        <f t="shared" si="45"/>
        <v>0</v>
      </c>
      <c r="AQ66" s="178">
        <f t="shared" si="45"/>
        <v>0</v>
      </c>
      <c r="AR66" s="178">
        <f t="shared" si="45"/>
        <v>0</v>
      </c>
      <c r="AS66" s="179">
        <f t="shared" si="45"/>
        <v>0</v>
      </c>
      <c r="AT66" s="178">
        <f t="shared" si="45"/>
        <v>0</v>
      </c>
      <c r="AU66" s="178">
        <f t="shared" si="45"/>
        <v>0</v>
      </c>
      <c r="AV66" s="178">
        <f t="shared" si="45"/>
        <v>0</v>
      </c>
      <c r="AW66" s="179">
        <f t="shared" si="45"/>
        <v>0</v>
      </c>
      <c r="AX66" s="178">
        <f t="shared" si="42"/>
        <v>0</v>
      </c>
      <c r="AY66" s="178">
        <f t="shared" si="42"/>
        <v>0</v>
      </c>
      <c r="AZ66" s="179">
        <f t="shared" si="42"/>
        <v>0</v>
      </c>
      <c r="BA66" s="184">
        <f t="shared" si="41"/>
        <v>0</v>
      </c>
      <c r="BB66" s="178">
        <f t="shared" si="41"/>
        <v>0</v>
      </c>
      <c r="BC66" s="184">
        <f t="shared" si="41"/>
        <v>0</v>
      </c>
      <c r="BD66" s="178">
        <f t="shared" si="41"/>
        <v>0</v>
      </c>
      <c r="BE66" s="251">
        <f t="shared" si="3"/>
        <v>0</v>
      </c>
      <c r="BF66" s="252">
        <f t="shared" si="40"/>
        <v>0</v>
      </c>
      <c r="BH66" s="262">
        <f t="shared" si="35"/>
        <v>0</v>
      </c>
      <c r="BI66" s="262">
        <f t="shared" si="36"/>
        <v>0</v>
      </c>
      <c r="BJ66" s="262">
        <f t="shared" si="37"/>
        <v>0</v>
      </c>
      <c r="BK66" s="263">
        <f t="shared" si="38"/>
        <v>0</v>
      </c>
      <c r="BL66" s="269">
        <f t="shared" si="39"/>
        <v>0</v>
      </c>
      <c r="BM66" s="264">
        <f t="shared" si="5"/>
        <v>0</v>
      </c>
      <c r="BO66" s="732" t="str">
        <f t="shared" si="6"/>
        <v/>
      </c>
    </row>
    <row r="67" spans="2:67" ht="15" customHeight="1" x14ac:dyDescent="0.25">
      <c r="B67" s="162">
        <f t="shared" si="27"/>
        <v>25</v>
      </c>
      <c r="C67" s="214"/>
      <c r="D67" s="215"/>
      <c r="E67" s="216"/>
      <c r="G67" s="509"/>
      <c r="H67" s="502"/>
      <c r="I67" s="498"/>
      <c r="J67" s="498"/>
      <c r="K67" s="499"/>
      <c r="L67" s="498"/>
      <c r="M67" s="498"/>
      <c r="N67" s="498"/>
      <c r="O67" s="499"/>
      <c r="P67" s="498"/>
      <c r="Q67" s="498"/>
      <c r="R67" s="499"/>
      <c r="S67" s="502"/>
      <c r="T67" s="498"/>
      <c r="U67" s="502"/>
      <c r="V67" s="499"/>
      <c r="X67" s="190">
        <f>'Q (t)'!G67</f>
        <v>0</v>
      </c>
      <c r="Y67" s="197">
        <f>'Q (t)'!H67</f>
        <v>0</v>
      </c>
      <c r="Z67" s="192">
        <f>'Q (t)'!I67</f>
        <v>0</v>
      </c>
      <c r="AA67" s="192">
        <f>'Q (t)'!J67</f>
        <v>0</v>
      </c>
      <c r="AB67" s="193">
        <f>'Q (t)'!K67</f>
        <v>0</v>
      </c>
      <c r="AC67" s="192">
        <f>'Q (t)'!L67</f>
        <v>0</v>
      </c>
      <c r="AD67" s="192">
        <f>'Q (t)'!M67</f>
        <v>0</v>
      </c>
      <c r="AE67" s="192">
        <f>'Q (t)'!N67</f>
        <v>0</v>
      </c>
      <c r="AF67" s="193">
        <f>'Q (t)'!O67</f>
        <v>0</v>
      </c>
      <c r="AG67" s="192">
        <f>'Q (t)'!P67</f>
        <v>0</v>
      </c>
      <c r="AH67" s="192">
        <f>'Q (t)'!Q67</f>
        <v>0</v>
      </c>
      <c r="AI67" s="193">
        <f>'Q (t)'!R67</f>
        <v>0</v>
      </c>
      <c r="AJ67" s="197">
        <f>'Q (t)'!S67</f>
        <v>0</v>
      </c>
      <c r="AK67" s="192">
        <f>'Q (t)'!T67</f>
        <v>0</v>
      </c>
      <c r="AL67" s="197">
        <f>'Q (t)'!U67</f>
        <v>0</v>
      </c>
      <c r="AM67" s="193">
        <f>'Q (t)'!V67</f>
        <v>0</v>
      </c>
      <c r="AO67" s="190">
        <f t="shared" si="2"/>
        <v>0</v>
      </c>
      <c r="AP67" s="197">
        <f t="shared" si="45"/>
        <v>0</v>
      </c>
      <c r="AQ67" s="192">
        <f t="shared" si="45"/>
        <v>0</v>
      </c>
      <c r="AR67" s="192">
        <f t="shared" si="45"/>
        <v>0</v>
      </c>
      <c r="AS67" s="193">
        <f t="shared" si="45"/>
        <v>0</v>
      </c>
      <c r="AT67" s="192">
        <f t="shared" si="45"/>
        <v>0</v>
      </c>
      <c r="AU67" s="192">
        <f t="shared" si="45"/>
        <v>0</v>
      </c>
      <c r="AV67" s="192">
        <f t="shared" si="45"/>
        <v>0</v>
      </c>
      <c r="AW67" s="193">
        <f t="shared" si="45"/>
        <v>0</v>
      </c>
      <c r="AX67" s="192">
        <f t="shared" si="42"/>
        <v>0</v>
      </c>
      <c r="AY67" s="192">
        <f t="shared" si="42"/>
        <v>0</v>
      </c>
      <c r="AZ67" s="193">
        <f t="shared" si="42"/>
        <v>0</v>
      </c>
      <c r="BA67" s="197">
        <f t="shared" si="41"/>
        <v>0</v>
      </c>
      <c r="BB67" s="192">
        <f t="shared" si="41"/>
        <v>0</v>
      </c>
      <c r="BC67" s="197">
        <f t="shared" si="41"/>
        <v>0</v>
      </c>
      <c r="BD67" s="192">
        <f t="shared" si="41"/>
        <v>0</v>
      </c>
      <c r="BE67" s="253">
        <f t="shared" si="3"/>
        <v>0</v>
      </c>
      <c r="BF67" s="254">
        <f t="shared" si="40"/>
        <v>0</v>
      </c>
      <c r="BH67" s="262">
        <f t="shared" si="35"/>
        <v>0</v>
      </c>
      <c r="BI67" s="262">
        <f t="shared" si="36"/>
        <v>0</v>
      </c>
      <c r="BJ67" s="262">
        <f t="shared" si="37"/>
        <v>0</v>
      </c>
      <c r="BK67" s="263">
        <f t="shared" si="38"/>
        <v>0</v>
      </c>
      <c r="BL67" s="269">
        <f t="shared" si="39"/>
        <v>0</v>
      </c>
      <c r="BM67" s="264">
        <f t="shared" si="5"/>
        <v>0</v>
      </c>
      <c r="BO67" s="732" t="str">
        <f t="shared" si="6"/>
        <v/>
      </c>
    </row>
    <row r="68" spans="2:67" ht="15" customHeight="1" x14ac:dyDescent="0.25">
      <c r="B68" s="167" t="s">
        <v>101</v>
      </c>
      <c r="C68" s="151" t="s">
        <v>102</v>
      </c>
      <c r="D68" s="151"/>
      <c r="E68" s="204"/>
      <c r="G68" s="505"/>
      <c r="H68" s="506"/>
      <c r="I68" s="507"/>
      <c r="J68" s="507"/>
      <c r="K68" s="508"/>
      <c r="L68" s="507"/>
      <c r="M68" s="507"/>
      <c r="N68" s="507"/>
      <c r="O68" s="508"/>
      <c r="P68" s="507"/>
      <c r="Q68" s="507"/>
      <c r="R68" s="508"/>
      <c r="S68" s="506"/>
      <c r="T68" s="507"/>
      <c r="U68" s="506"/>
      <c r="V68" s="508"/>
      <c r="X68" s="205">
        <f>'Q (t)'!G68</f>
        <v>0</v>
      </c>
      <c r="Y68" s="206">
        <f>'Q (t)'!H68</f>
        <v>0</v>
      </c>
      <c r="Z68" s="207">
        <f>'Q (t)'!I68</f>
        <v>0</v>
      </c>
      <c r="AA68" s="207">
        <f>'Q (t)'!J68</f>
        <v>0</v>
      </c>
      <c r="AB68" s="208">
        <f>'Q (t)'!K68</f>
        <v>0</v>
      </c>
      <c r="AC68" s="207">
        <f>'Q (t)'!L68</f>
        <v>0</v>
      </c>
      <c r="AD68" s="207">
        <f>'Q (t)'!M68</f>
        <v>0</v>
      </c>
      <c r="AE68" s="207">
        <f>'Q (t)'!N68</f>
        <v>0</v>
      </c>
      <c r="AF68" s="208">
        <f>'Q (t)'!O68</f>
        <v>0</v>
      </c>
      <c r="AG68" s="207">
        <f>'Q (t)'!P68</f>
        <v>0</v>
      </c>
      <c r="AH68" s="207">
        <f>'Q (t)'!Q68</f>
        <v>0</v>
      </c>
      <c r="AI68" s="208">
        <f>'Q (t)'!R68</f>
        <v>0</v>
      </c>
      <c r="AJ68" s="206">
        <f>'Q (t)'!S68</f>
        <v>0</v>
      </c>
      <c r="AK68" s="207">
        <f>'Q (t)'!T68</f>
        <v>0</v>
      </c>
      <c r="AL68" s="206">
        <f>'Q (t)'!U68</f>
        <v>0</v>
      </c>
      <c r="AM68" s="208">
        <f>'Q (t)'!V68</f>
        <v>0</v>
      </c>
      <c r="AO68" s="205">
        <f t="shared" si="2"/>
        <v>0</v>
      </c>
      <c r="AP68" s="206">
        <f t="shared" si="45"/>
        <v>0</v>
      </c>
      <c r="AQ68" s="207">
        <f t="shared" si="45"/>
        <v>0</v>
      </c>
      <c r="AR68" s="207">
        <f t="shared" si="45"/>
        <v>0</v>
      </c>
      <c r="AS68" s="208">
        <f t="shared" si="45"/>
        <v>0</v>
      </c>
      <c r="AT68" s="207">
        <f t="shared" si="45"/>
        <v>0</v>
      </c>
      <c r="AU68" s="207">
        <f t="shared" si="45"/>
        <v>0</v>
      </c>
      <c r="AV68" s="207">
        <f t="shared" si="45"/>
        <v>0</v>
      </c>
      <c r="AW68" s="208">
        <f t="shared" si="45"/>
        <v>0</v>
      </c>
      <c r="AX68" s="207">
        <f t="shared" si="42"/>
        <v>0</v>
      </c>
      <c r="AY68" s="207">
        <f t="shared" si="42"/>
        <v>0</v>
      </c>
      <c r="AZ68" s="208">
        <f t="shared" si="42"/>
        <v>0</v>
      </c>
      <c r="BA68" s="206">
        <f t="shared" si="41"/>
        <v>0</v>
      </c>
      <c r="BB68" s="207">
        <f t="shared" si="41"/>
        <v>0</v>
      </c>
      <c r="BC68" s="206">
        <f t="shared" si="41"/>
        <v>0</v>
      </c>
      <c r="BD68" s="207">
        <f t="shared" si="41"/>
        <v>0</v>
      </c>
      <c r="BE68" s="249">
        <f t="shared" si="3"/>
        <v>0</v>
      </c>
      <c r="BF68" s="250">
        <f t="shared" si="40"/>
        <v>0</v>
      </c>
      <c r="BH68" s="260">
        <f>SUBTOTAL(9,BH69:BH91)</f>
        <v>2412.0002999999997</v>
      </c>
      <c r="BI68" s="260">
        <f>SUBTOTAL(9,BI69:BI91)</f>
        <v>6773.25</v>
      </c>
      <c r="BJ68" s="260">
        <f>SUBTOTAL(9,BJ69:BJ91)</f>
        <v>0</v>
      </c>
      <c r="BK68" s="260">
        <f>SUBTOTAL(9,BK69:BK91)</f>
        <v>6030.8694931</v>
      </c>
      <c r="BL68" s="260">
        <f>SUBTOTAL(9,BL69:BL91)</f>
        <v>0</v>
      </c>
      <c r="BM68" s="264">
        <f t="shared" si="5"/>
        <v>15216.119793099999</v>
      </c>
      <c r="BO68" s="732" t="str">
        <f t="shared" si="6"/>
        <v/>
      </c>
    </row>
    <row r="69" spans="2:67" ht="15" customHeight="1" x14ac:dyDescent="0.25">
      <c r="B69" s="156"/>
      <c r="C69" s="126" t="s">
        <v>103</v>
      </c>
      <c r="D69" s="202"/>
      <c r="E69" s="202"/>
      <c r="G69" s="493"/>
      <c r="H69" s="490"/>
      <c r="I69" s="471"/>
      <c r="J69" s="471"/>
      <c r="K69" s="472"/>
      <c r="L69" s="471"/>
      <c r="M69" s="471"/>
      <c r="N69" s="471"/>
      <c r="O69" s="472"/>
      <c r="P69" s="471"/>
      <c r="Q69" s="471"/>
      <c r="R69" s="472"/>
      <c r="S69" s="490"/>
      <c r="T69" s="471"/>
      <c r="U69" s="490"/>
      <c r="V69" s="472"/>
      <c r="X69" s="183">
        <f>'Q (t)'!G69</f>
        <v>0</v>
      </c>
      <c r="Y69" s="184">
        <f>'Q (t)'!H69</f>
        <v>0</v>
      </c>
      <c r="Z69" s="178">
        <f>'Q (t)'!I69</f>
        <v>0</v>
      </c>
      <c r="AA69" s="178">
        <f>'Q (t)'!J69</f>
        <v>0</v>
      </c>
      <c r="AB69" s="179">
        <f>'Q (t)'!K69</f>
        <v>0</v>
      </c>
      <c r="AC69" s="178">
        <f>'Q (t)'!L69</f>
        <v>0</v>
      </c>
      <c r="AD69" s="178">
        <f>'Q (t)'!M69</f>
        <v>0</v>
      </c>
      <c r="AE69" s="178">
        <f>'Q (t)'!N69</f>
        <v>0</v>
      </c>
      <c r="AF69" s="179">
        <f>'Q (t)'!O69</f>
        <v>0</v>
      </c>
      <c r="AG69" s="178">
        <f>'Q (t)'!P69</f>
        <v>0</v>
      </c>
      <c r="AH69" s="178">
        <f>'Q (t)'!Q69</f>
        <v>0</v>
      </c>
      <c r="AI69" s="179">
        <f>'Q (t)'!R69</f>
        <v>0</v>
      </c>
      <c r="AJ69" s="184">
        <f>'Q (t)'!S69</f>
        <v>0</v>
      </c>
      <c r="AK69" s="178">
        <f>'Q (t)'!T69</f>
        <v>0</v>
      </c>
      <c r="AL69" s="184">
        <f>'Q (t)'!U69</f>
        <v>0</v>
      </c>
      <c r="AM69" s="179">
        <f>'Q (t)'!V69</f>
        <v>0</v>
      </c>
      <c r="AO69" s="183">
        <f t="shared" si="2"/>
        <v>0</v>
      </c>
      <c r="AP69" s="184">
        <f t="shared" si="45"/>
        <v>0</v>
      </c>
      <c r="AQ69" s="178">
        <f t="shared" si="45"/>
        <v>0</v>
      </c>
      <c r="AR69" s="178">
        <f t="shared" si="45"/>
        <v>0</v>
      </c>
      <c r="AS69" s="179">
        <f t="shared" si="45"/>
        <v>0</v>
      </c>
      <c r="AT69" s="178">
        <f t="shared" si="45"/>
        <v>0</v>
      </c>
      <c r="AU69" s="178">
        <f t="shared" si="45"/>
        <v>0</v>
      </c>
      <c r="AV69" s="178">
        <f t="shared" si="45"/>
        <v>0</v>
      </c>
      <c r="AW69" s="179">
        <f t="shared" si="45"/>
        <v>0</v>
      </c>
      <c r="AX69" s="178">
        <f t="shared" si="42"/>
        <v>0</v>
      </c>
      <c r="AY69" s="178">
        <f t="shared" si="42"/>
        <v>0</v>
      </c>
      <c r="AZ69" s="179">
        <f t="shared" si="42"/>
        <v>0</v>
      </c>
      <c r="BA69" s="184">
        <f t="shared" si="41"/>
        <v>0</v>
      </c>
      <c r="BB69" s="178">
        <f t="shared" si="41"/>
        <v>0</v>
      </c>
      <c r="BC69" s="184">
        <f t="shared" si="41"/>
        <v>0</v>
      </c>
      <c r="BD69" s="178">
        <f t="shared" si="41"/>
        <v>0</v>
      </c>
      <c r="BE69" s="251">
        <f t="shared" si="3"/>
        <v>0</v>
      </c>
      <c r="BF69" s="252">
        <f t="shared" si="40"/>
        <v>0</v>
      </c>
      <c r="BH69" s="259">
        <f>SUBTOTAL(9,BH70:BH75)</f>
        <v>0</v>
      </c>
      <c r="BI69" s="259">
        <f>SUBTOTAL(9,BI70:BI75)</f>
        <v>6361.59</v>
      </c>
      <c r="BJ69" s="259">
        <f>SUBTOTAL(9,BJ70:BJ75)</f>
        <v>0</v>
      </c>
      <c r="BK69" s="259">
        <f>SUBTOTAL(9,BK70:BK75)</f>
        <v>5869.7077215999998</v>
      </c>
      <c r="BL69" s="259">
        <f>SUBTOTAL(9,BL70:BL75)</f>
        <v>0</v>
      </c>
      <c r="BM69" s="264">
        <f t="shared" si="5"/>
        <v>12231.2977216</v>
      </c>
      <c r="BO69" s="732" t="str">
        <f t="shared" si="6"/>
        <v/>
      </c>
    </row>
    <row r="70" spans="2:67" ht="15" customHeight="1" x14ac:dyDescent="0.25">
      <c r="B70" s="156">
        <v>1</v>
      </c>
      <c r="C70" s="180" t="s">
        <v>605</v>
      </c>
      <c r="D70" s="181" t="s">
        <v>606</v>
      </c>
      <c r="E70" s="210" t="s">
        <v>104</v>
      </c>
      <c r="G70" s="488">
        <v>0</v>
      </c>
      <c r="H70" s="490"/>
      <c r="I70" s="494">
        <v>1.3100000000000001E-2</v>
      </c>
      <c r="J70" s="471"/>
      <c r="K70" s="495">
        <v>8.2000000000000007E-3</v>
      </c>
      <c r="L70" s="471"/>
      <c r="M70" s="471"/>
      <c r="N70" s="471"/>
      <c r="O70" s="472"/>
      <c r="P70" s="471"/>
      <c r="Q70" s="471"/>
      <c r="R70" s="472"/>
      <c r="S70" s="489">
        <v>0.10829999999999999</v>
      </c>
      <c r="T70" s="494">
        <v>0</v>
      </c>
      <c r="U70" s="491"/>
      <c r="V70" s="492"/>
      <c r="X70" s="183">
        <f>'Q (t)'!G70</f>
        <v>50370</v>
      </c>
      <c r="Y70" s="184">
        <f>'Q (t)'!H70</f>
        <v>0</v>
      </c>
      <c r="Z70" s="178">
        <f>'Q (t)'!I70</f>
        <v>265600</v>
      </c>
      <c r="AA70" s="178">
        <f>'Q (t)'!J70</f>
        <v>0</v>
      </c>
      <c r="AB70" s="179">
        <f>'Q (t)'!K70</f>
        <v>284700</v>
      </c>
      <c r="AC70" s="178">
        <f>'Q (t)'!L70</f>
        <v>0</v>
      </c>
      <c r="AD70" s="178">
        <f>'Q (t)'!M70</f>
        <v>0</v>
      </c>
      <c r="AE70" s="178">
        <f>'Q (t)'!N70</f>
        <v>0</v>
      </c>
      <c r="AF70" s="179">
        <f>'Q (t)'!O70</f>
        <v>0</v>
      </c>
      <c r="AG70" s="178">
        <f>'Q (t)'!P70</f>
        <v>0</v>
      </c>
      <c r="AH70" s="178">
        <f>'Q (t)'!Q70</f>
        <v>0</v>
      </c>
      <c r="AI70" s="179">
        <f>'Q (t)'!R70</f>
        <v>0</v>
      </c>
      <c r="AJ70" s="184">
        <f>'Q (t)'!S70</f>
        <v>50549580</v>
      </c>
      <c r="AK70" s="178">
        <f>'Q (t)'!T70</f>
        <v>65300325</v>
      </c>
      <c r="AL70" s="184">
        <f>'Q (t)'!U70</f>
        <v>0</v>
      </c>
      <c r="AM70" s="179">
        <f>'Q (t)'!V70</f>
        <v>0</v>
      </c>
      <c r="AO70" s="183">
        <f t="shared" si="2"/>
        <v>0</v>
      </c>
      <c r="AP70" s="184">
        <f t="shared" si="45"/>
        <v>0</v>
      </c>
      <c r="AQ70" s="178">
        <f t="shared" si="45"/>
        <v>3479.36</v>
      </c>
      <c r="AR70" s="178">
        <f t="shared" si="45"/>
        <v>0</v>
      </c>
      <c r="AS70" s="179">
        <f t="shared" si="45"/>
        <v>2334.5400000000004</v>
      </c>
      <c r="AT70" s="178">
        <f t="shared" si="45"/>
        <v>0</v>
      </c>
      <c r="AU70" s="178">
        <f t="shared" si="45"/>
        <v>0</v>
      </c>
      <c r="AV70" s="178">
        <f t="shared" si="45"/>
        <v>0</v>
      </c>
      <c r="AW70" s="179">
        <f t="shared" si="45"/>
        <v>0</v>
      </c>
      <c r="AX70" s="178">
        <f t="shared" si="42"/>
        <v>0</v>
      </c>
      <c r="AY70" s="178">
        <f t="shared" si="42"/>
        <v>0</v>
      </c>
      <c r="AZ70" s="179">
        <f t="shared" si="42"/>
        <v>0</v>
      </c>
      <c r="BA70" s="184">
        <f t="shared" si="41"/>
        <v>5474.5195139999996</v>
      </c>
      <c r="BB70" s="178">
        <f t="shared" si="41"/>
        <v>0</v>
      </c>
      <c r="BC70" s="184">
        <f t="shared" si="41"/>
        <v>0</v>
      </c>
      <c r="BD70" s="178">
        <f t="shared" si="41"/>
        <v>0</v>
      </c>
      <c r="BE70" s="251">
        <f t="shared" si="3"/>
        <v>138</v>
      </c>
      <c r="BF70" s="252">
        <f t="shared" si="40"/>
        <v>550300</v>
      </c>
      <c r="BH70" s="262">
        <f t="shared" ref="BH70:BH90" si="46">SUM(AO70)</f>
        <v>0</v>
      </c>
      <c r="BI70" s="262">
        <f t="shared" ref="BI70:BI90" si="47">SUM(AP70:AS70)</f>
        <v>5813.9000000000005</v>
      </c>
      <c r="BJ70" s="262">
        <f t="shared" ref="BJ70:BJ90" si="48">SUM(AT70:AW70)</f>
        <v>0</v>
      </c>
      <c r="BK70" s="263">
        <f t="shared" ref="BK70:BK90" si="49">SUM(AX70:BB70)</f>
        <v>5474.5195139999996</v>
      </c>
      <c r="BL70" s="269">
        <f t="shared" ref="BL70:BL90" si="50">SUM(BC70:BD70)</f>
        <v>0</v>
      </c>
      <c r="BM70" s="264">
        <f t="shared" si="5"/>
        <v>11288.419514000001</v>
      </c>
      <c r="BO70" s="732">
        <f t="shared" si="6"/>
        <v>20.513210092676722</v>
      </c>
    </row>
    <row r="71" spans="2:67" ht="15" customHeight="1" x14ac:dyDescent="0.25">
      <c r="B71" s="156">
        <f t="shared" si="27"/>
        <v>2</v>
      </c>
      <c r="C71" s="180" t="s">
        <v>607</v>
      </c>
      <c r="D71" s="181" t="s">
        <v>608</v>
      </c>
      <c r="E71" s="210" t="s">
        <v>105</v>
      </c>
      <c r="G71" s="488">
        <v>0</v>
      </c>
      <c r="H71" s="490"/>
      <c r="I71" s="494">
        <v>1.3100000000000001E-2</v>
      </c>
      <c r="J71" s="471"/>
      <c r="K71" s="495">
        <v>8.2000000000000007E-3</v>
      </c>
      <c r="L71" s="471"/>
      <c r="M71" s="471"/>
      <c r="N71" s="471"/>
      <c r="O71" s="472"/>
      <c r="P71" s="494">
        <v>0.3926</v>
      </c>
      <c r="Q71" s="471"/>
      <c r="R71" s="472"/>
      <c r="S71" s="490"/>
      <c r="T71" s="494">
        <v>0</v>
      </c>
      <c r="U71" s="491"/>
      <c r="V71" s="492"/>
      <c r="X71" s="183">
        <f>'Q (t)'!G71</f>
        <v>2190</v>
      </c>
      <c r="Y71" s="184">
        <f>'Q (t)'!H71</f>
        <v>0</v>
      </c>
      <c r="Z71" s="178">
        <f>'Q (t)'!I71</f>
        <v>7600</v>
      </c>
      <c r="AA71" s="178">
        <f>'Q (t)'!J71</f>
        <v>0</v>
      </c>
      <c r="AB71" s="179">
        <f>'Q (t)'!K71</f>
        <v>10800</v>
      </c>
      <c r="AC71" s="178">
        <f>'Q (t)'!L71</f>
        <v>0</v>
      </c>
      <c r="AD71" s="178">
        <f>'Q (t)'!M71</f>
        <v>0</v>
      </c>
      <c r="AE71" s="178">
        <f>'Q (t)'!N71</f>
        <v>0</v>
      </c>
      <c r="AF71" s="179">
        <f>'Q (t)'!O71</f>
        <v>0</v>
      </c>
      <c r="AG71" s="178">
        <f>'Q (t)'!P71</f>
        <v>546922</v>
      </c>
      <c r="AH71" s="178">
        <f>'Q (t)'!Q71</f>
        <v>0</v>
      </c>
      <c r="AI71" s="179">
        <f>'Q (t)'!R71</f>
        <v>0</v>
      </c>
      <c r="AJ71" s="184">
        <f>'Q (t)'!S71</f>
        <v>0</v>
      </c>
      <c r="AK71" s="178">
        <f>'Q (t)'!T71</f>
        <v>3293760</v>
      </c>
      <c r="AL71" s="184">
        <f>'Q (t)'!U71</f>
        <v>0</v>
      </c>
      <c r="AM71" s="179">
        <f>'Q (t)'!V71</f>
        <v>0</v>
      </c>
      <c r="AO71" s="183">
        <f t="shared" si="2"/>
        <v>0</v>
      </c>
      <c r="AP71" s="184">
        <f t="shared" si="45"/>
        <v>0</v>
      </c>
      <c r="AQ71" s="178">
        <f t="shared" si="45"/>
        <v>99.56</v>
      </c>
      <c r="AR71" s="178">
        <f t="shared" si="45"/>
        <v>0</v>
      </c>
      <c r="AS71" s="179">
        <f t="shared" si="45"/>
        <v>88.56</v>
      </c>
      <c r="AT71" s="178">
        <f t="shared" si="45"/>
        <v>0</v>
      </c>
      <c r="AU71" s="178">
        <f t="shared" si="45"/>
        <v>0</v>
      </c>
      <c r="AV71" s="178">
        <f t="shared" si="45"/>
        <v>0</v>
      </c>
      <c r="AW71" s="179">
        <f t="shared" si="45"/>
        <v>0</v>
      </c>
      <c r="AX71" s="178">
        <f t="shared" si="42"/>
        <v>214.72157720000001</v>
      </c>
      <c r="AY71" s="178">
        <f t="shared" si="42"/>
        <v>0</v>
      </c>
      <c r="AZ71" s="179">
        <f t="shared" si="42"/>
        <v>0</v>
      </c>
      <c r="BA71" s="184">
        <f t="shared" si="41"/>
        <v>0</v>
      </c>
      <c r="BB71" s="178">
        <f t="shared" si="41"/>
        <v>0</v>
      </c>
      <c r="BC71" s="184">
        <f t="shared" si="41"/>
        <v>0</v>
      </c>
      <c r="BD71" s="178">
        <f t="shared" si="41"/>
        <v>0</v>
      </c>
      <c r="BE71" s="251">
        <f t="shared" si="3"/>
        <v>6</v>
      </c>
      <c r="BF71" s="252">
        <f t="shared" si="40"/>
        <v>18400</v>
      </c>
      <c r="BH71" s="262">
        <f t="shared" si="46"/>
        <v>0</v>
      </c>
      <c r="BI71" s="262">
        <f t="shared" si="47"/>
        <v>188.12</v>
      </c>
      <c r="BJ71" s="262">
        <f t="shared" si="48"/>
        <v>0</v>
      </c>
      <c r="BK71" s="263">
        <f t="shared" si="49"/>
        <v>214.72157720000001</v>
      </c>
      <c r="BL71" s="269">
        <f t="shared" si="50"/>
        <v>0</v>
      </c>
      <c r="BM71" s="264">
        <f t="shared" si="5"/>
        <v>402.84157720000002</v>
      </c>
      <c r="BO71" s="732">
        <f t="shared" si="6"/>
        <v>21.893563978260868</v>
      </c>
    </row>
    <row r="72" spans="2:67" ht="15" customHeight="1" x14ac:dyDescent="0.25">
      <c r="B72" s="156">
        <f t="shared" si="27"/>
        <v>3</v>
      </c>
      <c r="C72" s="180" t="s">
        <v>609</v>
      </c>
      <c r="D72" s="181" t="s">
        <v>610</v>
      </c>
      <c r="E72" s="210" t="s">
        <v>106</v>
      </c>
      <c r="G72" s="488"/>
      <c r="H72" s="490"/>
      <c r="I72" s="494"/>
      <c r="J72" s="471"/>
      <c r="K72" s="495"/>
      <c r="L72" s="471"/>
      <c r="M72" s="471"/>
      <c r="N72" s="471"/>
      <c r="O72" s="472"/>
      <c r="P72" s="471"/>
      <c r="Q72" s="471"/>
      <c r="R72" s="472"/>
      <c r="S72" s="490"/>
      <c r="T72" s="471"/>
      <c r="U72" s="491"/>
      <c r="V72" s="492"/>
      <c r="X72" s="183">
        <f>'Q (t)'!G72</f>
        <v>0</v>
      </c>
      <c r="Y72" s="184">
        <f>'Q (t)'!H72</f>
        <v>0</v>
      </c>
      <c r="Z72" s="178">
        <f>'Q (t)'!I72</f>
        <v>0</v>
      </c>
      <c r="AA72" s="178">
        <f>'Q (t)'!J72</f>
        <v>0</v>
      </c>
      <c r="AB72" s="179">
        <f>'Q (t)'!K72</f>
        <v>0</v>
      </c>
      <c r="AC72" s="178">
        <f>'Q (t)'!L72</f>
        <v>0</v>
      </c>
      <c r="AD72" s="178">
        <f>'Q (t)'!M72</f>
        <v>0</v>
      </c>
      <c r="AE72" s="178">
        <f>'Q (t)'!N72</f>
        <v>0</v>
      </c>
      <c r="AF72" s="179">
        <f>'Q (t)'!O72</f>
        <v>0</v>
      </c>
      <c r="AG72" s="178">
        <f>'Q (t)'!P72</f>
        <v>0</v>
      </c>
      <c r="AH72" s="178">
        <f>'Q (t)'!Q72</f>
        <v>0</v>
      </c>
      <c r="AI72" s="179">
        <f>'Q (t)'!R72</f>
        <v>0</v>
      </c>
      <c r="AJ72" s="184">
        <f>'Q (t)'!S72</f>
        <v>0</v>
      </c>
      <c r="AK72" s="178">
        <f>'Q (t)'!T72</f>
        <v>0</v>
      </c>
      <c r="AL72" s="184">
        <f>'Q (t)'!U72</f>
        <v>0</v>
      </c>
      <c r="AM72" s="179">
        <f>'Q (t)'!V72</f>
        <v>0</v>
      </c>
      <c r="AO72" s="183">
        <f t="shared" si="2"/>
        <v>0</v>
      </c>
      <c r="AP72" s="184">
        <f t="shared" si="45"/>
        <v>0</v>
      </c>
      <c r="AQ72" s="178">
        <f t="shared" si="45"/>
        <v>0</v>
      </c>
      <c r="AR72" s="178">
        <f t="shared" si="45"/>
        <v>0</v>
      </c>
      <c r="AS72" s="179">
        <f t="shared" si="45"/>
        <v>0</v>
      </c>
      <c r="AT72" s="178">
        <f t="shared" si="45"/>
        <v>0</v>
      </c>
      <c r="AU72" s="178">
        <f t="shared" si="45"/>
        <v>0</v>
      </c>
      <c r="AV72" s="178">
        <f t="shared" si="45"/>
        <v>0</v>
      </c>
      <c r="AW72" s="179">
        <f t="shared" si="45"/>
        <v>0</v>
      </c>
      <c r="AX72" s="178">
        <f t="shared" si="42"/>
        <v>0</v>
      </c>
      <c r="AY72" s="178">
        <f t="shared" si="42"/>
        <v>0</v>
      </c>
      <c r="AZ72" s="179">
        <f t="shared" si="42"/>
        <v>0</v>
      </c>
      <c r="BA72" s="184">
        <f t="shared" si="41"/>
        <v>0</v>
      </c>
      <c r="BB72" s="178">
        <f t="shared" si="41"/>
        <v>0</v>
      </c>
      <c r="BC72" s="184">
        <f t="shared" si="41"/>
        <v>0</v>
      </c>
      <c r="BD72" s="178">
        <f t="shared" si="41"/>
        <v>0</v>
      </c>
      <c r="BE72" s="251">
        <f t="shared" si="3"/>
        <v>0</v>
      </c>
      <c r="BF72" s="252">
        <f t="shared" si="40"/>
        <v>0</v>
      </c>
      <c r="BH72" s="262">
        <f t="shared" si="46"/>
        <v>0</v>
      </c>
      <c r="BI72" s="262">
        <f t="shared" si="47"/>
        <v>0</v>
      </c>
      <c r="BJ72" s="262">
        <f t="shared" si="48"/>
        <v>0</v>
      </c>
      <c r="BK72" s="263">
        <f t="shared" si="49"/>
        <v>0</v>
      </c>
      <c r="BL72" s="269">
        <f t="shared" si="50"/>
        <v>0</v>
      </c>
      <c r="BM72" s="264">
        <f t="shared" si="5"/>
        <v>0</v>
      </c>
      <c r="BO72" s="732" t="str">
        <f t="shared" si="6"/>
        <v/>
      </c>
    </row>
    <row r="73" spans="2:67" ht="15" customHeight="1" x14ac:dyDescent="0.25">
      <c r="B73" s="156">
        <f t="shared" si="27"/>
        <v>4</v>
      </c>
      <c r="C73" s="180" t="s">
        <v>107</v>
      </c>
      <c r="D73" s="181" t="s">
        <v>107</v>
      </c>
      <c r="E73" s="210" t="s">
        <v>108</v>
      </c>
      <c r="G73" s="488">
        <v>0</v>
      </c>
      <c r="H73" s="489">
        <v>2.0299999999999999E-2</v>
      </c>
      <c r="I73" s="471"/>
      <c r="J73" s="471"/>
      <c r="K73" s="472"/>
      <c r="L73" s="471"/>
      <c r="M73" s="471"/>
      <c r="N73" s="471"/>
      <c r="O73" s="472"/>
      <c r="P73" s="471"/>
      <c r="Q73" s="494">
        <v>8.6800000000000002E-2</v>
      </c>
      <c r="R73" s="495">
        <v>4.2900000000000001E-2</v>
      </c>
      <c r="S73" s="490"/>
      <c r="T73" s="471"/>
      <c r="U73" s="491"/>
      <c r="V73" s="492"/>
      <c r="X73" s="183">
        <f>'Q (t)'!G73</f>
        <v>4745</v>
      </c>
      <c r="Y73" s="184">
        <f>'Q (t)'!H73</f>
        <v>12500</v>
      </c>
      <c r="Z73" s="178">
        <f>'Q (t)'!I73</f>
        <v>0</v>
      </c>
      <c r="AA73" s="178">
        <f>'Q (t)'!J73</f>
        <v>0</v>
      </c>
      <c r="AB73" s="179">
        <f>'Q (t)'!K73</f>
        <v>0</v>
      </c>
      <c r="AC73" s="178">
        <f>'Q (t)'!L73</f>
        <v>0</v>
      </c>
      <c r="AD73" s="178">
        <f>'Q (t)'!M73</f>
        <v>0</v>
      </c>
      <c r="AE73" s="178">
        <f>'Q (t)'!N73</f>
        <v>0</v>
      </c>
      <c r="AF73" s="179">
        <f>'Q (t)'!O73</f>
        <v>0</v>
      </c>
      <c r="AG73" s="178">
        <f>'Q (t)'!P73</f>
        <v>0</v>
      </c>
      <c r="AH73" s="178">
        <f>'Q (t)'!Q73</f>
        <v>449678</v>
      </c>
      <c r="AI73" s="179">
        <f>'Q (t)'!R73</f>
        <v>1623520</v>
      </c>
      <c r="AJ73" s="184">
        <f>'Q (t)'!S73</f>
        <v>0</v>
      </c>
      <c r="AK73" s="178">
        <f>'Q (t)'!T73</f>
        <v>0</v>
      </c>
      <c r="AL73" s="184">
        <f>'Q (t)'!U73</f>
        <v>0</v>
      </c>
      <c r="AM73" s="179">
        <f>'Q (t)'!V73</f>
        <v>0</v>
      </c>
      <c r="AO73" s="183">
        <f t="shared" si="2"/>
        <v>0</v>
      </c>
      <c r="AP73" s="184">
        <f t="shared" si="45"/>
        <v>253.74999999999997</v>
      </c>
      <c r="AQ73" s="178">
        <f t="shared" si="45"/>
        <v>0</v>
      </c>
      <c r="AR73" s="178">
        <f t="shared" si="45"/>
        <v>0</v>
      </c>
      <c r="AS73" s="179">
        <f t="shared" si="45"/>
        <v>0</v>
      </c>
      <c r="AT73" s="178">
        <f t="shared" si="45"/>
        <v>0</v>
      </c>
      <c r="AU73" s="178">
        <f t="shared" si="45"/>
        <v>0</v>
      </c>
      <c r="AV73" s="178">
        <f t="shared" si="45"/>
        <v>0</v>
      </c>
      <c r="AW73" s="179">
        <f t="shared" si="45"/>
        <v>0</v>
      </c>
      <c r="AX73" s="178">
        <f t="shared" si="42"/>
        <v>0</v>
      </c>
      <c r="AY73" s="178">
        <f t="shared" si="42"/>
        <v>39.032050400000003</v>
      </c>
      <c r="AZ73" s="179">
        <f t="shared" si="42"/>
        <v>69.649007999999995</v>
      </c>
      <c r="BA73" s="184">
        <f t="shared" si="41"/>
        <v>0</v>
      </c>
      <c r="BB73" s="178">
        <f t="shared" si="41"/>
        <v>0</v>
      </c>
      <c r="BC73" s="184">
        <f t="shared" si="41"/>
        <v>0</v>
      </c>
      <c r="BD73" s="178">
        <f t="shared" si="41"/>
        <v>0</v>
      </c>
      <c r="BE73" s="251">
        <f t="shared" si="3"/>
        <v>13</v>
      </c>
      <c r="BF73" s="252">
        <f t="shared" si="40"/>
        <v>12500</v>
      </c>
      <c r="BH73" s="262">
        <f t="shared" si="46"/>
        <v>0</v>
      </c>
      <c r="BI73" s="262">
        <f t="shared" si="47"/>
        <v>253.74999999999997</v>
      </c>
      <c r="BJ73" s="262">
        <f t="shared" si="48"/>
        <v>0</v>
      </c>
      <c r="BK73" s="263">
        <f t="shared" si="49"/>
        <v>108.6810584</v>
      </c>
      <c r="BL73" s="269">
        <f t="shared" si="50"/>
        <v>0</v>
      </c>
      <c r="BM73" s="264">
        <f t="shared" si="5"/>
        <v>362.43105839999998</v>
      </c>
      <c r="BO73" s="732">
        <f t="shared" si="6"/>
        <v>28.994484671999999</v>
      </c>
    </row>
    <row r="74" spans="2:67" ht="15" customHeight="1" x14ac:dyDescent="0.25">
      <c r="B74" s="156">
        <f t="shared" si="27"/>
        <v>5</v>
      </c>
      <c r="C74" s="180" t="s">
        <v>611</v>
      </c>
      <c r="D74" s="181" t="s">
        <v>612</v>
      </c>
      <c r="E74" s="210" t="s">
        <v>109</v>
      </c>
      <c r="G74" s="488">
        <v>0</v>
      </c>
      <c r="H74" s="490"/>
      <c r="I74" s="494">
        <v>1.7600000000000001E-2</v>
      </c>
      <c r="J74" s="471"/>
      <c r="K74" s="495">
        <v>1.0999999999999999E-2</v>
      </c>
      <c r="L74" s="471"/>
      <c r="M74" s="471"/>
      <c r="N74" s="471"/>
      <c r="O74" s="472"/>
      <c r="P74" s="471"/>
      <c r="Q74" s="471"/>
      <c r="R74" s="472"/>
      <c r="S74" s="489">
        <f>S47</f>
        <v>0.10829999999999999</v>
      </c>
      <c r="T74" s="494">
        <v>0</v>
      </c>
      <c r="U74" s="491"/>
      <c r="V74" s="492"/>
      <c r="X74" s="183">
        <f>'Q (t)'!G74</f>
        <v>9125</v>
      </c>
      <c r="Y74" s="184">
        <f>'Q (t)'!H74</f>
        <v>0</v>
      </c>
      <c r="Z74" s="178">
        <f>'Q (t)'!I74</f>
        <v>3700</v>
      </c>
      <c r="AA74" s="178">
        <f>'Q (t)'!J74</f>
        <v>0</v>
      </c>
      <c r="AB74" s="179">
        <f>'Q (t)'!K74</f>
        <v>3700</v>
      </c>
      <c r="AC74" s="178">
        <f>'Q (t)'!L74</f>
        <v>0</v>
      </c>
      <c r="AD74" s="178">
        <f>'Q (t)'!M74</f>
        <v>0</v>
      </c>
      <c r="AE74" s="178">
        <f>'Q (t)'!N74</f>
        <v>0</v>
      </c>
      <c r="AF74" s="179">
        <f>'Q (t)'!O74</f>
        <v>0</v>
      </c>
      <c r="AG74" s="178">
        <f>'Q (t)'!P74</f>
        <v>0</v>
      </c>
      <c r="AH74" s="178">
        <f>'Q (t)'!Q74</f>
        <v>0</v>
      </c>
      <c r="AI74" s="179">
        <f>'Q (t)'!R74</f>
        <v>0</v>
      </c>
      <c r="AJ74" s="184">
        <f>'Q (t)'!S74</f>
        <v>662840</v>
      </c>
      <c r="AK74" s="178">
        <f>'Q (t)'!T74</f>
        <v>1369115</v>
      </c>
      <c r="AL74" s="184">
        <f>'Q (t)'!U74</f>
        <v>0</v>
      </c>
      <c r="AM74" s="179">
        <f>'Q (t)'!V74</f>
        <v>0</v>
      </c>
      <c r="AO74" s="183">
        <f t="shared" si="2"/>
        <v>0</v>
      </c>
      <c r="AP74" s="184">
        <f t="shared" si="45"/>
        <v>0</v>
      </c>
      <c r="AQ74" s="178">
        <f t="shared" si="45"/>
        <v>65.12</v>
      </c>
      <c r="AR74" s="178">
        <f t="shared" si="45"/>
        <v>0</v>
      </c>
      <c r="AS74" s="179">
        <f t="shared" si="45"/>
        <v>40.699999999999996</v>
      </c>
      <c r="AT74" s="178">
        <f t="shared" si="45"/>
        <v>0</v>
      </c>
      <c r="AU74" s="178">
        <f t="shared" si="45"/>
        <v>0</v>
      </c>
      <c r="AV74" s="178">
        <f t="shared" si="45"/>
        <v>0</v>
      </c>
      <c r="AW74" s="179">
        <f t="shared" si="45"/>
        <v>0</v>
      </c>
      <c r="AX74" s="178">
        <f t="shared" si="42"/>
        <v>0</v>
      </c>
      <c r="AY74" s="178">
        <f t="shared" si="42"/>
        <v>0</v>
      </c>
      <c r="AZ74" s="179">
        <f t="shared" si="42"/>
        <v>0</v>
      </c>
      <c r="BA74" s="184">
        <f t="shared" si="41"/>
        <v>71.785572000000002</v>
      </c>
      <c r="BB74" s="178">
        <f t="shared" si="41"/>
        <v>0</v>
      </c>
      <c r="BC74" s="184">
        <f t="shared" si="41"/>
        <v>0</v>
      </c>
      <c r="BD74" s="178">
        <f t="shared" si="41"/>
        <v>0</v>
      </c>
      <c r="BE74" s="251">
        <f t="shared" si="3"/>
        <v>25</v>
      </c>
      <c r="BF74" s="252">
        <f t="shared" si="40"/>
        <v>7400</v>
      </c>
      <c r="BH74" s="262">
        <f t="shared" si="46"/>
        <v>0</v>
      </c>
      <c r="BI74" s="262">
        <f t="shared" si="47"/>
        <v>105.82</v>
      </c>
      <c r="BJ74" s="262">
        <f t="shared" si="48"/>
        <v>0</v>
      </c>
      <c r="BK74" s="263">
        <f t="shared" si="49"/>
        <v>71.785572000000002</v>
      </c>
      <c r="BL74" s="269">
        <f t="shared" si="50"/>
        <v>0</v>
      </c>
      <c r="BM74" s="264">
        <f t="shared" si="5"/>
        <v>177.605572</v>
      </c>
      <c r="BO74" s="732">
        <f t="shared" si="6"/>
        <v>24.000752972972972</v>
      </c>
    </row>
    <row r="75" spans="2:67" ht="15" customHeight="1" x14ac:dyDescent="0.25">
      <c r="B75" s="156">
        <f t="shared" si="27"/>
        <v>6</v>
      </c>
      <c r="C75" s="180" t="s">
        <v>613</v>
      </c>
      <c r="D75" s="181" t="s">
        <v>614</v>
      </c>
      <c r="E75" s="210" t="s">
        <v>110</v>
      </c>
      <c r="G75" s="488">
        <v>0</v>
      </c>
      <c r="H75" s="490"/>
      <c r="I75" s="494">
        <v>0</v>
      </c>
      <c r="J75" s="471"/>
      <c r="K75" s="495">
        <v>0</v>
      </c>
      <c r="L75" s="471"/>
      <c r="M75" s="471"/>
      <c r="N75" s="471"/>
      <c r="O75" s="472"/>
      <c r="P75" s="471"/>
      <c r="Q75" s="471"/>
      <c r="R75" s="472"/>
      <c r="S75" s="489">
        <v>0.10829999999999999</v>
      </c>
      <c r="T75" s="494">
        <v>0</v>
      </c>
      <c r="U75" s="491"/>
      <c r="V75" s="492"/>
      <c r="X75" s="183">
        <f>'Q (t)'!G75</f>
        <v>0</v>
      </c>
      <c r="Y75" s="184">
        <f>'Q (t)'!H75</f>
        <v>0</v>
      </c>
      <c r="Z75" s="178">
        <f>'Q (t)'!I75</f>
        <v>0</v>
      </c>
      <c r="AA75" s="178">
        <f>'Q (t)'!J75</f>
        <v>0</v>
      </c>
      <c r="AB75" s="179">
        <f>'Q (t)'!K75</f>
        <v>0</v>
      </c>
      <c r="AC75" s="178">
        <f>'Q (t)'!L75</f>
        <v>0</v>
      </c>
      <c r="AD75" s="178">
        <f>'Q (t)'!M75</f>
        <v>0</v>
      </c>
      <c r="AE75" s="178">
        <f>'Q (t)'!N75</f>
        <v>0</v>
      </c>
      <c r="AF75" s="179">
        <f>'Q (t)'!O75</f>
        <v>0</v>
      </c>
      <c r="AG75" s="178">
        <f>'Q (t)'!P75</f>
        <v>0</v>
      </c>
      <c r="AH75" s="178">
        <f>'Q (t)'!Q75</f>
        <v>0</v>
      </c>
      <c r="AI75" s="179">
        <f>'Q (t)'!R75</f>
        <v>0</v>
      </c>
      <c r="AJ75" s="184">
        <f>'Q (t)'!S75</f>
        <v>0</v>
      </c>
      <c r="AK75" s="178">
        <f>'Q (t)'!T75</f>
        <v>0</v>
      </c>
      <c r="AL75" s="184">
        <f>'Q (t)'!U75</f>
        <v>0</v>
      </c>
      <c r="AM75" s="179">
        <f>'Q (t)'!V75</f>
        <v>0</v>
      </c>
      <c r="AO75" s="183">
        <f t="shared" si="2"/>
        <v>0</v>
      </c>
      <c r="AP75" s="184">
        <f t="shared" si="45"/>
        <v>0</v>
      </c>
      <c r="AQ75" s="178">
        <f t="shared" si="45"/>
        <v>0</v>
      </c>
      <c r="AR75" s="178">
        <f t="shared" si="45"/>
        <v>0</v>
      </c>
      <c r="AS75" s="179">
        <f t="shared" si="45"/>
        <v>0</v>
      </c>
      <c r="AT75" s="178">
        <f t="shared" si="45"/>
        <v>0</v>
      </c>
      <c r="AU75" s="178">
        <f t="shared" si="45"/>
        <v>0</v>
      </c>
      <c r="AV75" s="178">
        <f t="shared" si="45"/>
        <v>0</v>
      </c>
      <c r="AW75" s="179">
        <f t="shared" si="45"/>
        <v>0</v>
      </c>
      <c r="AX75" s="178">
        <f t="shared" si="42"/>
        <v>0</v>
      </c>
      <c r="AY75" s="178">
        <f t="shared" si="42"/>
        <v>0</v>
      </c>
      <c r="AZ75" s="179">
        <f t="shared" si="42"/>
        <v>0</v>
      </c>
      <c r="BA75" s="184">
        <f t="shared" si="41"/>
        <v>0</v>
      </c>
      <c r="BB75" s="178">
        <f t="shared" si="41"/>
        <v>0</v>
      </c>
      <c r="BC75" s="184">
        <f t="shared" si="41"/>
        <v>0</v>
      </c>
      <c r="BD75" s="178">
        <f t="shared" si="41"/>
        <v>0</v>
      </c>
      <c r="BE75" s="251">
        <f t="shared" si="3"/>
        <v>0</v>
      </c>
      <c r="BF75" s="252">
        <f t="shared" si="40"/>
        <v>0</v>
      </c>
      <c r="BH75" s="262">
        <f t="shared" si="46"/>
        <v>0</v>
      </c>
      <c r="BI75" s="262">
        <f t="shared" si="47"/>
        <v>0</v>
      </c>
      <c r="BJ75" s="262">
        <f t="shared" si="48"/>
        <v>0</v>
      </c>
      <c r="BK75" s="263">
        <f t="shared" si="49"/>
        <v>0</v>
      </c>
      <c r="BL75" s="269">
        <f t="shared" si="50"/>
        <v>0</v>
      </c>
      <c r="BM75" s="264">
        <f t="shared" si="5"/>
        <v>0</v>
      </c>
      <c r="BO75" s="732" t="str">
        <f t="shared" si="6"/>
        <v/>
      </c>
    </row>
    <row r="76" spans="2:67" ht="15" customHeight="1" x14ac:dyDescent="0.25">
      <c r="B76" s="156">
        <f t="shared" si="27"/>
        <v>7</v>
      </c>
      <c r="C76" s="211"/>
      <c r="D76" s="212"/>
      <c r="E76" s="217" t="s">
        <v>111</v>
      </c>
      <c r="G76" s="493"/>
      <c r="H76" s="490"/>
      <c r="I76" s="471"/>
      <c r="J76" s="471"/>
      <c r="K76" s="472"/>
      <c r="L76" s="471"/>
      <c r="M76" s="471"/>
      <c r="N76" s="471"/>
      <c r="O76" s="472"/>
      <c r="P76" s="471"/>
      <c r="Q76" s="471"/>
      <c r="R76" s="472"/>
      <c r="S76" s="490"/>
      <c r="T76" s="471"/>
      <c r="U76" s="491"/>
      <c r="V76" s="492"/>
      <c r="X76" s="183">
        <f>'Q (t)'!G76</f>
        <v>0</v>
      </c>
      <c r="Y76" s="184">
        <f>'Q (t)'!H76</f>
        <v>0</v>
      </c>
      <c r="Z76" s="178">
        <f>'Q (t)'!I76</f>
        <v>0</v>
      </c>
      <c r="AA76" s="178">
        <f>'Q (t)'!J76</f>
        <v>0</v>
      </c>
      <c r="AB76" s="179">
        <f>'Q (t)'!K76</f>
        <v>0</v>
      </c>
      <c r="AC76" s="178">
        <f>'Q (t)'!L76</f>
        <v>0</v>
      </c>
      <c r="AD76" s="178">
        <f>'Q (t)'!M76</f>
        <v>0</v>
      </c>
      <c r="AE76" s="178">
        <f>'Q (t)'!N76</f>
        <v>0</v>
      </c>
      <c r="AF76" s="179">
        <f>'Q (t)'!O76</f>
        <v>0</v>
      </c>
      <c r="AG76" s="178">
        <f>'Q (t)'!P76</f>
        <v>0</v>
      </c>
      <c r="AH76" s="178">
        <f>'Q (t)'!Q76</f>
        <v>0</v>
      </c>
      <c r="AI76" s="179">
        <f>'Q (t)'!R76</f>
        <v>0</v>
      </c>
      <c r="AJ76" s="184">
        <f>'Q (t)'!S76</f>
        <v>0</v>
      </c>
      <c r="AK76" s="178">
        <f>'Q (t)'!T76</f>
        <v>0</v>
      </c>
      <c r="AL76" s="184">
        <f>'Q (t)'!U76</f>
        <v>0</v>
      </c>
      <c r="AM76" s="179">
        <f>'Q (t)'!V76</f>
        <v>0</v>
      </c>
      <c r="AO76" s="183">
        <f t="shared" si="2"/>
        <v>0</v>
      </c>
      <c r="AP76" s="184">
        <f t="shared" si="45"/>
        <v>0</v>
      </c>
      <c r="AQ76" s="178">
        <f t="shared" si="45"/>
        <v>0</v>
      </c>
      <c r="AR76" s="178">
        <f t="shared" si="45"/>
        <v>0</v>
      </c>
      <c r="AS76" s="179">
        <f t="shared" si="45"/>
        <v>0</v>
      </c>
      <c r="AT76" s="178">
        <f t="shared" si="45"/>
        <v>0</v>
      </c>
      <c r="AU76" s="178">
        <f t="shared" si="45"/>
        <v>0</v>
      </c>
      <c r="AV76" s="178">
        <f t="shared" si="45"/>
        <v>0</v>
      </c>
      <c r="AW76" s="179">
        <f t="shared" si="45"/>
        <v>0</v>
      </c>
      <c r="AX76" s="178">
        <f t="shared" si="42"/>
        <v>0</v>
      </c>
      <c r="AY76" s="178">
        <f t="shared" si="42"/>
        <v>0</v>
      </c>
      <c r="AZ76" s="179">
        <f t="shared" si="42"/>
        <v>0</v>
      </c>
      <c r="BA76" s="184">
        <f t="shared" si="41"/>
        <v>0</v>
      </c>
      <c r="BB76" s="178">
        <f t="shared" si="41"/>
        <v>0</v>
      </c>
      <c r="BC76" s="184">
        <f t="shared" si="41"/>
        <v>0</v>
      </c>
      <c r="BD76" s="178">
        <f t="shared" si="41"/>
        <v>0</v>
      </c>
      <c r="BE76" s="251">
        <f t="shared" si="3"/>
        <v>0</v>
      </c>
      <c r="BF76" s="252">
        <f t="shared" si="40"/>
        <v>0</v>
      </c>
      <c r="BH76" s="262">
        <f t="shared" si="46"/>
        <v>0</v>
      </c>
      <c r="BI76" s="262">
        <f t="shared" si="47"/>
        <v>0</v>
      </c>
      <c r="BJ76" s="262">
        <f t="shared" si="48"/>
        <v>0</v>
      </c>
      <c r="BK76" s="263">
        <f t="shared" si="49"/>
        <v>0</v>
      </c>
      <c r="BL76" s="269">
        <f t="shared" si="50"/>
        <v>0</v>
      </c>
      <c r="BM76" s="264">
        <f t="shared" si="5"/>
        <v>0</v>
      </c>
      <c r="BO76" s="732" t="str">
        <f t="shared" si="6"/>
        <v/>
      </c>
    </row>
    <row r="77" spans="2:67" ht="15" customHeight="1" x14ac:dyDescent="0.25">
      <c r="B77" s="156">
        <f t="shared" si="27"/>
        <v>8</v>
      </c>
      <c r="C77" s="180" t="s">
        <v>571</v>
      </c>
      <c r="D77" s="181"/>
      <c r="E77" s="210" t="s">
        <v>104</v>
      </c>
      <c r="G77" s="488">
        <f>'Cust Specific'!S110</f>
        <v>1341.1</v>
      </c>
      <c r="H77" s="490"/>
      <c r="I77" s="494">
        <f>'Cust Specific'!S113</f>
        <v>0</v>
      </c>
      <c r="J77" s="471"/>
      <c r="K77" s="495">
        <f>'Cust Specific'!S114</f>
        <v>0</v>
      </c>
      <c r="L77" s="471"/>
      <c r="M77" s="471"/>
      <c r="N77" s="471"/>
      <c r="O77" s="472"/>
      <c r="P77" s="471"/>
      <c r="Q77" s="471"/>
      <c r="R77" s="472"/>
      <c r="S77" s="489">
        <f>'Cust Specific'!S111</f>
        <v>0</v>
      </c>
      <c r="T77" s="494">
        <f>'Cust Specific'!S112</f>
        <v>0</v>
      </c>
      <c r="U77" s="491"/>
      <c r="V77" s="492"/>
      <c r="X77" s="183">
        <f>'Q (t)'!G77</f>
        <v>365</v>
      </c>
      <c r="Y77" s="184">
        <f>'Q (t)'!H77</f>
        <v>0</v>
      </c>
      <c r="Z77" s="178">
        <f>'Q (t)'!I77</f>
        <v>12700</v>
      </c>
      <c r="AA77" s="178">
        <f>'Q (t)'!J77</f>
        <v>0</v>
      </c>
      <c r="AB77" s="179">
        <f>'Q (t)'!K77</f>
        <v>12500</v>
      </c>
      <c r="AC77" s="178">
        <f>'Q (t)'!L77</f>
        <v>0</v>
      </c>
      <c r="AD77" s="178">
        <f>'Q (t)'!M77</f>
        <v>0</v>
      </c>
      <c r="AE77" s="178">
        <f>'Q (t)'!N77</f>
        <v>0</v>
      </c>
      <c r="AF77" s="179">
        <f>'Q (t)'!O77</f>
        <v>0</v>
      </c>
      <c r="AG77" s="178">
        <f>'Q (t)'!P77</f>
        <v>0</v>
      </c>
      <c r="AH77" s="178">
        <f>'Q (t)'!Q77</f>
        <v>0</v>
      </c>
      <c r="AI77" s="179">
        <f>'Q (t)'!R77</f>
        <v>0</v>
      </c>
      <c r="AJ77" s="184">
        <f>'Q (t)'!S77</f>
        <v>1564390</v>
      </c>
      <c r="AK77" s="178">
        <f>'Q (t)'!T77</f>
        <v>2384180</v>
      </c>
      <c r="AL77" s="184">
        <f>'Q (t)'!U77</f>
        <v>0</v>
      </c>
      <c r="AM77" s="179">
        <f>'Q (t)'!V77</f>
        <v>0</v>
      </c>
      <c r="AO77" s="183">
        <f t="shared" si="2"/>
        <v>489.50149999999996</v>
      </c>
      <c r="AP77" s="184">
        <f t="shared" si="45"/>
        <v>0</v>
      </c>
      <c r="AQ77" s="178">
        <f t="shared" si="45"/>
        <v>0</v>
      </c>
      <c r="AR77" s="178">
        <f t="shared" si="45"/>
        <v>0</v>
      </c>
      <c r="AS77" s="179">
        <f t="shared" si="45"/>
        <v>0</v>
      </c>
      <c r="AT77" s="178">
        <f t="shared" si="45"/>
        <v>0</v>
      </c>
      <c r="AU77" s="178">
        <f t="shared" si="45"/>
        <v>0</v>
      </c>
      <c r="AV77" s="178">
        <f t="shared" si="45"/>
        <v>0</v>
      </c>
      <c r="AW77" s="179">
        <f t="shared" si="45"/>
        <v>0</v>
      </c>
      <c r="AX77" s="178">
        <f t="shared" si="42"/>
        <v>0</v>
      </c>
      <c r="AY77" s="178">
        <f t="shared" si="42"/>
        <v>0</v>
      </c>
      <c r="AZ77" s="179">
        <f t="shared" si="42"/>
        <v>0</v>
      </c>
      <c r="BA77" s="184">
        <f t="shared" si="41"/>
        <v>0</v>
      </c>
      <c r="BB77" s="178">
        <f t="shared" si="41"/>
        <v>0</v>
      </c>
      <c r="BC77" s="184">
        <f t="shared" si="41"/>
        <v>0</v>
      </c>
      <c r="BD77" s="178">
        <f t="shared" si="41"/>
        <v>0</v>
      </c>
      <c r="BE77" s="251">
        <f t="shared" si="3"/>
        <v>1</v>
      </c>
      <c r="BF77" s="252">
        <f t="shared" si="40"/>
        <v>25200</v>
      </c>
      <c r="BH77" s="262">
        <f t="shared" si="46"/>
        <v>489.50149999999996</v>
      </c>
      <c r="BI77" s="262">
        <f t="shared" si="47"/>
        <v>0</v>
      </c>
      <c r="BJ77" s="262">
        <f t="shared" si="48"/>
        <v>0</v>
      </c>
      <c r="BK77" s="263">
        <f t="shared" si="49"/>
        <v>0</v>
      </c>
      <c r="BL77" s="269">
        <f t="shared" si="50"/>
        <v>0</v>
      </c>
      <c r="BM77" s="264">
        <f t="shared" si="5"/>
        <v>489.50149999999996</v>
      </c>
      <c r="BO77" s="732">
        <f t="shared" si="6"/>
        <v>19.424662698412696</v>
      </c>
    </row>
    <row r="78" spans="2:67" ht="15" customHeight="1" x14ac:dyDescent="0.25">
      <c r="B78" s="156">
        <f t="shared" si="27"/>
        <v>9</v>
      </c>
      <c r="C78" s="180" t="s">
        <v>572</v>
      </c>
      <c r="D78" s="181"/>
      <c r="E78" s="210" t="s">
        <v>104</v>
      </c>
      <c r="G78" s="488">
        <f>('Cust Specific'!S118)</f>
        <v>970.45</v>
      </c>
      <c r="H78" s="490"/>
      <c r="I78" s="494">
        <f>'Cust Specific'!S121</f>
        <v>0</v>
      </c>
      <c r="J78" s="471"/>
      <c r="K78" s="495">
        <f>'Cust Specific'!S122</f>
        <v>0</v>
      </c>
      <c r="L78" s="471"/>
      <c r="M78" s="471"/>
      <c r="N78" s="471"/>
      <c r="O78" s="472"/>
      <c r="P78" s="471"/>
      <c r="Q78" s="471"/>
      <c r="R78" s="472"/>
      <c r="S78" s="489">
        <f>'Cust Specific'!S119</f>
        <v>0</v>
      </c>
      <c r="T78" s="494">
        <f>'Cust Specific'!S120</f>
        <v>0</v>
      </c>
      <c r="U78" s="491"/>
      <c r="V78" s="492"/>
      <c r="X78" s="183">
        <f>'Q (t)'!G78</f>
        <v>365</v>
      </c>
      <c r="Y78" s="184">
        <f>'Q (t)'!H78</f>
        <v>0</v>
      </c>
      <c r="Z78" s="178">
        <f>'Q (t)'!I78</f>
        <v>7300</v>
      </c>
      <c r="AA78" s="178">
        <f>'Q (t)'!J78</f>
        <v>0</v>
      </c>
      <c r="AB78" s="179">
        <f>'Q (t)'!K78</f>
        <v>5700</v>
      </c>
      <c r="AC78" s="178">
        <f>'Q (t)'!L78</f>
        <v>0</v>
      </c>
      <c r="AD78" s="178">
        <f>'Q (t)'!M78</f>
        <v>0</v>
      </c>
      <c r="AE78" s="178">
        <f>'Q (t)'!N78</f>
        <v>0</v>
      </c>
      <c r="AF78" s="179">
        <f>'Q (t)'!O78</f>
        <v>0</v>
      </c>
      <c r="AG78" s="178">
        <f>'Q (t)'!P78</f>
        <v>0</v>
      </c>
      <c r="AH78" s="178">
        <f>'Q (t)'!Q78</f>
        <v>0</v>
      </c>
      <c r="AI78" s="179">
        <f>'Q (t)'!R78</f>
        <v>0</v>
      </c>
      <c r="AJ78" s="184">
        <f>'Q (t)'!S78</f>
        <v>1600890</v>
      </c>
      <c r="AK78" s="178">
        <f>'Q (t)'!T78</f>
        <v>1700170</v>
      </c>
      <c r="AL78" s="184">
        <f>'Q (t)'!U78</f>
        <v>0</v>
      </c>
      <c r="AM78" s="179">
        <f>'Q (t)'!V78</f>
        <v>0</v>
      </c>
      <c r="AO78" s="183">
        <f t="shared" ref="AO78:AO126" si="51">G78*X78/1000</f>
        <v>354.21424999999999</v>
      </c>
      <c r="AP78" s="184">
        <f t="shared" ref="AP78:AW94" si="52">H78*Y78</f>
        <v>0</v>
      </c>
      <c r="AQ78" s="178">
        <f t="shared" si="52"/>
        <v>0</v>
      </c>
      <c r="AR78" s="178">
        <f t="shared" si="52"/>
        <v>0</v>
      </c>
      <c r="AS78" s="179">
        <f t="shared" si="52"/>
        <v>0</v>
      </c>
      <c r="AT78" s="178">
        <f t="shared" si="52"/>
        <v>0</v>
      </c>
      <c r="AU78" s="178">
        <f t="shared" si="52"/>
        <v>0</v>
      </c>
      <c r="AV78" s="178">
        <f t="shared" si="52"/>
        <v>0</v>
      </c>
      <c r="AW78" s="179">
        <f t="shared" si="52"/>
        <v>0</v>
      </c>
      <c r="AX78" s="178">
        <f t="shared" si="42"/>
        <v>0</v>
      </c>
      <c r="AY78" s="178">
        <f t="shared" si="42"/>
        <v>0</v>
      </c>
      <c r="AZ78" s="179">
        <f t="shared" si="42"/>
        <v>0</v>
      </c>
      <c r="BA78" s="184">
        <f t="shared" si="41"/>
        <v>0</v>
      </c>
      <c r="BB78" s="178">
        <f t="shared" si="41"/>
        <v>0</v>
      </c>
      <c r="BC78" s="184">
        <f t="shared" si="41"/>
        <v>0</v>
      </c>
      <c r="BD78" s="178">
        <f t="shared" si="41"/>
        <v>0</v>
      </c>
      <c r="BE78" s="251">
        <f t="shared" ref="BE78:BE126" si="53">X78/$BE$7</f>
        <v>1</v>
      </c>
      <c r="BF78" s="252">
        <f t="shared" ref="BF78:BF108" si="54">SUM(Y78:AF78)</f>
        <v>13000</v>
      </c>
      <c r="BH78" s="262">
        <f t="shared" si="46"/>
        <v>354.21424999999999</v>
      </c>
      <c r="BI78" s="262">
        <f t="shared" si="47"/>
        <v>0</v>
      </c>
      <c r="BJ78" s="262">
        <f t="shared" si="48"/>
        <v>0</v>
      </c>
      <c r="BK78" s="263">
        <f t="shared" si="49"/>
        <v>0</v>
      </c>
      <c r="BL78" s="269">
        <f t="shared" si="50"/>
        <v>0</v>
      </c>
      <c r="BM78" s="264">
        <f t="shared" ref="BM78:BM126" si="55">SUM(BH78:BL78)</f>
        <v>354.21424999999999</v>
      </c>
      <c r="BO78" s="732">
        <f t="shared" ref="BO78:BO126" si="56">IF(BF78=0,"",BM78*1000/BF78)</f>
        <v>27.247250000000001</v>
      </c>
    </row>
    <row r="79" spans="2:67" ht="15" customHeight="1" x14ac:dyDescent="0.25">
      <c r="B79" s="156">
        <f t="shared" si="27"/>
        <v>10</v>
      </c>
      <c r="C79" s="180" t="s">
        <v>584</v>
      </c>
      <c r="D79" s="181"/>
      <c r="E79" s="210" t="s">
        <v>104</v>
      </c>
      <c r="G79" s="488">
        <f>('Cust Specific'!S126)</f>
        <v>0</v>
      </c>
      <c r="H79" s="490"/>
      <c r="I79" s="494">
        <f>'Cust Specific'!S129</f>
        <v>1.3100000000000001E-2</v>
      </c>
      <c r="J79" s="471"/>
      <c r="K79" s="495">
        <f>'Cust Specific'!S130</f>
        <v>8.2000000000000007E-3</v>
      </c>
      <c r="L79" s="471"/>
      <c r="M79" s="471"/>
      <c r="N79" s="471"/>
      <c r="O79" s="472"/>
      <c r="P79" s="471"/>
      <c r="Q79" s="471"/>
      <c r="R79" s="472"/>
      <c r="S79" s="489">
        <f>'Cust Specific'!S127</f>
        <v>0.10829999999999999</v>
      </c>
      <c r="T79" s="494">
        <f>'Cust Specific'!S128</f>
        <v>0</v>
      </c>
      <c r="U79" s="491"/>
      <c r="V79" s="492"/>
      <c r="X79" s="183">
        <f>'Q (t)'!G79</f>
        <v>365</v>
      </c>
      <c r="Y79" s="184">
        <f>'Q (t)'!H79</f>
        <v>0</v>
      </c>
      <c r="Z79" s="178">
        <f>'Q (t)'!I79</f>
        <v>5000</v>
      </c>
      <c r="AA79" s="178">
        <f>'Q (t)'!J79</f>
        <v>0</v>
      </c>
      <c r="AB79" s="179">
        <f>'Q (t)'!K79</f>
        <v>16000</v>
      </c>
      <c r="AC79" s="178">
        <f>'Q (t)'!L79</f>
        <v>0</v>
      </c>
      <c r="AD79" s="178">
        <f>'Q (t)'!M79</f>
        <v>0</v>
      </c>
      <c r="AE79" s="178">
        <f>'Q (t)'!N79</f>
        <v>0</v>
      </c>
      <c r="AF79" s="179">
        <f>'Q (t)'!O79</f>
        <v>0</v>
      </c>
      <c r="AG79" s="178">
        <f>'Q (t)'!P79</f>
        <v>0</v>
      </c>
      <c r="AH79" s="178">
        <f>'Q (t)'!Q79</f>
        <v>0</v>
      </c>
      <c r="AI79" s="179">
        <f>'Q (t)'!R79</f>
        <v>0</v>
      </c>
      <c r="AJ79" s="184">
        <f>'Q (t)'!S79</f>
        <v>0</v>
      </c>
      <c r="AK79" s="178">
        <f>'Q (t)'!T79</f>
        <v>2117000</v>
      </c>
      <c r="AL79" s="184">
        <f>'Q (t)'!U79</f>
        <v>0</v>
      </c>
      <c r="AM79" s="179">
        <f>'Q (t)'!V79</f>
        <v>0</v>
      </c>
      <c r="AO79" s="183">
        <f t="shared" si="51"/>
        <v>0</v>
      </c>
      <c r="AP79" s="184">
        <f t="shared" si="52"/>
        <v>0</v>
      </c>
      <c r="AQ79" s="178">
        <f t="shared" si="52"/>
        <v>65.5</v>
      </c>
      <c r="AR79" s="178">
        <f t="shared" si="52"/>
        <v>0</v>
      </c>
      <c r="AS79" s="179">
        <f t="shared" si="52"/>
        <v>131.20000000000002</v>
      </c>
      <c r="AT79" s="178">
        <f t="shared" si="52"/>
        <v>0</v>
      </c>
      <c r="AU79" s="178">
        <f t="shared" si="52"/>
        <v>0</v>
      </c>
      <c r="AV79" s="178">
        <f t="shared" si="52"/>
        <v>0</v>
      </c>
      <c r="AW79" s="179">
        <f t="shared" si="52"/>
        <v>0</v>
      </c>
      <c r="AX79" s="178">
        <f t="shared" si="42"/>
        <v>0</v>
      </c>
      <c r="AY79" s="178">
        <f t="shared" si="42"/>
        <v>0</v>
      </c>
      <c r="AZ79" s="179">
        <f t="shared" si="42"/>
        <v>0</v>
      </c>
      <c r="BA79" s="184">
        <f t="shared" si="41"/>
        <v>0</v>
      </c>
      <c r="BB79" s="178">
        <f t="shared" si="41"/>
        <v>0</v>
      </c>
      <c r="BC79" s="184">
        <f t="shared" si="41"/>
        <v>0</v>
      </c>
      <c r="BD79" s="178">
        <f t="shared" si="41"/>
        <v>0</v>
      </c>
      <c r="BE79" s="251">
        <f t="shared" ref="BE79:BE82" si="57">X79/$BE$7</f>
        <v>1</v>
      </c>
      <c r="BF79" s="252">
        <f t="shared" si="54"/>
        <v>21000</v>
      </c>
      <c r="BH79" s="262">
        <f t="shared" si="46"/>
        <v>0</v>
      </c>
      <c r="BI79" s="262">
        <f t="shared" si="47"/>
        <v>196.70000000000002</v>
      </c>
      <c r="BJ79" s="262">
        <f t="shared" si="48"/>
        <v>0</v>
      </c>
      <c r="BK79" s="263">
        <f t="shared" si="49"/>
        <v>0</v>
      </c>
      <c r="BL79" s="269">
        <f t="shared" si="50"/>
        <v>0</v>
      </c>
      <c r="BM79" s="264">
        <f t="shared" si="55"/>
        <v>196.70000000000002</v>
      </c>
      <c r="BO79" s="732">
        <f t="shared" si="56"/>
        <v>9.3666666666666689</v>
      </c>
    </row>
    <row r="80" spans="2:67" ht="15" customHeight="1" x14ac:dyDescent="0.25">
      <c r="B80" s="156">
        <f t="shared" si="27"/>
        <v>11</v>
      </c>
      <c r="C80" s="180" t="s">
        <v>573</v>
      </c>
      <c r="D80" s="181"/>
      <c r="E80" s="210" t="s">
        <v>104</v>
      </c>
      <c r="G80" s="488">
        <f>('Cust Specific'!S134)</f>
        <v>1157.05</v>
      </c>
      <c r="H80" s="490"/>
      <c r="I80" s="494">
        <f>'Cust Specific'!S137</f>
        <v>0</v>
      </c>
      <c r="J80" s="471"/>
      <c r="K80" s="495">
        <f>'Cust Specific'!S138</f>
        <v>0</v>
      </c>
      <c r="L80" s="471"/>
      <c r="M80" s="471"/>
      <c r="N80" s="471"/>
      <c r="O80" s="472"/>
      <c r="P80" s="471"/>
      <c r="Q80" s="471"/>
      <c r="R80" s="472"/>
      <c r="S80" s="489">
        <f>'Cust Specific'!S135</f>
        <v>0</v>
      </c>
      <c r="T80" s="494">
        <f>'Cust Specific'!S136</f>
        <v>0</v>
      </c>
      <c r="U80" s="491"/>
      <c r="V80" s="492"/>
      <c r="X80" s="183">
        <f>'Q (t)'!G80</f>
        <v>365</v>
      </c>
      <c r="Y80" s="184">
        <f>'Q (t)'!H80</f>
        <v>0</v>
      </c>
      <c r="Z80" s="178">
        <f>'Q (t)'!I80</f>
        <v>10700</v>
      </c>
      <c r="AA80" s="178">
        <f>'Q (t)'!J80</f>
        <v>0</v>
      </c>
      <c r="AB80" s="179">
        <f>'Q (t)'!K80</f>
        <v>8500</v>
      </c>
      <c r="AC80" s="178">
        <f>'Q (t)'!L80</f>
        <v>0</v>
      </c>
      <c r="AD80" s="178">
        <f>'Q (t)'!M80</f>
        <v>0</v>
      </c>
      <c r="AE80" s="178">
        <f>'Q (t)'!N80</f>
        <v>0</v>
      </c>
      <c r="AF80" s="179">
        <f>'Q (t)'!O80</f>
        <v>0</v>
      </c>
      <c r="AG80" s="178">
        <f>'Q (t)'!P80</f>
        <v>0</v>
      </c>
      <c r="AH80" s="178">
        <f>'Q (t)'!Q80</f>
        <v>0</v>
      </c>
      <c r="AI80" s="179">
        <f>'Q (t)'!R80</f>
        <v>0</v>
      </c>
      <c r="AJ80" s="184">
        <f>'Q (t)'!S80</f>
        <v>1764410</v>
      </c>
      <c r="AK80" s="178">
        <f>'Q (t)'!T80</f>
        <v>2027210</v>
      </c>
      <c r="AL80" s="184">
        <f>'Q (t)'!U80</f>
        <v>0</v>
      </c>
      <c r="AM80" s="179">
        <f>'Q (t)'!V80</f>
        <v>0</v>
      </c>
      <c r="AO80" s="183">
        <f t="shared" si="51"/>
        <v>422.32324999999997</v>
      </c>
      <c r="AP80" s="184">
        <f t="shared" si="52"/>
        <v>0</v>
      </c>
      <c r="AQ80" s="178">
        <f t="shared" si="52"/>
        <v>0</v>
      </c>
      <c r="AR80" s="178">
        <f t="shared" si="52"/>
        <v>0</v>
      </c>
      <c r="AS80" s="179">
        <f t="shared" si="52"/>
        <v>0</v>
      </c>
      <c r="AT80" s="178">
        <f t="shared" si="52"/>
        <v>0</v>
      </c>
      <c r="AU80" s="178">
        <f t="shared" si="52"/>
        <v>0</v>
      </c>
      <c r="AV80" s="178">
        <f t="shared" si="52"/>
        <v>0</v>
      </c>
      <c r="AW80" s="179">
        <f t="shared" si="52"/>
        <v>0</v>
      </c>
      <c r="AX80" s="178">
        <f t="shared" si="42"/>
        <v>0</v>
      </c>
      <c r="AY80" s="178">
        <f t="shared" si="42"/>
        <v>0</v>
      </c>
      <c r="AZ80" s="179">
        <f t="shared" si="42"/>
        <v>0</v>
      </c>
      <c r="BA80" s="184">
        <f t="shared" si="41"/>
        <v>0</v>
      </c>
      <c r="BB80" s="178">
        <f t="shared" si="41"/>
        <v>0</v>
      </c>
      <c r="BC80" s="184">
        <f t="shared" si="41"/>
        <v>0</v>
      </c>
      <c r="BD80" s="178">
        <f t="shared" si="41"/>
        <v>0</v>
      </c>
      <c r="BE80" s="251">
        <f t="shared" si="57"/>
        <v>1</v>
      </c>
      <c r="BF80" s="252">
        <f t="shared" si="54"/>
        <v>19200</v>
      </c>
      <c r="BH80" s="262">
        <f t="shared" si="46"/>
        <v>422.32324999999997</v>
      </c>
      <c r="BI80" s="262">
        <f t="shared" si="47"/>
        <v>0</v>
      </c>
      <c r="BJ80" s="262">
        <f t="shared" si="48"/>
        <v>0</v>
      </c>
      <c r="BK80" s="263">
        <f t="shared" si="49"/>
        <v>0</v>
      </c>
      <c r="BL80" s="269">
        <f t="shared" si="50"/>
        <v>0</v>
      </c>
      <c r="BM80" s="264">
        <f t="shared" si="55"/>
        <v>422.32324999999997</v>
      </c>
      <c r="BO80" s="732">
        <f t="shared" si="56"/>
        <v>21.996002604166666</v>
      </c>
    </row>
    <row r="81" spans="2:67" ht="15" customHeight="1" x14ac:dyDescent="0.25">
      <c r="B81" s="156">
        <f t="shared" si="27"/>
        <v>12</v>
      </c>
      <c r="C81" s="180" t="s">
        <v>574</v>
      </c>
      <c r="D81" s="181"/>
      <c r="E81" s="210" t="s">
        <v>104</v>
      </c>
      <c r="G81" s="488">
        <f>('Cust Specific'!S142)</f>
        <v>856.86</v>
      </c>
      <c r="H81" s="490"/>
      <c r="I81" s="494">
        <f>'Cust Specific'!S145</f>
        <v>0</v>
      </c>
      <c r="J81" s="471"/>
      <c r="K81" s="495">
        <f>'Cust Specific'!S146</f>
        <v>0</v>
      </c>
      <c r="L81" s="471"/>
      <c r="M81" s="471"/>
      <c r="N81" s="471"/>
      <c r="O81" s="472"/>
      <c r="P81" s="471"/>
      <c r="Q81" s="471"/>
      <c r="R81" s="472"/>
      <c r="S81" s="489">
        <f>'Cust Specific'!S143</f>
        <v>0</v>
      </c>
      <c r="T81" s="494">
        <f>'Cust Specific'!S144</f>
        <v>0</v>
      </c>
      <c r="U81" s="491"/>
      <c r="V81" s="492"/>
      <c r="X81" s="183">
        <f>'Q (t)'!G81</f>
        <v>365</v>
      </c>
      <c r="Y81" s="184">
        <f>'Q (t)'!H81</f>
        <v>0</v>
      </c>
      <c r="Z81" s="178">
        <f>'Q (t)'!I81</f>
        <v>6600</v>
      </c>
      <c r="AA81" s="178">
        <f>'Q (t)'!J81</f>
        <v>0</v>
      </c>
      <c r="AB81" s="179">
        <f>'Q (t)'!K81</f>
        <v>4500</v>
      </c>
      <c r="AC81" s="178">
        <f>'Q (t)'!L81</f>
        <v>0</v>
      </c>
      <c r="AD81" s="178">
        <f>'Q (t)'!M81</f>
        <v>0</v>
      </c>
      <c r="AE81" s="178">
        <f>'Q (t)'!N81</f>
        <v>0</v>
      </c>
      <c r="AF81" s="179">
        <f>'Q (t)'!O81</f>
        <v>0</v>
      </c>
      <c r="AG81" s="178">
        <f>'Q (t)'!P81</f>
        <v>0</v>
      </c>
      <c r="AH81" s="178">
        <f>'Q (t)'!Q81</f>
        <v>0</v>
      </c>
      <c r="AI81" s="179">
        <f>'Q (t)'!R81</f>
        <v>0</v>
      </c>
      <c r="AJ81" s="184">
        <f>'Q (t)'!S81</f>
        <v>1330425</v>
      </c>
      <c r="AK81" s="178">
        <f>'Q (t)'!T81</f>
        <v>1372400</v>
      </c>
      <c r="AL81" s="184">
        <f>'Q (t)'!U81</f>
        <v>0</v>
      </c>
      <c r="AM81" s="179">
        <f>'Q (t)'!V81</f>
        <v>0</v>
      </c>
      <c r="AO81" s="183">
        <f t="shared" si="51"/>
        <v>312.75390000000004</v>
      </c>
      <c r="AP81" s="184">
        <f t="shared" si="52"/>
        <v>0</v>
      </c>
      <c r="AQ81" s="178">
        <f t="shared" si="52"/>
        <v>0</v>
      </c>
      <c r="AR81" s="178">
        <f t="shared" si="52"/>
        <v>0</v>
      </c>
      <c r="AS81" s="179">
        <f t="shared" si="52"/>
        <v>0</v>
      </c>
      <c r="AT81" s="178">
        <f t="shared" si="52"/>
        <v>0</v>
      </c>
      <c r="AU81" s="178">
        <f t="shared" si="52"/>
        <v>0</v>
      </c>
      <c r="AV81" s="178">
        <f t="shared" si="52"/>
        <v>0</v>
      </c>
      <c r="AW81" s="179">
        <f t="shared" si="52"/>
        <v>0</v>
      </c>
      <c r="AX81" s="178">
        <f t="shared" si="42"/>
        <v>0</v>
      </c>
      <c r="AY81" s="178">
        <f t="shared" si="42"/>
        <v>0</v>
      </c>
      <c r="AZ81" s="179">
        <f t="shared" si="42"/>
        <v>0</v>
      </c>
      <c r="BA81" s="184">
        <f t="shared" si="41"/>
        <v>0</v>
      </c>
      <c r="BB81" s="178">
        <f t="shared" si="41"/>
        <v>0</v>
      </c>
      <c r="BC81" s="184">
        <f t="shared" si="41"/>
        <v>0</v>
      </c>
      <c r="BD81" s="178">
        <f t="shared" si="41"/>
        <v>0</v>
      </c>
      <c r="BE81" s="251">
        <f t="shared" si="57"/>
        <v>1</v>
      </c>
      <c r="BF81" s="252">
        <f t="shared" si="54"/>
        <v>11100</v>
      </c>
      <c r="BH81" s="262">
        <f t="shared" si="46"/>
        <v>312.75390000000004</v>
      </c>
      <c r="BI81" s="262">
        <f t="shared" si="47"/>
        <v>0</v>
      </c>
      <c r="BJ81" s="262">
        <f t="shared" si="48"/>
        <v>0</v>
      </c>
      <c r="BK81" s="263">
        <f t="shared" si="49"/>
        <v>0</v>
      </c>
      <c r="BL81" s="269">
        <f t="shared" si="50"/>
        <v>0</v>
      </c>
      <c r="BM81" s="264">
        <f t="shared" si="55"/>
        <v>312.75390000000004</v>
      </c>
      <c r="BO81" s="732">
        <f t="shared" si="56"/>
        <v>28.176027027027029</v>
      </c>
    </row>
    <row r="82" spans="2:67" ht="15" customHeight="1" x14ac:dyDescent="0.25">
      <c r="B82" s="156">
        <f t="shared" si="27"/>
        <v>13</v>
      </c>
      <c r="C82" s="180" t="s">
        <v>575</v>
      </c>
      <c r="D82" s="181"/>
      <c r="E82" s="210" t="s">
        <v>104</v>
      </c>
      <c r="G82" s="488">
        <f>('Cust Specific'!S150)</f>
        <v>788.44</v>
      </c>
      <c r="H82" s="490"/>
      <c r="I82" s="494">
        <f>'Cust Specific'!S153</f>
        <v>0</v>
      </c>
      <c r="J82" s="471"/>
      <c r="K82" s="495">
        <f>'Cust Specific'!S154</f>
        <v>0</v>
      </c>
      <c r="L82" s="471"/>
      <c r="M82" s="471"/>
      <c r="N82" s="471"/>
      <c r="O82" s="472"/>
      <c r="P82" s="471"/>
      <c r="Q82" s="471"/>
      <c r="R82" s="472"/>
      <c r="S82" s="489">
        <f>'Cust Specific'!S151</f>
        <v>0</v>
      </c>
      <c r="T82" s="494">
        <f>'Cust Specific'!S152</f>
        <v>0</v>
      </c>
      <c r="U82" s="491"/>
      <c r="V82" s="492"/>
      <c r="X82" s="183">
        <f>'Q (t)'!G82</f>
        <v>365</v>
      </c>
      <c r="Y82" s="184">
        <f>'Q (t)'!H82</f>
        <v>0</v>
      </c>
      <c r="Z82" s="178">
        <f>'Q (t)'!I82</f>
        <v>6300</v>
      </c>
      <c r="AA82" s="178">
        <f>'Q (t)'!J82</f>
        <v>0</v>
      </c>
      <c r="AB82" s="179">
        <f>'Q (t)'!K82</f>
        <v>5100</v>
      </c>
      <c r="AC82" s="178">
        <f>'Q (t)'!L82</f>
        <v>0</v>
      </c>
      <c r="AD82" s="178">
        <f>'Q (t)'!M82</f>
        <v>0</v>
      </c>
      <c r="AE82" s="178">
        <f>'Q (t)'!N82</f>
        <v>0</v>
      </c>
      <c r="AF82" s="179">
        <f>'Q (t)'!O82</f>
        <v>0</v>
      </c>
      <c r="AG82" s="178">
        <f>'Q (t)'!P82</f>
        <v>0</v>
      </c>
      <c r="AH82" s="178">
        <f>'Q (t)'!Q82</f>
        <v>0</v>
      </c>
      <c r="AI82" s="179">
        <f>'Q (t)'!R82</f>
        <v>0</v>
      </c>
      <c r="AJ82" s="184">
        <f>'Q (t)'!S82</f>
        <v>1231875</v>
      </c>
      <c r="AK82" s="178">
        <f>'Q (t)'!T82</f>
        <v>1259250</v>
      </c>
      <c r="AL82" s="184">
        <f>'Q (t)'!U82</f>
        <v>0</v>
      </c>
      <c r="AM82" s="179">
        <f>'Q (t)'!V82</f>
        <v>0</v>
      </c>
      <c r="AO82" s="183">
        <f t="shared" si="51"/>
        <v>287.78060000000005</v>
      </c>
      <c r="AP82" s="184">
        <f t="shared" si="52"/>
        <v>0</v>
      </c>
      <c r="AQ82" s="178">
        <f t="shared" si="52"/>
        <v>0</v>
      </c>
      <c r="AR82" s="178">
        <f t="shared" si="52"/>
        <v>0</v>
      </c>
      <c r="AS82" s="179">
        <f t="shared" si="52"/>
        <v>0</v>
      </c>
      <c r="AT82" s="178">
        <f t="shared" si="52"/>
        <v>0</v>
      </c>
      <c r="AU82" s="178">
        <f t="shared" si="52"/>
        <v>0</v>
      </c>
      <c r="AV82" s="178">
        <f t="shared" si="52"/>
        <v>0</v>
      </c>
      <c r="AW82" s="179">
        <f t="shared" si="52"/>
        <v>0</v>
      </c>
      <c r="AX82" s="178">
        <f t="shared" si="42"/>
        <v>0</v>
      </c>
      <c r="AY82" s="178">
        <f t="shared" si="42"/>
        <v>0</v>
      </c>
      <c r="AZ82" s="179">
        <f t="shared" si="42"/>
        <v>0</v>
      </c>
      <c r="BA82" s="184">
        <f t="shared" si="41"/>
        <v>0</v>
      </c>
      <c r="BB82" s="178">
        <f t="shared" si="41"/>
        <v>0</v>
      </c>
      <c r="BC82" s="184">
        <f t="shared" si="41"/>
        <v>0</v>
      </c>
      <c r="BD82" s="178">
        <f t="shared" si="41"/>
        <v>0</v>
      </c>
      <c r="BE82" s="251">
        <f t="shared" si="57"/>
        <v>1</v>
      </c>
      <c r="BF82" s="252">
        <f t="shared" si="54"/>
        <v>11400</v>
      </c>
      <c r="BH82" s="262">
        <f t="shared" si="46"/>
        <v>287.78060000000005</v>
      </c>
      <c r="BI82" s="262">
        <f t="shared" si="47"/>
        <v>0</v>
      </c>
      <c r="BJ82" s="262">
        <f t="shared" si="48"/>
        <v>0</v>
      </c>
      <c r="BK82" s="263">
        <f t="shared" si="49"/>
        <v>0</v>
      </c>
      <c r="BL82" s="269">
        <f t="shared" si="50"/>
        <v>0</v>
      </c>
      <c r="BM82" s="264">
        <f t="shared" si="55"/>
        <v>287.78060000000005</v>
      </c>
      <c r="BO82" s="732">
        <f t="shared" si="56"/>
        <v>25.243912280701757</v>
      </c>
    </row>
    <row r="83" spans="2:67" ht="15" customHeight="1" x14ac:dyDescent="0.25">
      <c r="B83" s="156">
        <f t="shared" si="27"/>
        <v>14</v>
      </c>
      <c r="C83" s="180" t="s">
        <v>576</v>
      </c>
      <c r="D83" s="181"/>
      <c r="E83" s="210" t="s">
        <v>104</v>
      </c>
      <c r="G83" s="488">
        <f>('Cust Specific'!S158)</f>
        <v>900.7</v>
      </c>
      <c r="H83" s="490"/>
      <c r="I83" s="494">
        <f>'Cust Specific'!S161</f>
        <v>0</v>
      </c>
      <c r="J83" s="471"/>
      <c r="K83" s="495">
        <f>'Cust Specific'!S162</f>
        <v>0</v>
      </c>
      <c r="L83" s="471"/>
      <c r="M83" s="471"/>
      <c r="N83" s="471"/>
      <c r="O83" s="472"/>
      <c r="P83" s="471"/>
      <c r="Q83" s="471"/>
      <c r="R83" s="472"/>
      <c r="S83" s="489">
        <f>'Cust Specific'!S159</f>
        <v>0</v>
      </c>
      <c r="T83" s="494">
        <f>'Cust Specific'!S160</f>
        <v>0</v>
      </c>
      <c r="U83" s="491"/>
      <c r="V83" s="492"/>
      <c r="X83" s="183">
        <f>'Q (t)'!G83</f>
        <v>365</v>
      </c>
      <c r="Y83" s="184">
        <f>'Q (t)'!H83</f>
        <v>0</v>
      </c>
      <c r="Z83" s="178">
        <f>'Q (t)'!I83</f>
        <v>11600</v>
      </c>
      <c r="AA83" s="178">
        <f>'Q (t)'!J83</f>
        <v>0</v>
      </c>
      <c r="AB83" s="179">
        <f>'Q (t)'!K83</f>
        <v>11600</v>
      </c>
      <c r="AC83" s="178">
        <f>'Q (t)'!L83</f>
        <v>0</v>
      </c>
      <c r="AD83" s="178">
        <f>'Q (t)'!M83</f>
        <v>0</v>
      </c>
      <c r="AE83" s="178">
        <f>'Q (t)'!N83</f>
        <v>0</v>
      </c>
      <c r="AF83" s="179">
        <f>'Q (t)'!O83</f>
        <v>0</v>
      </c>
      <c r="AG83" s="178">
        <f>'Q (t)'!P83</f>
        <v>0</v>
      </c>
      <c r="AH83" s="178">
        <f>'Q (t)'!Q83</f>
        <v>0</v>
      </c>
      <c r="AI83" s="179">
        <f>'Q (t)'!R83</f>
        <v>0</v>
      </c>
      <c r="AJ83" s="184">
        <f>'Q (t)'!S83</f>
        <v>1614030</v>
      </c>
      <c r="AK83" s="178">
        <f>'Q (t)'!T83</f>
        <v>1665860</v>
      </c>
      <c r="AL83" s="184">
        <f>'Q (t)'!U83</f>
        <v>0</v>
      </c>
      <c r="AM83" s="179">
        <f>'Q (t)'!V83</f>
        <v>0</v>
      </c>
      <c r="AO83" s="183">
        <f t="shared" si="51"/>
        <v>328.75549999999998</v>
      </c>
      <c r="AP83" s="184">
        <f t="shared" si="52"/>
        <v>0</v>
      </c>
      <c r="AQ83" s="178">
        <f t="shared" si="52"/>
        <v>0</v>
      </c>
      <c r="AR83" s="178">
        <f t="shared" si="52"/>
        <v>0</v>
      </c>
      <c r="AS83" s="179">
        <f t="shared" si="52"/>
        <v>0</v>
      </c>
      <c r="AT83" s="178">
        <f t="shared" si="52"/>
        <v>0</v>
      </c>
      <c r="AU83" s="178">
        <f t="shared" si="52"/>
        <v>0</v>
      </c>
      <c r="AV83" s="178">
        <f t="shared" si="52"/>
        <v>0</v>
      </c>
      <c r="AW83" s="179">
        <f t="shared" si="52"/>
        <v>0</v>
      </c>
      <c r="AX83" s="178">
        <f t="shared" si="42"/>
        <v>0</v>
      </c>
      <c r="AY83" s="178">
        <f t="shared" si="42"/>
        <v>0</v>
      </c>
      <c r="AZ83" s="179">
        <f t="shared" si="42"/>
        <v>0</v>
      </c>
      <c r="BA83" s="184">
        <f t="shared" si="41"/>
        <v>0</v>
      </c>
      <c r="BB83" s="178">
        <f t="shared" si="41"/>
        <v>0</v>
      </c>
      <c r="BC83" s="184">
        <f t="shared" si="41"/>
        <v>0</v>
      </c>
      <c r="BD83" s="178">
        <f t="shared" si="41"/>
        <v>0</v>
      </c>
      <c r="BE83" s="251">
        <f t="shared" si="53"/>
        <v>1</v>
      </c>
      <c r="BF83" s="252">
        <f t="shared" si="54"/>
        <v>23200</v>
      </c>
      <c r="BH83" s="262">
        <f t="shared" si="46"/>
        <v>328.75549999999998</v>
      </c>
      <c r="BI83" s="262">
        <f t="shared" si="47"/>
        <v>0</v>
      </c>
      <c r="BJ83" s="262">
        <f t="shared" si="48"/>
        <v>0</v>
      </c>
      <c r="BK83" s="263">
        <f t="shared" si="49"/>
        <v>0</v>
      </c>
      <c r="BL83" s="269">
        <f t="shared" si="50"/>
        <v>0</v>
      </c>
      <c r="BM83" s="264">
        <f t="shared" si="55"/>
        <v>328.75549999999998</v>
      </c>
      <c r="BO83" s="732">
        <f t="shared" si="56"/>
        <v>14.170495689655173</v>
      </c>
    </row>
    <row r="84" spans="2:67" ht="15" customHeight="1" x14ac:dyDescent="0.25">
      <c r="B84" s="156">
        <f t="shared" si="27"/>
        <v>15</v>
      </c>
      <c r="C84" s="180" t="s">
        <v>659</v>
      </c>
      <c r="D84" s="181"/>
      <c r="E84" s="210" t="s">
        <v>104</v>
      </c>
      <c r="G84" s="488">
        <f>'Cust Specific'!S166</f>
        <v>0</v>
      </c>
      <c r="H84" s="490"/>
      <c r="I84" s="494">
        <f>'Cust Specific'!S169</f>
        <v>1.3100000000000001E-2</v>
      </c>
      <c r="J84" s="471"/>
      <c r="K84" s="495">
        <f>'Cust Specific'!S170</f>
        <v>8.2000000000000007E-3</v>
      </c>
      <c r="L84" s="471"/>
      <c r="M84" s="471"/>
      <c r="N84" s="471"/>
      <c r="O84" s="472"/>
      <c r="P84" s="471"/>
      <c r="Q84" s="471"/>
      <c r="R84" s="472"/>
      <c r="S84" s="489">
        <f>'Cust Specific'!S167</f>
        <v>0.10829999999999999</v>
      </c>
      <c r="T84" s="494">
        <f>'Cust Specific'!S168</f>
        <v>0</v>
      </c>
      <c r="U84" s="491"/>
      <c r="V84" s="492"/>
      <c r="X84" s="183">
        <f>'Q (t)'!G84</f>
        <v>365</v>
      </c>
      <c r="Y84" s="184">
        <f>'Q (t)'!H84</f>
        <v>0</v>
      </c>
      <c r="Z84" s="178">
        <f>'Q (t)'!I84</f>
        <v>10400</v>
      </c>
      <c r="AA84" s="178">
        <f>'Q (t)'!J84</f>
        <v>0</v>
      </c>
      <c r="AB84" s="179">
        <f>'Q (t)'!K84</f>
        <v>9600</v>
      </c>
      <c r="AC84" s="178">
        <f>'Q (t)'!L84</f>
        <v>0</v>
      </c>
      <c r="AD84" s="178">
        <f>'Q (t)'!M84</f>
        <v>0</v>
      </c>
      <c r="AE84" s="178">
        <f>'Q (t)'!N84</f>
        <v>0</v>
      </c>
      <c r="AF84" s="179">
        <f>'Q (t)'!O84</f>
        <v>0</v>
      </c>
      <c r="AG84" s="178">
        <f>'Q (t)'!P84</f>
        <v>0</v>
      </c>
      <c r="AH84" s="178">
        <f>'Q (t)'!Q84</f>
        <v>0</v>
      </c>
      <c r="AI84" s="179">
        <f>'Q (t)'!R84</f>
        <v>0</v>
      </c>
      <c r="AJ84" s="184">
        <f>'Q (t)'!S84</f>
        <v>1488105</v>
      </c>
      <c r="AK84" s="178">
        <f>'Q (t)'!T84</f>
        <v>1766235</v>
      </c>
      <c r="AL84" s="184">
        <f>'Q (t)'!U84</f>
        <v>0</v>
      </c>
      <c r="AM84" s="179">
        <f>'Q (t)'!V84</f>
        <v>0</v>
      </c>
      <c r="AO84" s="183">
        <f t="shared" ref="AO84" si="58">G84*X84/1000</f>
        <v>0</v>
      </c>
      <c r="AP84" s="184">
        <f t="shared" ref="AP84" si="59">H84*Y84</f>
        <v>0</v>
      </c>
      <c r="AQ84" s="178">
        <f t="shared" ref="AQ84" si="60">I84*Z84</f>
        <v>136.24</v>
      </c>
      <c r="AR84" s="178">
        <f t="shared" ref="AR84" si="61">J84*AA84</f>
        <v>0</v>
      </c>
      <c r="AS84" s="179">
        <f t="shared" ref="AS84" si="62">K84*AB84</f>
        <v>78.720000000000013</v>
      </c>
      <c r="AT84" s="178">
        <f t="shared" ref="AT84" si="63">L84*AC84</f>
        <v>0</v>
      </c>
      <c r="AU84" s="178">
        <f t="shared" ref="AU84" si="64">M84*AD84</f>
        <v>0</v>
      </c>
      <c r="AV84" s="178">
        <f t="shared" ref="AV84" si="65">N84*AE84</f>
        <v>0</v>
      </c>
      <c r="AW84" s="179">
        <f t="shared" ref="AW84" si="66">O84*AF84</f>
        <v>0</v>
      </c>
      <c r="AX84" s="178">
        <f t="shared" ref="AX84" si="67">P84*AG84/1000</f>
        <v>0</v>
      </c>
      <c r="AY84" s="178">
        <f t="shared" ref="AY84" si="68">Q84*AH84/1000</f>
        <v>0</v>
      </c>
      <c r="AZ84" s="179">
        <f t="shared" ref="AZ84" si="69">R84*AI84/1000</f>
        <v>0</v>
      </c>
      <c r="BA84" s="184">
        <f t="shared" ref="BA84" si="70">S84*AJ84/1000</f>
        <v>161.16177150000001</v>
      </c>
      <c r="BB84" s="178">
        <f t="shared" ref="BB84" si="71">T84*AK84/1000</f>
        <v>0</v>
      </c>
      <c r="BC84" s="184">
        <f t="shared" ref="BC84" si="72">U84*AL84/1000</f>
        <v>0</v>
      </c>
      <c r="BD84" s="178">
        <f t="shared" ref="BD84" si="73">V84*AM84/1000</f>
        <v>0</v>
      </c>
      <c r="BE84" s="251">
        <f t="shared" ref="BE84" si="74">X84/$BE$7</f>
        <v>1</v>
      </c>
      <c r="BF84" s="252">
        <f t="shared" ref="BF84" si="75">SUM(Y84:AF84)</f>
        <v>20000</v>
      </c>
      <c r="BH84" s="262">
        <f t="shared" ref="BH84" si="76">SUM(AO84)</f>
        <v>0</v>
      </c>
      <c r="BI84" s="262">
        <f t="shared" ref="BI84" si="77">SUM(AP84:AS84)</f>
        <v>214.96000000000004</v>
      </c>
      <c r="BJ84" s="262">
        <f t="shared" ref="BJ84" si="78">SUM(AT84:AW84)</f>
        <v>0</v>
      </c>
      <c r="BK84" s="263">
        <f t="shared" ref="BK84" si="79">SUM(AX84:BB84)</f>
        <v>161.16177150000001</v>
      </c>
      <c r="BL84" s="269">
        <f t="shared" ref="BL84" si="80">SUM(BC84:BD84)</f>
        <v>0</v>
      </c>
      <c r="BM84" s="264">
        <f t="shared" ref="BM84" si="81">SUM(BH84:BL84)</f>
        <v>376.12177150000002</v>
      </c>
      <c r="BO84" s="732">
        <f t="shared" ref="BO84" si="82">IF(BF84=0,"",BM84*1000/BF84)</f>
        <v>18.806088575</v>
      </c>
    </row>
    <row r="85" spans="2:67" ht="15" customHeight="1" x14ac:dyDescent="0.25">
      <c r="B85" s="156">
        <f t="shared" si="27"/>
        <v>16</v>
      </c>
      <c r="C85" s="180" t="s">
        <v>577</v>
      </c>
      <c r="D85" s="181"/>
      <c r="E85" s="210" t="s">
        <v>104</v>
      </c>
      <c r="G85" s="488">
        <f>('Cust Specific'!S174)</f>
        <v>593.62</v>
      </c>
      <c r="H85" s="490"/>
      <c r="I85" s="494">
        <f>'Cust Specific'!S177</f>
        <v>0</v>
      </c>
      <c r="J85" s="471"/>
      <c r="K85" s="495">
        <f>'Cust Specific'!S178</f>
        <v>0</v>
      </c>
      <c r="L85" s="471"/>
      <c r="M85" s="471"/>
      <c r="N85" s="471"/>
      <c r="O85" s="472"/>
      <c r="P85" s="471"/>
      <c r="Q85" s="471"/>
      <c r="R85" s="472"/>
      <c r="S85" s="489">
        <f>'Cust Specific'!S175</f>
        <v>0</v>
      </c>
      <c r="T85" s="494">
        <f>'Cust Specific'!S176</f>
        <v>0</v>
      </c>
      <c r="U85" s="491"/>
      <c r="V85" s="492"/>
      <c r="X85" s="183">
        <f>'Q (t)'!G85</f>
        <v>365</v>
      </c>
      <c r="Y85" s="184">
        <f>'Q (t)'!H85</f>
        <v>0</v>
      </c>
      <c r="Z85" s="178">
        <f>'Q (t)'!I85</f>
        <v>6100</v>
      </c>
      <c r="AA85" s="178">
        <f>'Q (t)'!J85</f>
        <v>0</v>
      </c>
      <c r="AB85" s="179">
        <f>'Q (t)'!K85</f>
        <v>4900</v>
      </c>
      <c r="AC85" s="178">
        <f>'Q (t)'!L85</f>
        <v>0</v>
      </c>
      <c r="AD85" s="178">
        <f>'Q (t)'!M85</f>
        <v>0</v>
      </c>
      <c r="AE85" s="178">
        <f>'Q (t)'!N85</f>
        <v>0</v>
      </c>
      <c r="AF85" s="179">
        <f>'Q (t)'!O85</f>
        <v>0</v>
      </c>
      <c r="AG85" s="178">
        <f>'Q (t)'!P85</f>
        <v>0</v>
      </c>
      <c r="AH85" s="178">
        <f>'Q (t)'!Q85</f>
        <v>0</v>
      </c>
      <c r="AI85" s="179">
        <f>'Q (t)'!R85</f>
        <v>0</v>
      </c>
      <c r="AJ85" s="184">
        <f>'Q (t)'!S85</f>
        <v>968710</v>
      </c>
      <c r="AK85" s="178">
        <f>'Q (t)'!T85</f>
        <v>1090620</v>
      </c>
      <c r="AL85" s="184">
        <f>'Q (t)'!U85</f>
        <v>0</v>
      </c>
      <c r="AM85" s="179">
        <f>'Q (t)'!V85</f>
        <v>0</v>
      </c>
      <c r="AO85" s="183">
        <f t="shared" si="51"/>
        <v>216.6713</v>
      </c>
      <c r="AP85" s="184">
        <f t="shared" si="52"/>
        <v>0</v>
      </c>
      <c r="AQ85" s="178">
        <f t="shared" si="52"/>
        <v>0</v>
      </c>
      <c r="AR85" s="178">
        <f t="shared" si="52"/>
        <v>0</v>
      </c>
      <c r="AS85" s="179">
        <f t="shared" si="52"/>
        <v>0</v>
      </c>
      <c r="AT85" s="178">
        <f t="shared" si="52"/>
        <v>0</v>
      </c>
      <c r="AU85" s="178">
        <f t="shared" si="52"/>
        <v>0</v>
      </c>
      <c r="AV85" s="178">
        <f t="shared" si="52"/>
        <v>0</v>
      </c>
      <c r="AW85" s="179">
        <f t="shared" si="52"/>
        <v>0</v>
      </c>
      <c r="AX85" s="178">
        <f t="shared" si="42"/>
        <v>0</v>
      </c>
      <c r="AY85" s="178">
        <f t="shared" si="42"/>
        <v>0</v>
      </c>
      <c r="AZ85" s="179">
        <f t="shared" si="42"/>
        <v>0</v>
      </c>
      <c r="BA85" s="184">
        <f t="shared" si="41"/>
        <v>0</v>
      </c>
      <c r="BB85" s="178">
        <f t="shared" si="41"/>
        <v>0</v>
      </c>
      <c r="BC85" s="184">
        <f t="shared" si="41"/>
        <v>0</v>
      </c>
      <c r="BD85" s="178">
        <f t="shared" si="41"/>
        <v>0</v>
      </c>
      <c r="BE85" s="251">
        <f t="shared" si="53"/>
        <v>1</v>
      </c>
      <c r="BF85" s="252">
        <f t="shared" si="54"/>
        <v>11000</v>
      </c>
      <c r="BH85" s="262">
        <f t="shared" si="46"/>
        <v>216.6713</v>
      </c>
      <c r="BI85" s="262">
        <f t="shared" si="47"/>
        <v>0</v>
      </c>
      <c r="BJ85" s="262">
        <f t="shared" si="48"/>
        <v>0</v>
      </c>
      <c r="BK85" s="263">
        <f t="shared" si="49"/>
        <v>0</v>
      </c>
      <c r="BL85" s="269">
        <f t="shared" si="50"/>
        <v>0</v>
      </c>
      <c r="BM85" s="264">
        <f t="shared" si="55"/>
        <v>216.6713</v>
      </c>
      <c r="BO85" s="732">
        <f t="shared" si="56"/>
        <v>19.69739090909091</v>
      </c>
    </row>
    <row r="86" spans="2:67" ht="15" customHeight="1" x14ac:dyDescent="0.25">
      <c r="B86" s="156">
        <f t="shared" si="27"/>
        <v>17</v>
      </c>
      <c r="C86" s="211"/>
      <c r="D86" s="212"/>
      <c r="E86" s="217"/>
      <c r="G86" s="493"/>
      <c r="H86" s="490"/>
      <c r="I86" s="471"/>
      <c r="J86" s="471"/>
      <c r="K86" s="472"/>
      <c r="L86" s="471"/>
      <c r="M86" s="471"/>
      <c r="N86" s="471"/>
      <c r="O86" s="472"/>
      <c r="P86" s="471"/>
      <c r="Q86" s="471"/>
      <c r="R86" s="472"/>
      <c r="S86" s="490"/>
      <c r="T86" s="471"/>
      <c r="U86" s="490"/>
      <c r="V86" s="472"/>
      <c r="X86" s="183">
        <f>'Q (t)'!G86</f>
        <v>0</v>
      </c>
      <c r="Y86" s="184">
        <f>'Q (t)'!H86</f>
        <v>0</v>
      </c>
      <c r="Z86" s="178">
        <f>'Q (t)'!I86</f>
        <v>0</v>
      </c>
      <c r="AA86" s="178">
        <f>'Q (t)'!J86</f>
        <v>0</v>
      </c>
      <c r="AB86" s="179">
        <f>'Q (t)'!K86</f>
        <v>0</v>
      </c>
      <c r="AC86" s="178">
        <f>'Q (t)'!L86</f>
        <v>0</v>
      </c>
      <c r="AD86" s="178">
        <f>'Q (t)'!M86</f>
        <v>0</v>
      </c>
      <c r="AE86" s="178">
        <f>'Q (t)'!N86</f>
        <v>0</v>
      </c>
      <c r="AF86" s="179">
        <f>'Q (t)'!O86</f>
        <v>0</v>
      </c>
      <c r="AG86" s="178">
        <f>'Q (t)'!P86</f>
        <v>0</v>
      </c>
      <c r="AH86" s="178">
        <f>'Q (t)'!Q86</f>
        <v>0</v>
      </c>
      <c r="AI86" s="179">
        <f>'Q (t)'!R86</f>
        <v>0</v>
      </c>
      <c r="AJ86" s="184">
        <f>'Q (t)'!S86</f>
        <v>0</v>
      </c>
      <c r="AK86" s="178">
        <f>'Q (t)'!T86</f>
        <v>0</v>
      </c>
      <c r="AL86" s="184">
        <f>'Q (t)'!U86</f>
        <v>0</v>
      </c>
      <c r="AM86" s="179">
        <f>'Q (t)'!V86</f>
        <v>0</v>
      </c>
      <c r="AO86" s="183">
        <f t="shared" si="51"/>
        <v>0</v>
      </c>
      <c r="AP86" s="184">
        <f t="shared" si="52"/>
        <v>0</v>
      </c>
      <c r="AQ86" s="178">
        <f t="shared" si="52"/>
        <v>0</v>
      </c>
      <c r="AR86" s="178">
        <f t="shared" si="52"/>
        <v>0</v>
      </c>
      <c r="AS86" s="179">
        <f t="shared" si="52"/>
        <v>0</v>
      </c>
      <c r="AT86" s="178">
        <f t="shared" si="52"/>
        <v>0</v>
      </c>
      <c r="AU86" s="178">
        <f t="shared" si="52"/>
        <v>0</v>
      </c>
      <c r="AV86" s="178">
        <f t="shared" si="52"/>
        <v>0</v>
      </c>
      <c r="AW86" s="179">
        <f t="shared" si="52"/>
        <v>0</v>
      </c>
      <c r="AX86" s="178">
        <f t="shared" si="42"/>
        <v>0</v>
      </c>
      <c r="AY86" s="178">
        <f t="shared" si="42"/>
        <v>0</v>
      </c>
      <c r="AZ86" s="179">
        <f t="shared" si="42"/>
        <v>0</v>
      </c>
      <c r="BA86" s="184">
        <f t="shared" si="41"/>
        <v>0</v>
      </c>
      <c r="BB86" s="178">
        <f t="shared" si="41"/>
        <v>0</v>
      </c>
      <c r="BC86" s="184">
        <f t="shared" si="41"/>
        <v>0</v>
      </c>
      <c r="BD86" s="178">
        <f t="shared" si="41"/>
        <v>0</v>
      </c>
      <c r="BE86" s="251">
        <f t="shared" si="53"/>
        <v>0</v>
      </c>
      <c r="BF86" s="252">
        <f t="shared" si="54"/>
        <v>0</v>
      </c>
      <c r="BH86" s="262">
        <f t="shared" si="46"/>
        <v>0</v>
      </c>
      <c r="BI86" s="262">
        <f t="shared" si="47"/>
        <v>0</v>
      </c>
      <c r="BJ86" s="262">
        <f t="shared" si="48"/>
        <v>0</v>
      </c>
      <c r="BK86" s="263">
        <f t="shared" si="49"/>
        <v>0</v>
      </c>
      <c r="BL86" s="269">
        <f t="shared" si="50"/>
        <v>0</v>
      </c>
      <c r="BM86" s="264">
        <f t="shared" si="55"/>
        <v>0</v>
      </c>
      <c r="BO86" s="732" t="str">
        <f t="shared" si="56"/>
        <v/>
      </c>
    </row>
    <row r="87" spans="2:67" ht="15" customHeight="1" x14ac:dyDescent="0.25">
      <c r="B87" s="156">
        <f>B86+1</f>
        <v>18</v>
      </c>
      <c r="C87" s="211"/>
      <c r="D87" s="212"/>
      <c r="E87" s="217"/>
      <c r="G87" s="493"/>
      <c r="H87" s="490"/>
      <c r="I87" s="471"/>
      <c r="J87" s="471"/>
      <c r="K87" s="472"/>
      <c r="L87" s="471"/>
      <c r="M87" s="471"/>
      <c r="N87" s="471"/>
      <c r="O87" s="472"/>
      <c r="P87" s="471"/>
      <c r="Q87" s="471"/>
      <c r="R87" s="472"/>
      <c r="S87" s="490"/>
      <c r="T87" s="471"/>
      <c r="U87" s="490"/>
      <c r="V87" s="472"/>
      <c r="X87" s="183">
        <f>'Q (t)'!G87</f>
        <v>0</v>
      </c>
      <c r="Y87" s="184">
        <f>'Q (t)'!H87</f>
        <v>0</v>
      </c>
      <c r="Z87" s="178">
        <f>'Q (t)'!I87</f>
        <v>0</v>
      </c>
      <c r="AA87" s="178">
        <f>'Q (t)'!J87</f>
        <v>0</v>
      </c>
      <c r="AB87" s="179">
        <f>'Q (t)'!K87</f>
        <v>0</v>
      </c>
      <c r="AC87" s="178">
        <f>'Q (t)'!L87</f>
        <v>0</v>
      </c>
      <c r="AD87" s="178">
        <f>'Q (t)'!M87</f>
        <v>0</v>
      </c>
      <c r="AE87" s="178">
        <f>'Q (t)'!N87</f>
        <v>0</v>
      </c>
      <c r="AF87" s="179">
        <f>'Q (t)'!O87</f>
        <v>0</v>
      </c>
      <c r="AG87" s="178">
        <f>'Q (t)'!P87</f>
        <v>0</v>
      </c>
      <c r="AH87" s="178">
        <f>'Q (t)'!Q87</f>
        <v>0</v>
      </c>
      <c r="AI87" s="179">
        <f>'Q (t)'!R87</f>
        <v>0</v>
      </c>
      <c r="AJ87" s="184">
        <f>'Q (t)'!S87</f>
        <v>0</v>
      </c>
      <c r="AK87" s="178">
        <f>'Q (t)'!T87</f>
        <v>0</v>
      </c>
      <c r="AL87" s="184">
        <f>'Q (t)'!U87</f>
        <v>0</v>
      </c>
      <c r="AM87" s="179">
        <f>'Q (t)'!V87</f>
        <v>0</v>
      </c>
      <c r="AO87" s="183">
        <f t="shared" si="51"/>
        <v>0</v>
      </c>
      <c r="AP87" s="184">
        <f t="shared" si="52"/>
        <v>0</v>
      </c>
      <c r="AQ87" s="178">
        <f t="shared" si="52"/>
        <v>0</v>
      </c>
      <c r="AR87" s="178">
        <f t="shared" si="52"/>
        <v>0</v>
      </c>
      <c r="AS87" s="179">
        <f t="shared" si="52"/>
        <v>0</v>
      </c>
      <c r="AT87" s="178">
        <f t="shared" si="52"/>
        <v>0</v>
      </c>
      <c r="AU87" s="178">
        <f t="shared" si="52"/>
        <v>0</v>
      </c>
      <c r="AV87" s="178">
        <f t="shared" si="52"/>
        <v>0</v>
      </c>
      <c r="AW87" s="179">
        <f t="shared" si="52"/>
        <v>0</v>
      </c>
      <c r="AX87" s="178">
        <f t="shared" si="42"/>
        <v>0</v>
      </c>
      <c r="AY87" s="178">
        <f t="shared" si="42"/>
        <v>0</v>
      </c>
      <c r="AZ87" s="179">
        <f t="shared" si="42"/>
        <v>0</v>
      </c>
      <c r="BA87" s="184">
        <f t="shared" si="41"/>
        <v>0</v>
      </c>
      <c r="BB87" s="178">
        <f t="shared" si="41"/>
        <v>0</v>
      </c>
      <c r="BC87" s="184">
        <f t="shared" si="41"/>
        <v>0</v>
      </c>
      <c r="BD87" s="178">
        <f t="shared" si="41"/>
        <v>0</v>
      </c>
      <c r="BE87" s="251">
        <f t="shared" si="53"/>
        <v>0</v>
      </c>
      <c r="BF87" s="252">
        <f t="shared" si="54"/>
        <v>0</v>
      </c>
      <c r="BH87" s="262">
        <f t="shared" si="46"/>
        <v>0</v>
      </c>
      <c r="BI87" s="262">
        <f t="shared" si="47"/>
        <v>0</v>
      </c>
      <c r="BJ87" s="262">
        <f t="shared" si="48"/>
        <v>0</v>
      </c>
      <c r="BK87" s="263">
        <f t="shared" si="49"/>
        <v>0</v>
      </c>
      <c r="BL87" s="269">
        <f t="shared" si="50"/>
        <v>0</v>
      </c>
      <c r="BM87" s="264">
        <f t="shared" si="55"/>
        <v>0</v>
      </c>
      <c r="BO87" s="732" t="str">
        <f t="shared" si="56"/>
        <v/>
      </c>
    </row>
    <row r="88" spans="2:67" ht="15" customHeight="1" x14ac:dyDescent="0.25">
      <c r="B88" s="156">
        <f t="shared" ref="B88:B91" si="83">B86+1</f>
        <v>18</v>
      </c>
      <c r="C88" s="211"/>
      <c r="D88" s="212"/>
      <c r="E88" s="217"/>
      <c r="G88" s="493"/>
      <c r="H88" s="490"/>
      <c r="I88" s="471"/>
      <c r="J88" s="471"/>
      <c r="K88" s="472"/>
      <c r="L88" s="471"/>
      <c r="M88" s="471"/>
      <c r="N88" s="471"/>
      <c r="O88" s="472"/>
      <c r="P88" s="471"/>
      <c r="Q88" s="471"/>
      <c r="R88" s="472"/>
      <c r="S88" s="490"/>
      <c r="T88" s="471"/>
      <c r="U88" s="490"/>
      <c r="V88" s="472"/>
      <c r="X88" s="183">
        <f>'Q (t)'!G88</f>
        <v>0</v>
      </c>
      <c r="Y88" s="184">
        <f>'Q (t)'!H88</f>
        <v>0</v>
      </c>
      <c r="Z88" s="178">
        <f>'Q (t)'!I88</f>
        <v>0</v>
      </c>
      <c r="AA88" s="178">
        <f>'Q (t)'!J88</f>
        <v>0</v>
      </c>
      <c r="AB88" s="179">
        <f>'Q (t)'!K88</f>
        <v>0</v>
      </c>
      <c r="AC88" s="178">
        <f>'Q (t)'!L88</f>
        <v>0</v>
      </c>
      <c r="AD88" s="178">
        <f>'Q (t)'!M88</f>
        <v>0</v>
      </c>
      <c r="AE88" s="178">
        <f>'Q (t)'!N88</f>
        <v>0</v>
      </c>
      <c r="AF88" s="179">
        <f>'Q (t)'!O88</f>
        <v>0</v>
      </c>
      <c r="AG88" s="178">
        <f>'Q (t)'!P88</f>
        <v>0</v>
      </c>
      <c r="AH88" s="178">
        <f>'Q (t)'!Q88</f>
        <v>0</v>
      </c>
      <c r="AI88" s="179">
        <f>'Q (t)'!R88</f>
        <v>0</v>
      </c>
      <c r="AJ88" s="184">
        <f>'Q (t)'!S88</f>
        <v>0</v>
      </c>
      <c r="AK88" s="178">
        <f>'Q (t)'!T88</f>
        <v>0</v>
      </c>
      <c r="AL88" s="184">
        <f>'Q (t)'!U88</f>
        <v>0</v>
      </c>
      <c r="AM88" s="179">
        <f>'Q (t)'!V88</f>
        <v>0</v>
      </c>
      <c r="AO88" s="183">
        <f t="shared" si="51"/>
        <v>0</v>
      </c>
      <c r="AP88" s="184">
        <f t="shared" si="52"/>
        <v>0</v>
      </c>
      <c r="AQ88" s="178">
        <f t="shared" si="52"/>
        <v>0</v>
      </c>
      <c r="AR88" s="178">
        <f t="shared" si="52"/>
        <v>0</v>
      </c>
      <c r="AS88" s="179">
        <f t="shared" si="52"/>
        <v>0</v>
      </c>
      <c r="AT88" s="178">
        <f t="shared" si="52"/>
        <v>0</v>
      </c>
      <c r="AU88" s="178">
        <f t="shared" si="52"/>
        <v>0</v>
      </c>
      <c r="AV88" s="178">
        <f t="shared" si="52"/>
        <v>0</v>
      </c>
      <c r="AW88" s="179">
        <f t="shared" si="52"/>
        <v>0</v>
      </c>
      <c r="AX88" s="178">
        <f t="shared" si="42"/>
        <v>0</v>
      </c>
      <c r="AY88" s="178">
        <f t="shared" si="42"/>
        <v>0</v>
      </c>
      <c r="AZ88" s="179">
        <f t="shared" si="42"/>
        <v>0</v>
      </c>
      <c r="BA88" s="184">
        <f t="shared" si="41"/>
        <v>0</v>
      </c>
      <c r="BB88" s="178">
        <f t="shared" si="41"/>
        <v>0</v>
      </c>
      <c r="BC88" s="184">
        <f t="shared" si="41"/>
        <v>0</v>
      </c>
      <c r="BD88" s="178">
        <f t="shared" si="41"/>
        <v>0</v>
      </c>
      <c r="BE88" s="251">
        <f t="shared" si="53"/>
        <v>0</v>
      </c>
      <c r="BF88" s="252">
        <f t="shared" si="54"/>
        <v>0</v>
      </c>
      <c r="BH88" s="262">
        <f t="shared" si="46"/>
        <v>0</v>
      </c>
      <c r="BI88" s="262">
        <f t="shared" si="47"/>
        <v>0</v>
      </c>
      <c r="BJ88" s="262">
        <f t="shared" si="48"/>
        <v>0</v>
      </c>
      <c r="BK88" s="263">
        <f t="shared" si="49"/>
        <v>0</v>
      </c>
      <c r="BL88" s="269">
        <f t="shared" si="50"/>
        <v>0</v>
      </c>
      <c r="BM88" s="264">
        <f t="shared" si="55"/>
        <v>0</v>
      </c>
      <c r="BO88" s="732" t="str">
        <f t="shared" si="56"/>
        <v/>
      </c>
    </row>
    <row r="89" spans="2:67" ht="15" customHeight="1" x14ac:dyDescent="0.25">
      <c r="B89" s="156">
        <f t="shared" si="83"/>
        <v>19</v>
      </c>
      <c r="C89" s="211"/>
      <c r="D89" s="212"/>
      <c r="E89" s="217"/>
      <c r="G89" s="493"/>
      <c r="H89" s="490"/>
      <c r="I89" s="471"/>
      <c r="J89" s="471"/>
      <c r="K89" s="472"/>
      <c r="L89" s="471"/>
      <c r="M89" s="471"/>
      <c r="N89" s="471"/>
      <c r="O89" s="472"/>
      <c r="P89" s="471"/>
      <c r="Q89" s="471"/>
      <c r="R89" s="472"/>
      <c r="S89" s="490"/>
      <c r="T89" s="471"/>
      <c r="U89" s="490"/>
      <c r="V89" s="472"/>
      <c r="X89" s="183">
        <f>'Q (t)'!G89</f>
        <v>0</v>
      </c>
      <c r="Y89" s="184">
        <f>'Q (t)'!H89</f>
        <v>0</v>
      </c>
      <c r="Z89" s="178">
        <f>'Q (t)'!I89</f>
        <v>0</v>
      </c>
      <c r="AA89" s="178">
        <f>'Q (t)'!J89</f>
        <v>0</v>
      </c>
      <c r="AB89" s="179">
        <f>'Q (t)'!K89</f>
        <v>0</v>
      </c>
      <c r="AC89" s="178">
        <f>'Q (t)'!L89</f>
        <v>0</v>
      </c>
      <c r="AD89" s="178">
        <f>'Q (t)'!M89</f>
        <v>0</v>
      </c>
      <c r="AE89" s="178">
        <f>'Q (t)'!N89</f>
        <v>0</v>
      </c>
      <c r="AF89" s="179">
        <f>'Q (t)'!O89</f>
        <v>0</v>
      </c>
      <c r="AG89" s="178">
        <f>'Q (t)'!P89</f>
        <v>0</v>
      </c>
      <c r="AH89" s="178">
        <f>'Q (t)'!Q89</f>
        <v>0</v>
      </c>
      <c r="AI89" s="179">
        <f>'Q (t)'!R89</f>
        <v>0</v>
      </c>
      <c r="AJ89" s="184">
        <f>'Q (t)'!S89</f>
        <v>0</v>
      </c>
      <c r="AK89" s="178">
        <f>'Q (t)'!T89</f>
        <v>0</v>
      </c>
      <c r="AL89" s="184">
        <f>'Q (t)'!U89</f>
        <v>0</v>
      </c>
      <c r="AM89" s="179">
        <f>'Q (t)'!V89</f>
        <v>0</v>
      </c>
      <c r="AO89" s="183">
        <f t="shared" si="51"/>
        <v>0</v>
      </c>
      <c r="AP89" s="184">
        <f t="shared" si="52"/>
        <v>0</v>
      </c>
      <c r="AQ89" s="178">
        <f t="shared" si="52"/>
        <v>0</v>
      </c>
      <c r="AR89" s="178">
        <f t="shared" si="52"/>
        <v>0</v>
      </c>
      <c r="AS89" s="179">
        <f t="shared" si="52"/>
        <v>0</v>
      </c>
      <c r="AT89" s="178">
        <f t="shared" si="52"/>
        <v>0</v>
      </c>
      <c r="AU89" s="178">
        <f t="shared" si="52"/>
        <v>0</v>
      </c>
      <c r="AV89" s="178">
        <f t="shared" si="52"/>
        <v>0</v>
      </c>
      <c r="AW89" s="179">
        <f t="shared" si="52"/>
        <v>0</v>
      </c>
      <c r="AX89" s="178">
        <f t="shared" si="42"/>
        <v>0</v>
      </c>
      <c r="AY89" s="178">
        <f t="shared" si="42"/>
        <v>0</v>
      </c>
      <c r="AZ89" s="179">
        <f t="shared" si="42"/>
        <v>0</v>
      </c>
      <c r="BA89" s="184">
        <f t="shared" si="41"/>
        <v>0</v>
      </c>
      <c r="BB89" s="178">
        <f t="shared" si="41"/>
        <v>0</v>
      </c>
      <c r="BC89" s="184">
        <f t="shared" si="41"/>
        <v>0</v>
      </c>
      <c r="BD89" s="178">
        <f t="shared" si="41"/>
        <v>0</v>
      </c>
      <c r="BE89" s="251">
        <f t="shared" si="53"/>
        <v>0</v>
      </c>
      <c r="BF89" s="252">
        <f t="shared" si="54"/>
        <v>0</v>
      </c>
      <c r="BH89" s="262">
        <f t="shared" si="46"/>
        <v>0</v>
      </c>
      <c r="BI89" s="262">
        <f t="shared" si="47"/>
        <v>0</v>
      </c>
      <c r="BJ89" s="262">
        <f t="shared" si="48"/>
        <v>0</v>
      </c>
      <c r="BK89" s="263">
        <f t="shared" si="49"/>
        <v>0</v>
      </c>
      <c r="BL89" s="269">
        <f t="shared" si="50"/>
        <v>0</v>
      </c>
      <c r="BM89" s="264">
        <f t="shared" si="55"/>
        <v>0</v>
      </c>
      <c r="BO89" s="732" t="str">
        <f t="shared" si="56"/>
        <v/>
      </c>
    </row>
    <row r="90" spans="2:67" ht="15" customHeight="1" x14ac:dyDescent="0.25">
      <c r="B90" s="156">
        <f t="shared" si="83"/>
        <v>19</v>
      </c>
      <c r="C90" s="211"/>
      <c r="D90" s="212"/>
      <c r="E90" s="217"/>
      <c r="G90" s="493"/>
      <c r="H90" s="490"/>
      <c r="I90" s="471"/>
      <c r="J90" s="471"/>
      <c r="K90" s="472"/>
      <c r="L90" s="471"/>
      <c r="M90" s="471"/>
      <c r="N90" s="471"/>
      <c r="O90" s="472"/>
      <c r="P90" s="471"/>
      <c r="Q90" s="471"/>
      <c r="R90" s="472"/>
      <c r="S90" s="490"/>
      <c r="T90" s="471"/>
      <c r="U90" s="490"/>
      <c r="V90" s="472"/>
      <c r="X90" s="183">
        <f>'Q (t)'!G90</f>
        <v>0</v>
      </c>
      <c r="Y90" s="184">
        <f>'Q (t)'!H90</f>
        <v>0</v>
      </c>
      <c r="Z90" s="178">
        <f>'Q (t)'!I90</f>
        <v>0</v>
      </c>
      <c r="AA90" s="178">
        <f>'Q (t)'!J90</f>
        <v>0</v>
      </c>
      <c r="AB90" s="179">
        <f>'Q (t)'!K90</f>
        <v>0</v>
      </c>
      <c r="AC90" s="178">
        <f>'Q (t)'!L90</f>
        <v>0</v>
      </c>
      <c r="AD90" s="178">
        <f>'Q (t)'!M90</f>
        <v>0</v>
      </c>
      <c r="AE90" s="178">
        <f>'Q (t)'!N90</f>
        <v>0</v>
      </c>
      <c r="AF90" s="179">
        <f>'Q (t)'!O90</f>
        <v>0</v>
      </c>
      <c r="AG90" s="178">
        <f>'Q (t)'!P90</f>
        <v>0</v>
      </c>
      <c r="AH90" s="178">
        <f>'Q (t)'!Q90</f>
        <v>0</v>
      </c>
      <c r="AI90" s="179">
        <f>'Q (t)'!R90</f>
        <v>0</v>
      </c>
      <c r="AJ90" s="184">
        <f>'Q (t)'!S90</f>
        <v>0</v>
      </c>
      <c r="AK90" s="178">
        <f>'Q (t)'!T90</f>
        <v>0</v>
      </c>
      <c r="AL90" s="184">
        <f>'Q (t)'!U90</f>
        <v>0</v>
      </c>
      <c r="AM90" s="179">
        <f>'Q (t)'!V90</f>
        <v>0</v>
      </c>
      <c r="AO90" s="183">
        <f t="shared" si="51"/>
        <v>0</v>
      </c>
      <c r="AP90" s="184">
        <f t="shared" si="52"/>
        <v>0</v>
      </c>
      <c r="AQ90" s="178">
        <f t="shared" si="52"/>
        <v>0</v>
      </c>
      <c r="AR90" s="178">
        <f t="shared" si="52"/>
        <v>0</v>
      </c>
      <c r="AS90" s="179">
        <f t="shared" si="52"/>
        <v>0</v>
      </c>
      <c r="AT90" s="178">
        <f t="shared" si="52"/>
        <v>0</v>
      </c>
      <c r="AU90" s="178">
        <f t="shared" si="52"/>
        <v>0</v>
      </c>
      <c r="AV90" s="178">
        <f t="shared" si="52"/>
        <v>0</v>
      </c>
      <c r="AW90" s="179">
        <f t="shared" si="52"/>
        <v>0</v>
      </c>
      <c r="AX90" s="178">
        <f t="shared" si="42"/>
        <v>0</v>
      </c>
      <c r="AY90" s="178">
        <f t="shared" si="42"/>
        <v>0</v>
      </c>
      <c r="AZ90" s="179">
        <f t="shared" si="42"/>
        <v>0</v>
      </c>
      <c r="BA90" s="184">
        <f t="shared" si="41"/>
        <v>0</v>
      </c>
      <c r="BB90" s="178">
        <f t="shared" si="41"/>
        <v>0</v>
      </c>
      <c r="BC90" s="184">
        <f t="shared" si="41"/>
        <v>0</v>
      </c>
      <c r="BD90" s="178">
        <f t="shared" si="41"/>
        <v>0</v>
      </c>
      <c r="BE90" s="251">
        <f t="shared" si="53"/>
        <v>0</v>
      </c>
      <c r="BF90" s="252">
        <f t="shared" si="54"/>
        <v>0</v>
      </c>
      <c r="BH90" s="262">
        <f t="shared" si="46"/>
        <v>0</v>
      </c>
      <c r="BI90" s="262">
        <f t="shared" si="47"/>
        <v>0</v>
      </c>
      <c r="BJ90" s="262">
        <f t="shared" si="48"/>
        <v>0</v>
      </c>
      <c r="BK90" s="263">
        <f t="shared" si="49"/>
        <v>0</v>
      </c>
      <c r="BL90" s="269">
        <f t="shared" si="50"/>
        <v>0</v>
      </c>
      <c r="BM90" s="264">
        <f t="shared" si="55"/>
        <v>0</v>
      </c>
      <c r="BO90" s="732" t="str">
        <f t="shared" si="56"/>
        <v/>
      </c>
    </row>
    <row r="91" spans="2:67" ht="15" customHeight="1" x14ac:dyDescent="0.25">
      <c r="B91" s="162">
        <f t="shared" si="83"/>
        <v>20</v>
      </c>
      <c r="C91" s="214"/>
      <c r="D91" s="215"/>
      <c r="E91" s="218"/>
      <c r="G91" s="509"/>
      <c r="H91" s="502"/>
      <c r="I91" s="498"/>
      <c r="J91" s="498"/>
      <c r="K91" s="499"/>
      <c r="L91" s="498"/>
      <c r="M91" s="498"/>
      <c r="N91" s="498"/>
      <c r="O91" s="499"/>
      <c r="P91" s="498"/>
      <c r="Q91" s="498"/>
      <c r="R91" s="499"/>
      <c r="S91" s="502"/>
      <c r="T91" s="498"/>
      <c r="U91" s="502"/>
      <c r="V91" s="499"/>
      <c r="X91" s="190">
        <f>'Q (t)'!G91</f>
        <v>0</v>
      </c>
      <c r="Y91" s="197">
        <f>'Q (t)'!H91</f>
        <v>0</v>
      </c>
      <c r="Z91" s="192">
        <f>'Q (t)'!I91</f>
        <v>0</v>
      </c>
      <c r="AA91" s="192">
        <f>'Q (t)'!J91</f>
        <v>0</v>
      </c>
      <c r="AB91" s="193">
        <f>'Q (t)'!K91</f>
        <v>0</v>
      </c>
      <c r="AC91" s="192">
        <f>'Q (t)'!L91</f>
        <v>0</v>
      </c>
      <c r="AD91" s="192">
        <f>'Q (t)'!M91</f>
        <v>0</v>
      </c>
      <c r="AE91" s="192">
        <f>'Q (t)'!N91</f>
        <v>0</v>
      </c>
      <c r="AF91" s="193">
        <f>'Q (t)'!O91</f>
        <v>0</v>
      </c>
      <c r="AG91" s="192">
        <f>'Q (t)'!P91</f>
        <v>0</v>
      </c>
      <c r="AH91" s="192">
        <f>'Q (t)'!Q91</f>
        <v>0</v>
      </c>
      <c r="AI91" s="193">
        <f>'Q (t)'!R91</f>
        <v>0</v>
      </c>
      <c r="AJ91" s="197">
        <f>'Q (t)'!S91</f>
        <v>0</v>
      </c>
      <c r="AK91" s="192">
        <f>'Q (t)'!T91</f>
        <v>0</v>
      </c>
      <c r="AL91" s="197">
        <f>'Q (t)'!U91</f>
        <v>0</v>
      </c>
      <c r="AM91" s="193">
        <f>'Q (t)'!V91</f>
        <v>0</v>
      </c>
      <c r="AO91" s="190">
        <f t="shared" si="51"/>
        <v>0</v>
      </c>
      <c r="AP91" s="197">
        <f t="shared" si="52"/>
        <v>0</v>
      </c>
      <c r="AQ91" s="192">
        <f t="shared" si="52"/>
        <v>0</v>
      </c>
      <c r="AR91" s="192">
        <f t="shared" si="52"/>
        <v>0</v>
      </c>
      <c r="AS91" s="193">
        <f t="shared" si="52"/>
        <v>0</v>
      </c>
      <c r="AT91" s="192">
        <f t="shared" si="52"/>
        <v>0</v>
      </c>
      <c r="AU91" s="192">
        <f t="shared" si="52"/>
        <v>0</v>
      </c>
      <c r="AV91" s="192">
        <f t="shared" si="52"/>
        <v>0</v>
      </c>
      <c r="AW91" s="193">
        <f t="shared" si="52"/>
        <v>0</v>
      </c>
      <c r="AX91" s="192">
        <f t="shared" si="42"/>
        <v>0</v>
      </c>
      <c r="AY91" s="192">
        <f t="shared" si="42"/>
        <v>0</v>
      </c>
      <c r="AZ91" s="193">
        <f t="shared" si="42"/>
        <v>0</v>
      </c>
      <c r="BA91" s="197">
        <f t="shared" si="41"/>
        <v>0</v>
      </c>
      <c r="BB91" s="192">
        <f t="shared" si="41"/>
        <v>0</v>
      </c>
      <c r="BC91" s="197">
        <f t="shared" si="41"/>
        <v>0</v>
      </c>
      <c r="BD91" s="192">
        <f t="shared" si="41"/>
        <v>0</v>
      </c>
      <c r="BE91" s="253">
        <f t="shared" si="53"/>
        <v>0</v>
      </c>
      <c r="BF91" s="254">
        <f t="shared" si="54"/>
        <v>0</v>
      </c>
      <c r="BH91" s="262">
        <f t="shared" ref="BH91" si="84">SUM(AO91)</f>
        <v>0</v>
      </c>
      <c r="BI91" s="262">
        <f t="shared" ref="BI91" si="85">SUM(AP91:AS91)</f>
        <v>0</v>
      </c>
      <c r="BJ91" s="262">
        <f t="shared" ref="BJ91" si="86">SUM(AT91:AW91)</f>
        <v>0</v>
      </c>
      <c r="BK91" s="263">
        <f t="shared" ref="BK91" si="87">SUM(AX91:BB91)</f>
        <v>0</v>
      </c>
      <c r="BL91" s="269">
        <f t="shared" ref="BL91" si="88">SUM(BC91:BD91)</f>
        <v>0</v>
      </c>
      <c r="BM91" s="264">
        <f t="shared" si="55"/>
        <v>0</v>
      </c>
      <c r="BO91" s="732" t="str">
        <f t="shared" si="56"/>
        <v/>
      </c>
    </row>
    <row r="92" spans="2:67" ht="15" customHeight="1" x14ac:dyDescent="0.25">
      <c r="B92" s="172" t="s">
        <v>112</v>
      </c>
      <c r="C92" s="126" t="s">
        <v>113</v>
      </c>
      <c r="D92" s="126"/>
      <c r="E92" s="219"/>
      <c r="G92" s="493"/>
      <c r="H92" s="490"/>
      <c r="I92" s="471"/>
      <c r="J92" s="471"/>
      <c r="K92" s="472"/>
      <c r="L92" s="471"/>
      <c r="M92" s="471"/>
      <c r="N92" s="471"/>
      <c r="O92" s="472"/>
      <c r="P92" s="471"/>
      <c r="Q92" s="471"/>
      <c r="R92" s="472"/>
      <c r="S92" s="490"/>
      <c r="T92" s="471"/>
      <c r="U92" s="490"/>
      <c r="V92" s="472"/>
      <c r="X92" s="183">
        <f>'Q (t)'!G92</f>
        <v>0</v>
      </c>
      <c r="Y92" s="184">
        <f>'Q (t)'!H92</f>
        <v>0</v>
      </c>
      <c r="Z92" s="178">
        <f>'Q (t)'!I92</f>
        <v>0</v>
      </c>
      <c r="AA92" s="178">
        <f>'Q (t)'!J92</f>
        <v>0</v>
      </c>
      <c r="AB92" s="179">
        <f>'Q (t)'!K92</f>
        <v>0</v>
      </c>
      <c r="AC92" s="178">
        <f>'Q (t)'!L92</f>
        <v>0</v>
      </c>
      <c r="AD92" s="178">
        <f>'Q (t)'!M92</f>
        <v>0</v>
      </c>
      <c r="AE92" s="178">
        <f>'Q (t)'!N92</f>
        <v>0</v>
      </c>
      <c r="AF92" s="179">
        <f>'Q (t)'!O92</f>
        <v>0</v>
      </c>
      <c r="AG92" s="178">
        <f>'Q (t)'!P92</f>
        <v>0</v>
      </c>
      <c r="AH92" s="178">
        <f>'Q (t)'!Q92</f>
        <v>0</v>
      </c>
      <c r="AI92" s="179">
        <f>'Q (t)'!R92</f>
        <v>0</v>
      </c>
      <c r="AJ92" s="184">
        <f>'Q (t)'!S92</f>
        <v>0</v>
      </c>
      <c r="AK92" s="178">
        <f>'Q (t)'!T92</f>
        <v>0</v>
      </c>
      <c r="AL92" s="184">
        <f>'Q (t)'!U92</f>
        <v>0</v>
      </c>
      <c r="AM92" s="179">
        <f>'Q (t)'!V92</f>
        <v>0</v>
      </c>
      <c r="AO92" s="183">
        <f t="shared" si="51"/>
        <v>0</v>
      </c>
      <c r="AP92" s="184">
        <f t="shared" si="52"/>
        <v>0</v>
      </c>
      <c r="AQ92" s="178">
        <f t="shared" si="52"/>
        <v>0</v>
      </c>
      <c r="AR92" s="178">
        <f t="shared" si="52"/>
        <v>0</v>
      </c>
      <c r="AS92" s="179">
        <f t="shared" si="52"/>
        <v>0</v>
      </c>
      <c r="AT92" s="178">
        <f t="shared" si="52"/>
        <v>0</v>
      </c>
      <c r="AU92" s="178">
        <f t="shared" si="52"/>
        <v>0</v>
      </c>
      <c r="AV92" s="178">
        <f t="shared" si="52"/>
        <v>0</v>
      </c>
      <c r="AW92" s="179">
        <f t="shared" si="52"/>
        <v>0</v>
      </c>
      <c r="AX92" s="178">
        <f t="shared" si="42"/>
        <v>0</v>
      </c>
      <c r="AY92" s="178">
        <f t="shared" si="42"/>
        <v>0</v>
      </c>
      <c r="AZ92" s="179">
        <f t="shared" si="42"/>
        <v>0</v>
      </c>
      <c r="BA92" s="184">
        <f t="shared" si="41"/>
        <v>0</v>
      </c>
      <c r="BB92" s="178">
        <f t="shared" si="41"/>
        <v>0</v>
      </c>
      <c r="BC92" s="184">
        <f t="shared" si="41"/>
        <v>0</v>
      </c>
      <c r="BD92" s="178">
        <f t="shared" si="41"/>
        <v>0</v>
      </c>
      <c r="BE92" s="251">
        <f t="shared" si="53"/>
        <v>0</v>
      </c>
      <c r="BF92" s="252">
        <f t="shared" si="54"/>
        <v>0</v>
      </c>
      <c r="BH92" s="260">
        <f>SUBTOTAL(9,BH93:BH126)</f>
        <v>10335.121000000001</v>
      </c>
      <c r="BI92" s="260">
        <f>SUBTOTAL(9,BI93:BI126)</f>
        <v>932.02258793020007</v>
      </c>
      <c r="BJ92" s="260">
        <f>SUBTOTAL(9,BJ93:BJ126)</f>
        <v>0</v>
      </c>
      <c r="BK92" s="260">
        <f>SUBTOTAL(9,BK93:BK126)</f>
        <v>9296.1116654409998</v>
      </c>
      <c r="BL92" s="260">
        <f>SUBTOTAL(9,BL93:BL126)</f>
        <v>0</v>
      </c>
      <c r="BM92" s="264">
        <f t="shared" si="55"/>
        <v>20563.255253371201</v>
      </c>
      <c r="BO92" s="732" t="str">
        <f t="shared" si="56"/>
        <v/>
      </c>
    </row>
    <row r="93" spans="2:67" ht="15" customHeight="1" x14ac:dyDescent="0.25">
      <c r="B93" s="156"/>
      <c r="C93" s="126" t="s">
        <v>114</v>
      </c>
      <c r="D93" s="202"/>
      <c r="E93" s="202"/>
      <c r="G93" s="493"/>
      <c r="H93" s="490"/>
      <c r="I93" s="471"/>
      <c r="J93" s="471"/>
      <c r="K93" s="472"/>
      <c r="L93" s="471"/>
      <c r="M93" s="471"/>
      <c r="N93" s="471"/>
      <c r="O93" s="472"/>
      <c r="P93" s="471"/>
      <c r="Q93" s="471"/>
      <c r="R93" s="472"/>
      <c r="S93" s="490"/>
      <c r="T93" s="471"/>
      <c r="U93" s="490"/>
      <c r="V93" s="472"/>
      <c r="X93" s="183">
        <f>'Q (t)'!G93</f>
        <v>0</v>
      </c>
      <c r="Y93" s="184">
        <f>'Q (t)'!H93</f>
        <v>0</v>
      </c>
      <c r="Z93" s="178">
        <f>'Q (t)'!I93</f>
        <v>0</v>
      </c>
      <c r="AA93" s="178">
        <f>'Q (t)'!J93</f>
        <v>0</v>
      </c>
      <c r="AB93" s="179">
        <f>'Q (t)'!K93</f>
        <v>0</v>
      </c>
      <c r="AC93" s="178">
        <f>'Q (t)'!L93</f>
        <v>0</v>
      </c>
      <c r="AD93" s="178">
        <f>'Q (t)'!M93</f>
        <v>0</v>
      </c>
      <c r="AE93" s="178">
        <f>'Q (t)'!N93</f>
        <v>0</v>
      </c>
      <c r="AF93" s="179">
        <f>'Q (t)'!O93</f>
        <v>0</v>
      </c>
      <c r="AG93" s="178">
        <f>'Q (t)'!P93</f>
        <v>0</v>
      </c>
      <c r="AH93" s="178">
        <f>'Q (t)'!Q93</f>
        <v>0</v>
      </c>
      <c r="AI93" s="179">
        <f>'Q (t)'!R93</f>
        <v>0</v>
      </c>
      <c r="AJ93" s="184">
        <f>'Q (t)'!S93</f>
        <v>0</v>
      </c>
      <c r="AK93" s="178">
        <f>'Q (t)'!T93</f>
        <v>0</v>
      </c>
      <c r="AL93" s="184">
        <f>'Q (t)'!U93</f>
        <v>0</v>
      </c>
      <c r="AM93" s="179">
        <f>'Q (t)'!V93</f>
        <v>0</v>
      </c>
      <c r="AO93" s="183">
        <f t="shared" si="51"/>
        <v>0</v>
      </c>
      <c r="AP93" s="184">
        <f t="shared" si="52"/>
        <v>0</v>
      </c>
      <c r="AQ93" s="178">
        <f t="shared" si="52"/>
        <v>0</v>
      </c>
      <c r="AR93" s="178">
        <f t="shared" si="52"/>
        <v>0</v>
      </c>
      <c r="AS93" s="179">
        <f t="shared" si="52"/>
        <v>0</v>
      </c>
      <c r="AT93" s="178">
        <f t="shared" si="52"/>
        <v>0</v>
      </c>
      <c r="AU93" s="178">
        <f t="shared" si="52"/>
        <v>0</v>
      </c>
      <c r="AV93" s="178">
        <f t="shared" si="52"/>
        <v>0</v>
      </c>
      <c r="AW93" s="179">
        <f t="shared" si="52"/>
        <v>0</v>
      </c>
      <c r="AX93" s="178">
        <f t="shared" si="42"/>
        <v>0</v>
      </c>
      <c r="AY93" s="178">
        <f t="shared" si="42"/>
        <v>0</v>
      </c>
      <c r="AZ93" s="179">
        <f t="shared" si="42"/>
        <v>0</v>
      </c>
      <c r="BA93" s="184">
        <f t="shared" si="41"/>
        <v>0</v>
      </c>
      <c r="BB93" s="178">
        <f t="shared" si="41"/>
        <v>0</v>
      </c>
      <c r="BC93" s="184">
        <f t="shared" si="41"/>
        <v>0</v>
      </c>
      <c r="BD93" s="178">
        <f t="shared" si="41"/>
        <v>0</v>
      </c>
      <c r="BE93" s="251">
        <f t="shared" si="53"/>
        <v>0</v>
      </c>
      <c r="BF93" s="252">
        <f t="shared" si="54"/>
        <v>0</v>
      </c>
      <c r="BH93" s="259">
        <f>SUBTOTAL(9,BH94:BH100)</f>
        <v>543.31709999999998</v>
      </c>
      <c r="BI93" s="259">
        <f>SUBTOTAL(9,BI94:BI100)</f>
        <v>587.4043961064001</v>
      </c>
      <c r="BJ93" s="259">
        <f>SUBTOTAL(9,BJ94:BJ100)</f>
        <v>0</v>
      </c>
      <c r="BK93" s="259">
        <f>SUBTOTAL(9,BK94:BK100)</f>
        <v>769.65608597849996</v>
      </c>
      <c r="BL93" s="259">
        <f>SUBTOTAL(9,BL94:BL100)</f>
        <v>0</v>
      </c>
      <c r="BM93" s="264">
        <f t="shared" si="55"/>
        <v>1900.3775820849</v>
      </c>
      <c r="BO93" s="732" t="str">
        <f t="shared" si="56"/>
        <v/>
      </c>
    </row>
    <row r="94" spans="2:67" ht="15" customHeight="1" x14ac:dyDescent="0.25">
      <c r="B94" s="156">
        <v>1</v>
      </c>
      <c r="C94" s="180" t="s">
        <v>115</v>
      </c>
      <c r="D94" s="181"/>
      <c r="E94" s="210" t="s">
        <v>116</v>
      </c>
      <c r="G94" s="488">
        <v>0</v>
      </c>
      <c r="H94" s="489">
        <v>8.2000000000000007E-3</v>
      </c>
      <c r="I94" s="471"/>
      <c r="J94" s="471"/>
      <c r="K94" s="472"/>
      <c r="L94" s="471"/>
      <c r="M94" s="471"/>
      <c r="N94" s="471"/>
      <c r="O94" s="472"/>
      <c r="P94" s="471"/>
      <c r="Q94" s="471"/>
      <c r="R94" s="472"/>
      <c r="S94" s="489">
        <v>0.10829999999999999</v>
      </c>
      <c r="T94" s="494">
        <v>0</v>
      </c>
      <c r="U94" s="491"/>
      <c r="V94" s="492"/>
      <c r="X94" s="183">
        <f>'Q (t)'!G94</f>
        <v>0</v>
      </c>
      <c r="Y94" s="184">
        <f>'Q (t)'!H94</f>
        <v>0</v>
      </c>
      <c r="Z94" s="178">
        <f>'Q (t)'!I94</f>
        <v>0</v>
      </c>
      <c r="AA94" s="178">
        <f>'Q (t)'!J94</f>
        <v>0</v>
      </c>
      <c r="AB94" s="179">
        <f>'Q (t)'!K94</f>
        <v>0</v>
      </c>
      <c r="AC94" s="178">
        <f>'Q (t)'!L94</f>
        <v>0</v>
      </c>
      <c r="AD94" s="178">
        <f>'Q (t)'!M94</f>
        <v>0</v>
      </c>
      <c r="AE94" s="178">
        <f>'Q (t)'!N94</f>
        <v>0</v>
      </c>
      <c r="AF94" s="179">
        <f>'Q (t)'!O94</f>
        <v>0</v>
      </c>
      <c r="AG94" s="178">
        <f>'Q (t)'!P94</f>
        <v>0</v>
      </c>
      <c r="AH94" s="178">
        <f>'Q (t)'!Q94</f>
        <v>0</v>
      </c>
      <c r="AI94" s="179">
        <f>'Q (t)'!R94</f>
        <v>0</v>
      </c>
      <c r="AJ94" s="184">
        <f>'Q (t)'!S94</f>
        <v>0</v>
      </c>
      <c r="AK94" s="178">
        <f>'Q (t)'!T94</f>
        <v>0</v>
      </c>
      <c r="AL94" s="184">
        <f>'Q (t)'!U94</f>
        <v>0</v>
      </c>
      <c r="AM94" s="179">
        <f>'Q (t)'!V94</f>
        <v>0</v>
      </c>
      <c r="AO94" s="183">
        <f t="shared" si="51"/>
        <v>0</v>
      </c>
      <c r="AP94" s="184">
        <f t="shared" si="52"/>
        <v>0</v>
      </c>
      <c r="AQ94" s="178">
        <f t="shared" si="52"/>
        <v>0</v>
      </c>
      <c r="AR94" s="178">
        <f t="shared" si="52"/>
        <v>0</v>
      </c>
      <c r="AS94" s="179">
        <f t="shared" si="52"/>
        <v>0</v>
      </c>
      <c r="AT94" s="178">
        <f t="shared" si="52"/>
        <v>0</v>
      </c>
      <c r="AU94" s="178">
        <f t="shared" si="52"/>
        <v>0</v>
      </c>
      <c r="AV94" s="178">
        <f t="shared" si="52"/>
        <v>0</v>
      </c>
      <c r="AW94" s="179">
        <f t="shared" si="52"/>
        <v>0</v>
      </c>
      <c r="AX94" s="178">
        <f t="shared" si="42"/>
        <v>0</v>
      </c>
      <c r="AY94" s="178">
        <f t="shared" si="42"/>
        <v>0</v>
      </c>
      <c r="AZ94" s="179">
        <f t="shared" si="42"/>
        <v>0</v>
      </c>
      <c r="BA94" s="184">
        <f t="shared" si="41"/>
        <v>0</v>
      </c>
      <c r="BB94" s="178">
        <f t="shared" si="41"/>
        <v>0</v>
      </c>
      <c r="BC94" s="184">
        <f t="shared" si="41"/>
        <v>0</v>
      </c>
      <c r="BD94" s="178">
        <f t="shared" si="41"/>
        <v>0</v>
      </c>
      <c r="BE94" s="251">
        <f t="shared" si="53"/>
        <v>0</v>
      </c>
      <c r="BF94" s="252">
        <f t="shared" si="54"/>
        <v>0</v>
      </c>
      <c r="BH94" s="262">
        <f t="shared" ref="BH94:BH100" si="89">SUM(AO94)</f>
        <v>0</v>
      </c>
      <c r="BI94" s="262">
        <f t="shared" ref="BI94:BI100" si="90">SUM(AP94:AS94)</f>
        <v>0</v>
      </c>
      <c r="BJ94" s="262">
        <f t="shared" ref="BJ94:BJ100" si="91">SUM(AT94:AW94)</f>
        <v>0</v>
      </c>
      <c r="BK94" s="263">
        <f t="shared" ref="BK94:BK100" si="92">SUM(AX94:BB94)</f>
        <v>0</v>
      </c>
      <c r="BL94" s="269">
        <f t="shared" ref="BL94:BL100" si="93">SUM(BC94:BD94)</f>
        <v>0</v>
      </c>
      <c r="BM94" s="264">
        <f t="shared" si="55"/>
        <v>0</v>
      </c>
      <c r="BO94" s="732" t="str">
        <f t="shared" si="56"/>
        <v/>
      </c>
    </row>
    <row r="95" spans="2:67" ht="15" customHeight="1" x14ac:dyDescent="0.25">
      <c r="B95" s="156">
        <v>1</v>
      </c>
      <c r="C95" s="180" t="s">
        <v>117</v>
      </c>
      <c r="D95" s="181"/>
      <c r="E95" s="210" t="s">
        <v>118</v>
      </c>
      <c r="G95" s="488">
        <f>'Cust Specific'!S186</f>
        <v>0</v>
      </c>
      <c r="H95" s="489">
        <f>'Cust Specific'!S189</f>
        <v>8.2000000000000007E-3</v>
      </c>
      <c r="I95" s="471"/>
      <c r="J95" s="471"/>
      <c r="K95" s="472"/>
      <c r="L95" s="471"/>
      <c r="M95" s="471"/>
      <c r="N95" s="471"/>
      <c r="O95" s="472"/>
      <c r="P95" s="471"/>
      <c r="Q95" s="471"/>
      <c r="R95" s="472"/>
      <c r="S95" s="489">
        <f>'Cust Specific'!S187</f>
        <v>0.10829999999999999</v>
      </c>
      <c r="T95" s="494">
        <f>'Cust Specific'!S188</f>
        <v>0</v>
      </c>
      <c r="U95" s="491"/>
      <c r="V95" s="492"/>
      <c r="X95" s="183">
        <f>'Q (t)'!G95</f>
        <v>365</v>
      </c>
      <c r="Y95" s="184">
        <f>'Q (t)'!H95</f>
        <v>20561.394500000002</v>
      </c>
      <c r="Z95" s="178">
        <f>'Q (t)'!I95</f>
        <v>0</v>
      </c>
      <c r="AA95" s="178">
        <f>'Q (t)'!J95</f>
        <v>0</v>
      </c>
      <c r="AB95" s="179">
        <f>'Q (t)'!K95</f>
        <v>0</v>
      </c>
      <c r="AC95" s="178">
        <f>'Q (t)'!L95</f>
        <v>0</v>
      </c>
      <c r="AD95" s="178">
        <f>'Q (t)'!M95</f>
        <v>0</v>
      </c>
      <c r="AE95" s="178">
        <f>'Q (t)'!N95</f>
        <v>0</v>
      </c>
      <c r="AF95" s="179">
        <f>'Q (t)'!O95</f>
        <v>0</v>
      </c>
      <c r="AG95" s="178">
        <f>'Q (t)'!P95</f>
        <v>0</v>
      </c>
      <c r="AH95" s="178">
        <f>'Q (t)'!Q95</f>
        <v>0</v>
      </c>
      <c r="AI95" s="179">
        <f>'Q (t)'!R95</f>
        <v>0</v>
      </c>
      <c r="AJ95" s="184">
        <f>'Q (t)'!S95</f>
        <v>1573358.78</v>
      </c>
      <c r="AK95" s="178">
        <f>'Q (t)'!T95</f>
        <v>1825000</v>
      </c>
      <c r="AL95" s="184">
        <f>'Q (t)'!U95</f>
        <v>0</v>
      </c>
      <c r="AM95" s="179">
        <f>'Q (t)'!V95</f>
        <v>0</v>
      </c>
      <c r="AO95" s="183">
        <f t="shared" si="51"/>
        <v>0</v>
      </c>
      <c r="AP95" s="184">
        <f t="shared" ref="AP95:AW109" si="94">H95*Y95</f>
        <v>168.60343490000002</v>
      </c>
      <c r="AQ95" s="178">
        <f t="shared" si="94"/>
        <v>0</v>
      </c>
      <c r="AR95" s="178">
        <f t="shared" si="94"/>
        <v>0</v>
      </c>
      <c r="AS95" s="179">
        <f t="shared" si="94"/>
        <v>0</v>
      </c>
      <c r="AT95" s="178">
        <f t="shared" si="94"/>
        <v>0</v>
      </c>
      <c r="AU95" s="178">
        <f t="shared" si="94"/>
        <v>0</v>
      </c>
      <c r="AV95" s="178">
        <f t="shared" si="94"/>
        <v>0</v>
      </c>
      <c r="AW95" s="179">
        <f t="shared" si="94"/>
        <v>0</v>
      </c>
      <c r="AX95" s="178">
        <f t="shared" si="42"/>
        <v>0</v>
      </c>
      <c r="AY95" s="178">
        <f t="shared" si="42"/>
        <v>0</v>
      </c>
      <c r="AZ95" s="179">
        <f t="shared" si="42"/>
        <v>0</v>
      </c>
      <c r="BA95" s="184">
        <f t="shared" si="41"/>
        <v>170.394755874</v>
      </c>
      <c r="BB95" s="178">
        <f t="shared" si="41"/>
        <v>0</v>
      </c>
      <c r="BC95" s="184">
        <f t="shared" si="41"/>
        <v>0</v>
      </c>
      <c r="BD95" s="178">
        <f t="shared" si="41"/>
        <v>0</v>
      </c>
      <c r="BE95" s="251">
        <f t="shared" si="53"/>
        <v>1</v>
      </c>
      <c r="BF95" s="252">
        <f t="shared" si="54"/>
        <v>20561.394500000002</v>
      </c>
      <c r="BH95" s="262">
        <f t="shared" si="89"/>
        <v>0</v>
      </c>
      <c r="BI95" s="262">
        <f t="shared" si="90"/>
        <v>168.60343490000002</v>
      </c>
      <c r="BJ95" s="262">
        <f t="shared" si="91"/>
        <v>0</v>
      </c>
      <c r="BK95" s="263">
        <f t="shared" si="92"/>
        <v>170.394755874</v>
      </c>
      <c r="BL95" s="269">
        <f t="shared" si="93"/>
        <v>0</v>
      </c>
      <c r="BM95" s="264">
        <f t="shared" si="55"/>
        <v>338.99819077400002</v>
      </c>
      <c r="BO95" s="732">
        <f t="shared" si="56"/>
        <v>16.487120597486712</v>
      </c>
    </row>
    <row r="96" spans="2:67" ht="15" customHeight="1" x14ac:dyDescent="0.25">
      <c r="B96" s="156">
        <f t="shared" ref="B96:B111" si="95">B95+1</f>
        <v>2</v>
      </c>
      <c r="C96" s="180" t="s">
        <v>122</v>
      </c>
      <c r="D96" s="181"/>
      <c r="E96" s="210" t="s">
        <v>118</v>
      </c>
      <c r="G96" s="488">
        <f>'Cust Specific'!S193</f>
        <v>0</v>
      </c>
      <c r="H96" s="489">
        <f>'Cust Specific'!S196</f>
        <v>8.2000000000000007E-3</v>
      </c>
      <c r="I96" s="471"/>
      <c r="J96" s="471"/>
      <c r="K96" s="472"/>
      <c r="L96" s="471"/>
      <c r="M96" s="471"/>
      <c r="N96" s="471"/>
      <c r="O96" s="472"/>
      <c r="P96" s="471"/>
      <c r="Q96" s="471"/>
      <c r="R96" s="472"/>
      <c r="S96" s="489">
        <f>'Cust Specific'!S194</f>
        <v>0.10829999999999999</v>
      </c>
      <c r="T96" s="494">
        <f>'Cust Specific'!S195</f>
        <v>0</v>
      </c>
      <c r="U96" s="491"/>
      <c r="V96" s="492"/>
      <c r="X96" s="183">
        <f>'Q (t)'!G96</f>
        <v>365</v>
      </c>
      <c r="Y96" s="184">
        <f>'Q (t)'!H96</f>
        <v>24905.050000000003</v>
      </c>
      <c r="Z96" s="178">
        <f>'Q (t)'!I96</f>
        <v>0</v>
      </c>
      <c r="AA96" s="178">
        <f>'Q (t)'!J96</f>
        <v>0</v>
      </c>
      <c r="AB96" s="179">
        <f>'Q (t)'!K96</f>
        <v>0</v>
      </c>
      <c r="AC96" s="178">
        <f>'Q (t)'!L96</f>
        <v>0</v>
      </c>
      <c r="AD96" s="178">
        <f>'Q (t)'!M96</f>
        <v>0</v>
      </c>
      <c r="AE96" s="178">
        <f>'Q (t)'!N96</f>
        <v>0</v>
      </c>
      <c r="AF96" s="179">
        <f>'Q (t)'!O96</f>
        <v>0</v>
      </c>
      <c r="AG96" s="178">
        <f>'Q (t)'!P96</f>
        <v>0</v>
      </c>
      <c r="AH96" s="178">
        <f>'Q (t)'!Q96</f>
        <v>0</v>
      </c>
      <c r="AI96" s="179">
        <f>'Q (t)'!R96</f>
        <v>0</v>
      </c>
      <c r="AJ96" s="184">
        <f>'Q (t)'!S96</f>
        <v>2062195.2500000002</v>
      </c>
      <c r="AK96" s="178">
        <f>'Q (t)'!T96</f>
        <v>2062195.2500000002</v>
      </c>
      <c r="AL96" s="184">
        <f>'Q (t)'!U96</f>
        <v>0</v>
      </c>
      <c r="AM96" s="179">
        <f>'Q (t)'!V96</f>
        <v>0</v>
      </c>
      <c r="AO96" s="183">
        <f t="shared" si="51"/>
        <v>0</v>
      </c>
      <c r="AP96" s="184">
        <f t="shared" si="94"/>
        <v>204.22141000000005</v>
      </c>
      <c r="AQ96" s="178">
        <f t="shared" si="94"/>
        <v>0</v>
      </c>
      <c r="AR96" s="178">
        <f t="shared" si="94"/>
        <v>0</v>
      </c>
      <c r="AS96" s="179">
        <f t="shared" si="94"/>
        <v>0</v>
      </c>
      <c r="AT96" s="178">
        <f t="shared" si="94"/>
        <v>0</v>
      </c>
      <c r="AU96" s="178">
        <f t="shared" si="94"/>
        <v>0</v>
      </c>
      <c r="AV96" s="178">
        <f t="shared" si="94"/>
        <v>0</v>
      </c>
      <c r="AW96" s="179">
        <f t="shared" si="94"/>
        <v>0</v>
      </c>
      <c r="AX96" s="178">
        <f t="shared" si="42"/>
        <v>0</v>
      </c>
      <c r="AY96" s="178">
        <f t="shared" si="42"/>
        <v>0</v>
      </c>
      <c r="AZ96" s="179">
        <f t="shared" si="42"/>
        <v>0</v>
      </c>
      <c r="BA96" s="184">
        <f t="shared" si="41"/>
        <v>223.335745575</v>
      </c>
      <c r="BB96" s="178">
        <f t="shared" si="41"/>
        <v>0</v>
      </c>
      <c r="BC96" s="184">
        <f t="shared" si="41"/>
        <v>0</v>
      </c>
      <c r="BD96" s="178">
        <f t="shared" si="41"/>
        <v>0</v>
      </c>
      <c r="BE96" s="251">
        <f>X96/$BE$7</f>
        <v>1</v>
      </c>
      <c r="BF96" s="252">
        <f t="shared" si="54"/>
        <v>24905.050000000003</v>
      </c>
      <c r="BH96" s="262">
        <f t="shared" si="89"/>
        <v>0</v>
      </c>
      <c r="BI96" s="262">
        <f t="shared" si="90"/>
        <v>204.22141000000005</v>
      </c>
      <c r="BJ96" s="262">
        <f t="shared" si="91"/>
        <v>0</v>
      </c>
      <c r="BK96" s="263">
        <f t="shared" si="92"/>
        <v>223.335745575</v>
      </c>
      <c r="BL96" s="269">
        <f t="shared" si="93"/>
        <v>0</v>
      </c>
      <c r="BM96" s="264">
        <f>SUM(BH96:BL96)</f>
        <v>427.55715557500002</v>
      </c>
      <c r="BO96" s="732">
        <f t="shared" si="56"/>
        <v>17.167488343729485</v>
      </c>
    </row>
    <row r="97" spans="2:67" ht="15" customHeight="1" x14ac:dyDescent="0.25">
      <c r="B97" s="156">
        <f t="shared" si="95"/>
        <v>3</v>
      </c>
      <c r="C97" s="180" t="s">
        <v>123</v>
      </c>
      <c r="D97" s="181"/>
      <c r="E97" s="210" t="s">
        <v>118</v>
      </c>
      <c r="G97" s="488">
        <f>'Cust Specific'!S200</f>
        <v>559.94000000000005</v>
      </c>
      <c r="H97" s="489">
        <f>'Cust Specific'!S203</f>
        <v>0</v>
      </c>
      <c r="I97" s="471"/>
      <c r="J97" s="471"/>
      <c r="K97" s="472"/>
      <c r="L97" s="471"/>
      <c r="M97" s="471"/>
      <c r="N97" s="471"/>
      <c r="O97" s="472"/>
      <c r="P97" s="471"/>
      <c r="Q97" s="471"/>
      <c r="R97" s="472"/>
      <c r="S97" s="489">
        <f>'Cust Specific'!S201</f>
        <v>0</v>
      </c>
      <c r="T97" s="494">
        <f>'Cust Specific'!S202</f>
        <v>0</v>
      </c>
      <c r="U97" s="491"/>
      <c r="V97" s="492"/>
      <c r="X97" s="183">
        <f>'Q (t)'!G97</f>
        <v>365</v>
      </c>
      <c r="Y97" s="184">
        <f>'Q (t)'!H97</f>
        <v>8861.0153499999997</v>
      </c>
      <c r="Z97" s="178">
        <f>'Q (t)'!I97</f>
        <v>0</v>
      </c>
      <c r="AA97" s="178">
        <f>'Q (t)'!J97</f>
        <v>0</v>
      </c>
      <c r="AB97" s="179">
        <f>'Q (t)'!K97</f>
        <v>0</v>
      </c>
      <c r="AC97" s="178">
        <f>'Q (t)'!L97</f>
        <v>0</v>
      </c>
      <c r="AD97" s="178">
        <f>'Q (t)'!M97</f>
        <v>0</v>
      </c>
      <c r="AE97" s="178">
        <f>'Q (t)'!N97</f>
        <v>0</v>
      </c>
      <c r="AF97" s="179">
        <f>'Q (t)'!O97</f>
        <v>0</v>
      </c>
      <c r="AG97" s="178">
        <f>'Q (t)'!P97</f>
        <v>0</v>
      </c>
      <c r="AH97" s="178">
        <f>'Q (t)'!Q97</f>
        <v>0</v>
      </c>
      <c r="AI97" s="179">
        <f>'Q (t)'!R97</f>
        <v>0</v>
      </c>
      <c r="AJ97" s="184">
        <f>'Q (t)'!S97</f>
        <v>1002255.69</v>
      </c>
      <c r="AK97" s="178">
        <f>'Q (t)'!T97</f>
        <v>1825000</v>
      </c>
      <c r="AL97" s="184">
        <f>'Q (t)'!U97</f>
        <v>0</v>
      </c>
      <c r="AM97" s="179">
        <f>'Q (t)'!V97</f>
        <v>0</v>
      </c>
      <c r="AO97" s="183">
        <f t="shared" si="51"/>
        <v>204.37810000000002</v>
      </c>
      <c r="AP97" s="184">
        <f t="shared" si="94"/>
        <v>0</v>
      </c>
      <c r="AQ97" s="178">
        <f t="shared" si="94"/>
        <v>0</v>
      </c>
      <c r="AR97" s="178">
        <f t="shared" si="94"/>
        <v>0</v>
      </c>
      <c r="AS97" s="179">
        <f t="shared" si="94"/>
        <v>0</v>
      </c>
      <c r="AT97" s="178">
        <f t="shared" si="94"/>
        <v>0</v>
      </c>
      <c r="AU97" s="178">
        <f t="shared" si="94"/>
        <v>0</v>
      </c>
      <c r="AV97" s="178">
        <f t="shared" si="94"/>
        <v>0</v>
      </c>
      <c r="AW97" s="179">
        <f t="shared" si="94"/>
        <v>0</v>
      </c>
      <c r="AX97" s="178">
        <f t="shared" si="42"/>
        <v>0</v>
      </c>
      <c r="AY97" s="178">
        <f t="shared" si="42"/>
        <v>0</v>
      </c>
      <c r="AZ97" s="179">
        <f t="shared" si="42"/>
        <v>0</v>
      </c>
      <c r="BA97" s="184">
        <f t="shared" si="41"/>
        <v>0</v>
      </c>
      <c r="BB97" s="178">
        <f t="shared" si="41"/>
        <v>0</v>
      </c>
      <c r="BC97" s="184">
        <f t="shared" si="41"/>
        <v>0</v>
      </c>
      <c r="BD97" s="178">
        <f t="shared" si="41"/>
        <v>0</v>
      </c>
      <c r="BE97" s="251">
        <f>X97/$BE$7</f>
        <v>1</v>
      </c>
      <c r="BF97" s="252">
        <f t="shared" si="54"/>
        <v>8861.0153499999997</v>
      </c>
      <c r="BH97" s="262">
        <f t="shared" si="89"/>
        <v>204.37810000000002</v>
      </c>
      <c r="BI97" s="262">
        <f t="shared" si="90"/>
        <v>0</v>
      </c>
      <c r="BJ97" s="262">
        <f t="shared" si="91"/>
        <v>0</v>
      </c>
      <c r="BK97" s="263">
        <f t="shared" si="92"/>
        <v>0</v>
      </c>
      <c r="BL97" s="269">
        <f t="shared" si="93"/>
        <v>0</v>
      </c>
      <c r="BM97" s="264">
        <f>SUM(BH97:BL97)</f>
        <v>204.37810000000002</v>
      </c>
      <c r="BO97" s="732">
        <f t="shared" si="56"/>
        <v>23.064862425726417</v>
      </c>
    </row>
    <row r="98" spans="2:67" ht="15" customHeight="1" x14ac:dyDescent="0.25">
      <c r="B98" s="156">
        <f t="shared" si="95"/>
        <v>4</v>
      </c>
      <c r="C98" s="180" t="s">
        <v>119</v>
      </c>
      <c r="D98" s="181"/>
      <c r="E98" s="210" t="s">
        <v>118</v>
      </c>
      <c r="G98" s="488">
        <f>'Cust Specific'!S207</f>
        <v>0</v>
      </c>
      <c r="H98" s="489">
        <f>'Cust Specific'!S210</f>
        <v>8.2000000000000007E-3</v>
      </c>
      <c r="I98" s="471"/>
      <c r="J98" s="471"/>
      <c r="K98" s="472"/>
      <c r="L98" s="471"/>
      <c r="M98" s="471"/>
      <c r="N98" s="471"/>
      <c r="O98" s="472"/>
      <c r="P98" s="471"/>
      <c r="Q98" s="471"/>
      <c r="R98" s="472"/>
      <c r="S98" s="489">
        <f>'Cust Specific'!S208</f>
        <v>0.10829999999999999</v>
      </c>
      <c r="T98" s="494">
        <f>'Cust Specific'!S209</f>
        <v>0</v>
      </c>
      <c r="U98" s="491"/>
      <c r="V98" s="492"/>
      <c r="X98" s="183">
        <f>'Q (t)'!G98</f>
        <v>365</v>
      </c>
      <c r="Y98" s="184">
        <f>'Q (t)'!H98</f>
        <v>23878.657950000001</v>
      </c>
      <c r="Z98" s="178">
        <f>'Q (t)'!I98</f>
        <v>0</v>
      </c>
      <c r="AA98" s="178">
        <f>'Q (t)'!J98</f>
        <v>0</v>
      </c>
      <c r="AB98" s="179">
        <f>'Q (t)'!K98</f>
        <v>0</v>
      </c>
      <c r="AC98" s="178">
        <f>'Q (t)'!L98</f>
        <v>0</v>
      </c>
      <c r="AD98" s="178">
        <f>'Q (t)'!M98</f>
        <v>0</v>
      </c>
      <c r="AE98" s="178">
        <f>'Q (t)'!N98</f>
        <v>0</v>
      </c>
      <c r="AF98" s="179">
        <f>'Q (t)'!O98</f>
        <v>0</v>
      </c>
      <c r="AG98" s="178">
        <f>'Q (t)'!P98</f>
        <v>0</v>
      </c>
      <c r="AH98" s="178">
        <f>'Q (t)'!Q98</f>
        <v>0</v>
      </c>
      <c r="AI98" s="179">
        <f>'Q (t)'!R98</f>
        <v>0</v>
      </c>
      <c r="AJ98" s="184">
        <f>'Q (t)'!S98</f>
        <v>2490079.2749999999</v>
      </c>
      <c r="AK98" s="178">
        <f>'Q (t)'!T98</f>
        <v>2500878.5299999998</v>
      </c>
      <c r="AL98" s="184">
        <f>'Q (t)'!U98</f>
        <v>0</v>
      </c>
      <c r="AM98" s="179">
        <f>'Q (t)'!V98</f>
        <v>0</v>
      </c>
      <c r="AO98" s="183">
        <f t="shared" si="51"/>
        <v>0</v>
      </c>
      <c r="AP98" s="184">
        <f t="shared" si="94"/>
        <v>195.80499519000003</v>
      </c>
      <c r="AQ98" s="178">
        <f t="shared" si="94"/>
        <v>0</v>
      </c>
      <c r="AR98" s="178">
        <f t="shared" si="94"/>
        <v>0</v>
      </c>
      <c r="AS98" s="179">
        <f t="shared" si="94"/>
        <v>0</v>
      </c>
      <c r="AT98" s="178">
        <f t="shared" si="94"/>
        <v>0</v>
      </c>
      <c r="AU98" s="178">
        <f t="shared" si="94"/>
        <v>0</v>
      </c>
      <c r="AV98" s="178">
        <f t="shared" si="94"/>
        <v>0</v>
      </c>
      <c r="AW98" s="179">
        <f t="shared" si="94"/>
        <v>0</v>
      </c>
      <c r="AX98" s="178">
        <f t="shared" si="42"/>
        <v>0</v>
      </c>
      <c r="AY98" s="178">
        <f t="shared" si="42"/>
        <v>0</v>
      </c>
      <c r="AZ98" s="179">
        <f t="shared" si="42"/>
        <v>0</v>
      </c>
      <c r="BA98" s="184">
        <f t="shared" si="41"/>
        <v>269.67558548249997</v>
      </c>
      <c r="BB98" s="178">
        <f t="shared" si="41"/>
        <v>0</v>
      </c>
      <c r="BC98" s="184">
        <f t="shared" si="41"/>
        <v>0</v>
      </c>
      <c r="BD98" s="178">
        <f t="shared" si="41"/>
        <v>0</v>
      </c>
      <c r="BE98" s="251">
        <f t="shared" si="53"/>
        <v>1</v>
      </c>
      <c r="BF98" s="252">
        <f t="shared" si="54"/>
        <v>23878.657950000001</v>
      </c>
      <c r="BH98" s="262">
        <f t="shared" si="89"/>
        <v>0</v>
      </c>
      <c r="BI98" s="262">
        <f t="shared" si="90"/>
        <v>195.80499519000003</v>
      </c>
      <c r="BJ98" s="262">
        <f t="shared" si="91"/>
        <v>0</v>
      </c>
      <c r="BK98" s="263">
        <f t="shared" si="92"/>
        <v>269.67558548249997</v>
      </c>
      <c r="BL98" s="269">
        <f t="shared" si="93"/>
        <v>0</v>
      </c>
      <c r="BM98" s="264">
        <f t="shared" si="55"/>
        <v>465.48058067249997</v>
      </c>
      <c r="BO98" s="732">
        <f t="shared" si="56"/>
        <v>19.493582162246263</v>
      </c>
    </row>
    <row r="99" spans="2:67" ht="15" customHeight="1" x14ac:dyDescent="0.25">
      <c r="B99" s="156">
        <f t="shared" si="95"/>
        <v>5</v>
      </c>
      <c r="C99" s="180" t="s">
        <v>120</v>
      </c>
      <c r="D99" s="181"/>
      <c r="E99" s="210" t="s">
        <v>118</v>
      </c>
      <c r="G99" s="488">
        <f>'Cust Specific'!S214</f>
        <v>0</v>
      </c>
      <c r="H99" s="489">
        <f>'Cust Specific'!S217</f>
        <v>8.2000000000000007E-3</v>
      </c>
      <c r="I99" s="471"/>
      <c r="J99" s="471"/>
      <c r="K99" s="472"/>
      <c r="L99" s="471"/>
      <c r="M99" s="471"/>
      <c r="N99" s="471"/>
      <c r="O99" s="472"/>
      <c r="P99" s="471"/>
      <c r="Q99" s="471"/>
      <c r="R99" s="472"/>
      <c r="S99" s="489">
        <f>'Cust Specific'!S215</f>
        <v>0.10829999999999999</v>
      </c>
      <c r="T99" s="494">
        <f>'Cust Specific'!S216</f>
        <v>0</v>
      </c>
      <c r="U99" s="491"/>
      <c r="V99" s="492"/>
      <c r="X99" s="183">
        <f>'Q (t)'!G99</f>
        <v>365</v>
      </c>
      <c r="Y99" s="184">
        <f>'Q (t)'!H99</f>
        <v>2289.5800020000001</v>
      </c>
      <c r="Z99" s="178">
        <f>'Q (t)'!I99</f>
        <v>0</v>
      </c>
      <c r="AA99" s="178">
        <f>'Q (t)'!J99</f>
        <v>0</v>
      </c>
      <c r="AB99" s="179">
        <f>'Q (t)'!K99</f>
        <v>0</v>
      </c>
      <c r="AC99" s="178">
        <f>'Q (t)'!L99</f>
        <v>0</v>
      </c>
      <c r="AD99" s="178">
        <f>'Q (t)'!M99</f>
        <v>0</v>
      </c>
      <c r="AE99" s="178">
        <f>'Q (t)'!N99</f>
        <v>0</v>
      </c>
      <c r="AF99" s="179">
        <f>'Q (t)'!O99</f>
        <v>0</v>
      </c>
      <c r="AG99" s="178">
        <f>'Q (t)'!P99</f>
        <v>0</v>
      </c>
      <c r="AH99" s="178">
        <f>'Q (t)'!Q99</f>
        <v>0</v>
      </c>
      <c r="AI99" s="179">
        <f>'Q (t)'!R99</f>
        <v>0</v>
      </c>
      <c r="AJ99" s="184">
        <f>'Q (t)'!S99</f>
        <v>981071.09</v>
      </c>
      <c r="AK99" s="178">
        <f>'Q (t)'!T99</f>
        <v>1919124.375</v>
      </c>
      <c r="AL99" s="184">
        <f>'Q (t)'!U99</f>
        <v>0</v>
      </c>
      <c r="AM99" s="179">
        <f>'Q (t)'!V99</f>
        <v>0</v>
      </c>
      <c r="AO99" s="183">
        <f t="shared" si="51"/>
        <v>0</v>
      </c>
      <c r="AP99" s="184">
        <f t="shared" si="94"/>
        <v>18.774556016400002</v>
      </c>
      <c r="AQ99" s="178">
        <f t="shared" si="94"/>
        <v>0</v>
      </c>
      <c r="AR99" s="178">
        <f t="shared" si="94"/>
        <v>0</v>
      </c>
      <c r="AS99" s="179">
        <f t="shared" si="94"/>
        <v>0</v>
      </c>
      <c r="AT99" s="178">
        <f t="shared" si="94"/>
        <v>0</v>
      </c>
      <c r="AU99" s="178">
        <f t="shared" si="94"/>
        <v>0</v>
      </c>
      <c r="AV99" s="178">
        <f t="shared" si="94"/>
        <v>0</v>
      </c>
      <c r="AW99" s="179">
        <f t="shared" si="94"/>
        <v>0</v>
      </c>
      <c r="AX99" s="178">
        <f t="shared" si="42"/>
        <v>0</v>
      </c>
      <c r="AY99" s="178">
        <f t="shared" si="42"/>
        <v>0</v>
      </c>
      <c r="AZ99" s="179">
        <f t="shared" si="42"/>
        <v>0</v>
      </c>
      <c r="BA99" s="184">
        <f t="shared" si="41"/>
        <v>106.24999904699999</v>
      </c>
      <c r="BB99" s="178">
        <f t="shared" si="41"/>
        <v>0</v>
      </c>
      <c r="BC99" s="184">
        <f t="shared" si="41"/>
        <v>0</v>
      </c>
      <c r="BD99" s="178">
        <f t="shared" si="41"/>
        <v>0</v>
      </c>
      <c r="BE99" s="251">
        <f t="shared" si="53"/>
        <v>1</v>
      </c>
      <c r="BF99" s="252">
        <f t="shared" si="54"/>
        <v>2289.5800020000001</v>
      </c>
      <c r="BH99" s="262">
        <f t="shared" si="89"/>
        <v>0</v>
      </c>
      <c r="BI99" s="262">
        <f t="shared" si="90"/>
        <v>18.774556016400002</v>
      </c>
      <c r="BJ99" s="262">
        <f t="shared" si="91"/>
        <v>0</v>
      </c>
      <c r="BK99" s="263">
        <f t="shared" si="92"/>
        <v>106.24999904699999</v>
      </c>
      <c r="BL99" s="269">
        <f t="shared" si="93"/>
        <v>0</v>
      </c>
      <c r="BM99" s="264">
        <f t="shared" si="55"/>
        <v>125.02455506339999</v>
      </c>
      <c r="BO99" s="732">
        <f t="shared" si="56"/>
        <v>54.605890580013885</v>
      </c>
    </row>
    <row r="100" spans="2:67" ht="15" customHeight="1" x14ac:dyDescent="0.25">
      <c r="B100" s="156">
        <f t="shared" si="95"/>
        <v>6</v>
      </c>
      <c r="C100" s="180" t="s">
        <v>121</v>
      </c>
      <c r="D100" s="181"/>
      <c r="E100" s="210" t="s">
        <v>118</v>
      </c>
      <c r="G100" s="488">
        <f>'Cust Specific'!S221</f>
        <v>928.6</v>
      </c>
      <c r="H100" s="489">
        <f>'Cust Specific'!S224</f>
        <v>0</v>
      </c>
      <c r="I100" s="471"/>
      <c r="J100" s="471"/>
      <c r="K100" s="472"/>
      <c r="L100" s="471"/>
      <c r="M100" s="471"/>
      <c r="N100" s="471"/>
      <c r="O100" s="472"/>
      <c r="P100" s="471"/>
      <c r="Q100" s="471"/>
      <c r="R100" s="472"/>
      <c r="S100" s="489">
        <f>'Cust Specific'!S222</f>
        <v>0</v>
      </c>
      <c r="T100" s="494">
        <f>'Cust Specific'!S223</f>
        <v>0</v>
      </c>
      <c r="U100" s="491"/>
      <c r="V100" s="492"/>
      <c r="X100" s="183">
        <f>'Q (t)'!G100</f>
        <v>365</v>
      </c>
      <c r="Y100" s="184">
        <f>'Q (t)'!H100</f>
        <v>24772.561650000003</v>
      </c>
      <c r="Z100" s="178">
        <f>'Q (t)'!I100</f>
        <v>0</v>
      </c>
      <c r="AA100" s="178">
        <f>'Q (t)'!J100</f>
        <v>0</v>
      </c>
      <c r="AB100" s="179">
        <f>'Q (t)'!K100</f>
        <v>0</v>
      </c>
      <c r="AC100" s="178">
        <f>'Q (t)'!L100</f>
        <v>0</v>
      </c>
      <c r="AD100" s="178">
        <f>'Q (t)'!M100</f>
        <v>0</v>
      </c>
      <c r="AE100" s="178">
        <f>'Q (t)'!N100</f>
        <v>0</v>
      </c>
      <c r="AF100" s="179">
        <f>'Q (t)'!O100</f>
        <v>0</v>
      </c>
      <c r="AG100" s="178">
        <f>'Q (t)'!P100</f>
        <v>0</v>
      </c>
      <c r="AH100" s="178">
        <f>'Q (t)'!Q100</f>
        <v>0</v>
      </c>
      <c r="AI100" s="179">
        <f>'Q (t)'!R100</f>
        <v>0</v>
      </c>
      <c r="AJ100" s="184">
        <f>'Q (t)'!S100</f>
        <v>1781500.395</v>
      </c>
      <c r="AK100" s="178">
        <f>'Q (t)'!T100</f>
        <v>1825000</v>
      </c>
      <c r="AL100" s="184">
        <f>'Q (t)'!U100</f>
        <v>0</v>
      </c>
      <c r="AM100" s="179">
        <f>'Q (t)'!V100</f>
        <v>0</v>
      </c>
      <c r="AO100" s="183">
        <f t="shared" si="51"/>
        <v>338.93900000000002</v>
      </c>
      <c r="AP100" s="184">
        <f t="shared" si="94"/>
        <v>0</v>
      </c>
      <c r="AQ100" s="178">
        <f t="shared" si="94"/>
        <v>0</v>
      </c>
      <c r="AR100" s="178">
        <f t="shared" si="94"/>
        <v>0</v>
      </c>
      <c r="AS100" s="179">
        <f t="shared" si="94"/>
        <v>0</v>
      </c>
      <c r="AT100" s="178">
        <f t="shared" si="94"/>
        <v>0</v>
      </c>
      <c r="AU100" s="178">
        <f t="shared" si="94"/>
        <v>0</v>
      </c>
      <c r="AV100" s="178">
        <f t="shared" si="94"/>
        <v>0</v>
      </c>
      <c r="AW100" s="179">
        <f t="shared" si="94"/>
        <v>0</v>
      </c>
      <c r="AX100" s="178">
        <f t="shared" si="42"/>
        <v>0</v>
      </c>
      <c r="AY100" s="178">
        <f t="shared" si="42"/>
        <v>0</v>
      </c>
      <c r="AZ100" s="179">
        <f t="shared" si="42"/>
        <v>0</v>
      </c>
      <c r="BA100" s="184">
        <f t="shared" si="41"/>
        <v>0</v>
      </c>
      <c r="BB100" s="178">
        <f t="shared" si="41"/>
        <v>0</v>
      </c>
      <c r="BC100" s="184">
        <f t="shared" si="41"/>
        <v>0</v>
      </c>
      <c r="BD100" s="178">
        <f t="shared" si="41"/>
        <v>0</v>
      </c>
      <c r="BE100" s="251">
        <f t="shared" si="53"/>
        <v>1</v>
      </c>
      <c r="BF100" s="252">
        <f t="shared" si="54"/>
        <v>24772.561650000003</v>
      </c>
      <c r="BH100" s="262">
        <f t="shared" si="89"/>
        <v>338.93900000000002</v>
      </c>
      <c r="BI100" s="262">
        <f t="shared" si="90"/>
        <v>0</v>
      </c>
      <c r="BJ100" s="262">
        <f t="shared" si="91"/>
        <v>0</v>
      </c>
      <c r="BK100" s="263">
        <f t="shared" si="92"/>
        <v>0</v>
      </c>
      <c r="BL100" s="269">
        <f t="shared" si="93"/>
        <v>0</v>
      </c>
      <c r="BM100" s="264">
        <f t="shared" si="55"/>
        <v>338.93900000000002</v>
      </c>
      <c r="BO100" s="732">
        <f t="shared" si="56"/>
        <v>13.682032758206899</v>
      </c>
    </row>
    <row r="101" spans="2:67" ht="15" customHeight="1" x14ac:dyDescent="0.25">
      <c r="B101" s="156"/>
      <c r="C101" s="126" t="s">
        <v>124</v>
      </c>
      <c r="D101" s="202"/>
      <c r="E101" s="202"/>
      <c r="G101" s="493"/>
      <c r="H101" s="490"/>
      <c r="I101" s="471"/>
      <c r="J101" s="471"/>
      <c r="K101" s="472"/>
      <c r="L101" s="471"/>
      <c r="M101" s="471"/>
      <c r="N101" s="471"/>
      <c r="O101" s="472"/>
      <c r="P101" s="471"/>
      <c r="Q101" s="471"/>
      <c r="R101" s="472"/>
      <c r="S101" s="490"/>
      <c r="T101" s="471"/>
      <c r="U101" s="490"/>
      <c r="V101" s="472"/>
      <c r="X101" s="183">
        <f>'Q (t)'!G101</f>
        <v>0</v>
      </c>
      <c r="Y101" s="184">
        <f>'Q (t)'!H101</f>
        <v>0</v>
      </c>
      <c r="Z101" s="178">
        <f>'Q (t)'!I101</f>
        <v>0</v>
      </c>
      <c r="AA101" s="178">
        <f>'Q (t)'!J101</f>
        <v>0</v>
      </c>
      <c r="AB101" s="179">
        <f>'Q (t)'!K101</f>
        <v>0</v>
      </c>
      <c r="AC101" s="178">
        <f>'Q (t)'!L101</f>
        <v>0</v>
      </c>
      <c r="AD101" s="178">
        <f>'Q (t)'!M101</f>
        <v>0</v>
      </c>
      <c r="AE101" s="178">
        <f>'Q (t)'!N101</f>
        <v>0</v>
      </c>
      <c r="AF101" s="179">
        <f>'Q (t)'!O101</f>
        <v>0</v>
      </c>
      <c r="AG101" s="178">
        <f>'Q (t)'!P101</f>
        <v>0</v>
      </c>
      <c r="AH101" s="178">
        <f>'Q (t)'!Q101</f>
        <v>0</v>
      </c>
      <c r="AI101" s="179">
        <f>'Q (t)'!R101</f>
        <v>0</v>
      </c>
      <c r="AJ101" s="184">
        <f>'Q (t)'!S101</f>
        <v>0</v>
      </c>
      <c r="AK101" s="178">
        <f>'Q (t)'!T101</f>
        <v>0</v>
      </c>
      <c r="AL101" s="184">
        <f>'Q (t)'!U101</f>
        <v>0</v>
      </c>
      <c r="AM101" s="179">
        <f>'Q (t)'!V101</f>
        <v>0</v>
      </c>
      <c r="AO101" s="183">
        <f t="shared" si="51"/>
        <v>0</v>
      </c>
      <c r="AP101" s="184">
        <f t="shared" si="94"/>
        <v>0</v>
      </c>
      <c r="AQ101" s="178">
        <f t="shared" si="94"/>
        <v>0</v>
      </c>
      <c r="AR101" s="178">
        <f t="shared" si="94"/>
        <v>0</v>
      </c>
      <c r="AS101" s="179">
        <f t="shared" si="94"/>
        <v>0</v>
      </c>
      <c r="AT101" s="178">
        <f t="shared" si="94"/>
        <v>0</v>
      </c>
      <c r="AU101" s="178">
        <f t="shared" si="94"/>
        <v>0</v>
      </c>
      <c r="AV101" s="178">
        <f t="shared" si="94"/>
        <v>0</v>
      </c>
      <c r="AW101" s="179">
        <f t="shared" si="94"/>
        <v>0</v>
      </c>
      <c r="AX101" s="178">
        <f t="shared" si="42"/>
        <v>0</v>
      </c>
      <c r="AY101" s="178">
        <f t="shared" si="42"/>
        <v>0</v>
      </c>
      <c r="AZ101" s="179">
        <f t="shared" si="42"/>
        <v>0</v>
      </c>
      <c r="BA101" s="184">
        <f t="shared" si="41"/>
        <v>0</v>
      </c>
      <c r="BB101" s="178">
        <f t="shared" si="41"/>
        <v>0</v>
      </c>
      <c r="BC101" s="184">
        <f t="shared" si="41"/>
        <v>0</v>
      </c>
      <c r="BD101" s="178">
        <f t="shared" si="41"/>
        <v>0</v>
      </c>
      <c r="BE101" s="251">
        <f t="shared" si="53"/>
        <v>0</v>
      </c>
      <c r="BF101" s="252">
        <f t="shared" si="54"/>
        <v>0</v>
      </c>
      <c r="BH101" s="259">
        <f>SUBTOTAL(9,BH102:BH111)</f>
        <v>2434.5718999999999</v>
      </c>
      <c r="BI101" s="259">
        <f t="shared" ref="BI101:BL101" si="96">SUBTOTAL(9,BI102:BI111)</f>
        <v>173.84</v>
      </c>
      <c r="BJ101" s="259">
        <f t="shared" si="96"/>
        <v>0</v>
      </c>
      <c r="BK101" s="259">
        <f t="shared" si="96"/>
        <v>3501.1743365859998</v>
      </c>
      <c r="BL101" s="259">
        <f t="shared" si="96"/>
        <v>0</v>
      </c>
      <c r="BM101" s="264">
        <f t="shared" si="55"/>
        <v>6109.5862365859994</v>
      </c>
      <c r="BO101" s="732" t="str">
        <f t="shared" si="56"/>
        <v/>
      </c>
    </row>
    <row r="102" spans="2:67" ht="15" customHeight="1" x14ac:dyDescent="0.25">
      <c r="B102" s="156">
        <f>B100+1</f>
        <v>7</v>
      </c>
      <c r="C102" s="180" t="s">
        <v>125</v>
      </c>
      <c r="D102" s="181"/>
      <c r="E102" s="210" t="s">
        <v>126</v>
      </c>
      <c r="G102" s="488">
        <f>'Cust Specific'!S232</f>
        <v>3487.2</v>
      </c>
      <c r="H102" s="489">
        <f>'Cust Specific'!S235</f>
        <v>0</v>
      </c>
      <c r="I102" s="471"/>
      <c r="J102" s="471"/>
      <c r="K102" s="472"/>
      <c r="L102" s="471"/>
      <c r="M102" s="471"/>
      <c r="N102" s="471"/>
      <c r="O102" s="472"/>
      <c r="P102" s="471"/>
      <c r="Q102" s="471"/>
      <c r="R102" s="472"/>
      <c r="S102" s="489">
        <f>'Cust Specific'!S233</f>
        <v>0</v>
      </c>
      <c r="T102" s="494">
        <f>'Cust Specific'!S234</f>
        <v>0</v>
      </c>
      <c r="U102" s="491"/>
      <c r="V102" s="492"/>
      <c r="X102" s="183">
        <f>'Q (t)'!G102</f>
        <v>365</v>
      </c>
      <c r="Y102" s="184">
        <f>'Q (t)'!H102</f>
        <v>74000</v>
      </c>
      <c r="Z102" s="178">
        <f>'Q (t)'!I102</f>
        <v>0</v>
      </c>
      <c r="AA102" s="178">
        <f>'Q (t)'!J102</f>
        <v>0</v>
      </c>
      <c r="AB102" s="179">
        <f>'Q (t)'!K102</f>
        <v>0</v>
      </c>
      <c r="AC102" s="178">
        <f>'Q (t)'!L102</f>
        <v>0</v>
      </c>
      <c r="AD102" s="178">
        <f>'Q (t)'!M102</f>
        <v>0</v>
      </c>
      <c r="AE102" s="178">
        <f>'Q (t)'!N102</f>
        <v>0</v>
      </c>
      <c r="AF102" s="179">
        <f>'Q (t)'!O102</f>
        <v>0</v>
      </c>
      <c r="AG102" s="178">
        <f>'Q (t)'!P102</f>
        <v>0</v>
      </c>
      <c r="AH102" s="178">
        <f>'Q (t)'!Q102</f>
        <v>0</v>
      </c>
      <c r="AI102" s="179">
        <f>'Q (t)'!R102</f>
        <v>0</v>
      </c>
      <c r="AJ102" s="184">
        <f>'Q (t)'!S102</f>
        <v>4078845.07</v>
      </c>
      <c r="AK102" s="178">
        <f>'Q (t)'!T102</f>
        <v>5133823.55</v>
      </c>
      <c r="AL102" s="184">
        <f>'Q (t)'!U102</f>
        <v>0</v>
      </c>
      <c r="AM102" s="179">
        <f>'Q (t)'!V102</f>
        <v>0</v>
      </c>
      <c r="AO102" s="183">
        <f t="shared" si="51"/>
        <v>1272.828</v>
      </c>
      <c r="AP102" s="184">
        <f t="shared" si="94"/>
        <v>0</v>
      </c>
      <c r="AQ102" s="178">
        <f t="shared" si="94"/>
        <v>0</v>
      </c>
      <c r="AR102" s="178">
        <f t="shared" si="94"/>
        <v>0</v>
      </c>
      <c r="AS102" s="179">
        <f t="shared" si="94"/>
        <v>0</v>
      </c>
      <c r="AT102" s="178">
        <f t="shared" si="94"/>
        <v>0</v>
      </c>
      <c r="AU102" s="178">
        <f t="shared" si="94"/>
        <v>0</v>
      </c>
      <c r="AV102" s="178">
        <f t="shared" si="94"/>
        <v>0</v>
      </c>
      <c r="AW102" s="179">
        <f t="shared" si="94"/>
        <v>0</v>
      </c>
      <c r="AX102" s="178">
        <f t="shared" si="42"/>
        <v>0</v>
      </c>
      <c r="AY102" s="178">
        <f t="shared" si="42"/>
        <v>0</v>
      </c>
      <c r="AZ102" s="179">
        <f t="shared" si="42"/>
        <v>0</v>
      </c>
      <c r="BA102" s="184">
        <f t="shared" si="41"/>
        <v>0</v>
      </c>
      <c r="BB102" s="178">
        <f t="shared" si="41"/>
        <v>0</v>
      </c>
      <c r="BC102" s="184">
        <f t="shared" si="41"/>
        <v>0</v>
      </c>
      <c r="BD102" s="178">
        <f t="shared" si="41"/>
        <v>0</v>
      </c>
      <c r="BE102" s="251">
        <f t="shared" si="53"/>
        <v>1</v>
      </c>
      <c r="BF102" s="252">
        <f t="shared" si="54"/>
        <v>74000</v>
      </c>
      <c r="BH102" s="262">
        <f t="shared" ref="BH102:BH111" si="97">SUM(AO102)</f>
        <v>1272.828</v>
      </c>
      <c r="BI102" s="262">
        <f t="shared" ref="BI102:BI111" si="98">SUM(AP102:AS102)</f>
        <v>0</v>
      </c>
      <c r="BJ102" s="262">
        <f t="shared" ref="BJ102:BJ111" si="99">SUM(AT102:AW102)</f>
        <v>0</v>
      </c>
      <c r="BK102" s="263">
        <f t="shared" ref="BK102:BK111" si="100">SUM(AX102:BB102)</f>
        <v>0</v>
      </c>
      <c r="BL102" s="269">
        <f t="shared" ref="BL102:BL111" si="101">SUM(BC102:BD102)</f>
        <v>0</v>
      </c>
      <c r="BM102" s="264">
        <f t="shared" si="55"/>
        <v>1272.828</v>
      </c>
      <c r="BO102" s="732">
        <f t="shared" si="56"/>
        <v>17.200378378378378</v>
      </c>
    </row>
    <row r="103" spans="2:67" ht="15" customHeight="1" x14ac:dyDescent="0.25">
      <c r="B103" s="156">
        <f t="shared" si="95"/>
        <v>8</v>
      </c>
      <c r="C103" s="180" t="s">
        <v>127</v>
      </c>
      <c r="D103" s="181"/>
      <c r="E103" s="210" t="s">
        <v>126</v>
      </c>
      <c r="G103" s="488">
        <f>'Cust Specific'!S239</f>
        <v>113.9</v>
      </c>
      <c r="H103" s="489">
        <f>'Cust Specific'!S242</f>
        <v>0</v>
      </c>
      <c r="I103" s="471"/>
      <c r="J103" s="471"/>
      <c r="K103" s="472"/>
      <c r="L103" s="471"/>
      <c r="M103" s="471"/>
      <c r="N103" s="471"/>
      <c r="O103" s="472"/>
      <c r="P103" s="471"/>
      <c r="Q103" s="471"/>
      <c r="R103" s="472"/>
      <c r="S103" s="489">
        <f>'Cust Specific'!S240</f>
        <v>0.1784</v>
      </c>
      <c r="T103" s="494">
        <f>'Cust Specific'!S241</f>
        <v>0</v>
      </c>
      <c r="U103" s="491"/>
      <c r="V103" s="492"/>
      <c r="X103" s="183">
        <f>'Q (t)'!G103</f>
        <v>365</v>
      </c>
      <c r="Y103" s="184">
        <f>'Q (t)'!H103</f>
        <v>174006.38800000001</v>
      </c>
      <c r="Z103" s="178">
        <f>'Q (t)'!I103</f>
        <v>0</v>
      </c>
      <c r="AA103" s="178">
        <f>'Q (t)'!J103</f>
        <v>0</v>
      </c>
      <c r="AB103" s="179">
        <f>'Q (t)'!K103</f>
        <v>0</v>
      </c>
      <c r="AC103" s="178">
        <f>'Q (t)'!L103</f>
        <v>0</v>
      </c>
      <c r="AD103" s="178">
        <f>'Q (t)'!M103</f>
        <v>0</v>
      </c>
      <c r="AE103" s="178">
        <f>'Q (t)'!N103</f>
        <v>0</v>
      </c>
      <c r="AF103" s="179">
        <f>'Q (t)'!O103</f>
        <v>0</v>
      </c>
      <c r="AG103" s="178">
        <f>'Q (t)'!P103</f>
        <v>0</v>
      </c>
      <c r="AH103" s="178">
        <f>'Q (t)'!Q103</f>
        <v>0</v>
      </c>
      <c r="AI103" s="179">
        <f>'Q (t)'!R103</f>
        <v>0</v>
      </c>
      <c r="AJ103" s="184">
        <f>'Q (t)'!S103</f>
        <v>9781182.7649999987</v>
      </c>
      <c r="AK103" s="178">
        <f>'Q (t)'!T103</f>
        <v>9817630.5700000003</v>
      </c>
      <c r="AL103" s="184">
        <f>'Q (t)'!U103</f>
        <v>0</v>
      </c>
      <c r="AM103" s="179">
        <f>'Q (t)'!V103</f>
        <v>0</v>
      </c>
      <c r="AO103" s="183">
        <f t="shared" si="51"/>
        <v>41.573500000000003</v>
      </c>
      <c r="AP103" s="184">
        <f t="shared" si="94"/>
        <v>0</v>
      </c>
      <c r="AQ103" s="178">
        <f t="shared" si="94"/>
        <v>0</v>
      </c>
      <c r="AR103" s="178">
        <f t="shared" si="94"/>
        <v>0</v>
      </c>
      <c r="AS103" s="179">
        <f t="shared" si="94"/>
        <v>0</v>
      </c>
      <c r="AT103" s="178">
        <f t="shared" si="94"/>
        <v>0</v>
      </c>
      <c r="AU103" s="178">
        <f t="shared" si="94"/>
        <v>0</v>
      </c>
      <c r="AV103" s="178">
        <f t="shared" si="94"/>
        <v>0</v>
      </c>
      <c r="AW103" s="179">
        <f t="shared" si="94"/>
        <v>0</v>
      </c>
      <c r="AX103" s="178">
        <f t="shared" si="42"/>
        <v>0</v>
      </c>
      <c r="AY103" s="178">
        <f t="shared" si="42"/>
        <v>0</v>
      </c>
      <c r="AZ103" s="179">
        <f t="shared" si="42"/>
        <v>0</v>
      </c>
      <c r="BA103" s="184">
        <f t="shared" si="41"/>
        <v>1744.9630052759999</v>
      </c>
      <c r="BB103" s="178">
        <f t="shared" si="41"/>
        <v>0</v>
      </c>
      <c r="BC103" s="184">
        <f t="shared" si="41"/>
        <v>0</v>
      </c>
      <c r="BD103" s="178">
        <f t="shared" si="41"/>
        <v>0</v>
      </c>
      <c r="BE103" s="251">
        <f t="shared" si="53"/>
        <v>1</v>
      </c>
      <c r="BF103" s="252">
        <f t="shared" si="54"/>
        <v>174006.38800000001</v>
      </c>
      <c r="BH103" s="262">
        <f t="shared" si="97"/>
        <v>41.573500000000003</v>
      </c>
      <c r="BI103" s="262">
        <f t="shared" si="98"/>
        <v>0</v>
      </c>
      <c r="BJ103" s="262">
        <f t="shared" si="99"/>
        <v>0</v>
      </c>
      <c r="BK103" s="263">
        <f t="shared" si="100"/>
        <v>1744.9630052759999</v>
      </c>
      <c r="BL103" s="269">
        <f t="shared" si="101"/>
        <v>0</v>
      </c>
      <c r="BM103" s="264">
        <f t="shared" si="55"/>
        <v>1786.5365052759998</v>
      </c>
      <c r="BO103" s="732">
        <f t="shared" si="56"/>
        <v>10.26707424830863</v>
      </c>
    </row>
    <row r="104" spans="2:67" ht="15" customHeight="1" x14ac:dyDescent="0.25">
      <c r="B104" s="156">
        <f t="shared" si="95"/>
        <v>9</v>
      </c>
      <c r="C104" s="180" t="s">
        <v>128</v>
      </c>
      <c r="D104" s="181"/>
      <c r="E104" s="210" t="s">
        <v>126</v>
      </c>
      <c r="G104" s="488">
        <f>'Cust Specific'!S246</f>
        <v>168.9</v>
      </c>
      <c r="H104" s="489">
        <f>'Cust Specific'!S249</f>
        <v>0</v>
      </c>
      <c r="I104" s="471"/>
      <c r="J104" s="471"/>
      <c r="K104" s="472"/>
      <c r="L104" s="471"/>
      <c r="M104" s="471"/>
      <c r="N104" s="471"/>
      <c r="O104" s="472"/>
      <c r="P104" s="471"/>
      <c r="Q104" s="471"/>
      <c r="R104" s="472"/>
      <c r="S104" s="489">
        <f>'Cust Specific'!S247</f>
        <v>0.22040000000000001</v>
      </c>
      <c r="T104" s="494">
        <f>'Cust Specific'!S248</f>
        <v>0</v>
      </c>
      <c r="U104" s="491"/>
      <c r="V104" s="492"/>
      <c r="X104" s="183">
        <f>'Q (t)'!G104</f>
        <v>365</v>
      </c>
      <c r="Y104" s="184">
        <f>'Q (t)'!H104</f>
        <v>23846.443004000001</v>
      </c>
      <c r="Z104" s="178">
        <f>'Q (t)'!I104</f>
        <v>0</v>
      </c>
      <c r="AA104" s="178">
        <f>'Q (t)'!J104</f>
        <v>0</v>
      </c>
      <c r="AB104" s="179">
        <f>'Q (t)'!K104</f>
        <v>0</v>
      </c>
      <c r="AC104" s="178">
        <f>'Q (t)'!L104</f>
        <v>0</v>
      </c>
      <c r="AD104" s="178">
        <f>'Q (t)'!M104</f>
        <v>0</v>
      </c>
      <c r="AE104" s="178">
        <f>'Q (t)'!N104</f>
        <v>0</v>
      </c>
      <c r="AF104" s="179">
        <f>'Q (t)'!O104</f>
        <v>0</v>
      </c>
      <c r="AG104" s="178">
        <f>'Q (t)'!P104</f>
        <v>0</v>
      </c>
      <c r="AH104" s="178">
        <f>'Q (t)'!Q104</f>
        <v>0</v>
      </c>
      <c r="AI104" s="179">
        <f>'Q (t)'!R104</f>
        <v>0</v>
      </c>
      <c r="AJ104" s="184">
        <f>'Q (t)'!S104</f>
        <v>1524599.5249999999</v>
      </c>
      <c r="AK104" s="178">
        <f>'Q (t)'!T104</f>
        <v>1825000</v>
      </c>
      <c r="AL104" s="184">
        <f>'Q (t)'!U104</f>
        <v>0</v>
      </c>
      <c r="AM104" s="179">
        <f>'Q (t)'!V104</f>
        <v>0</v>
      </c>
      <c r="AO104" s="183">
        <f t="shared" si="51"/>
        <v>61.648499999999999</v>
      </c>
      <c r="AP104" s="184">
        <f t="shared" si="94"/>
        <v>0</v>
      </c>
      <c r="AQ104" s="178">
        <f t="shared" si="94"/>
        <v>0</v>
      </c>
      <c r="AR104" s="178">
        <f t="shared" si="94"/>
        <v>0</v>
      </c>
      <c r="AS104" s="179">
        <f t="shared" si="94"/>
        <v>0</v>
      </c>
      <c r="AT104" s="178">
        <f t="shared" si="94"/>
        <v>0</v>
      </c>
      <c r="AU104" s="178">
        <f t="shared" si="94"/>
        <v>0</v>
      </c>
      <c r="AV104" s="178">
        <f t="shared" si="94"/>
        <v>0</v>
      </c>
      <c r="AW104" s="179">
        <f t="shared" si="94"/>
        <v>0</v>
      </c>
      <c r="AX104" s="178">
        <f t="shared" si="42"/>
        <v>0</v>
      </c>
      <c r="AY104" s="178">
        <f t="shared" si="42"/>
        <v>0</v>
      </c>
      <c r="AZ104" s="179">
        <f t="shared" si="42"/>
        <v>0</v>
      </c>
      <c r="BA104" s="184">
        <f t="shared" si="41"/>
        <v>336.02173531</v>
      </c>
      <c r="BB104" s="178">
        <f t="shared" si="41"/>
        <v>0</v>
      </c>
      <c r="BC104" s="184">
        <f t="shared" si="41"/>
        <v>0</v>
      </c>
      <c r="BD104" s="178">
        <f t="shared" si="41"/>
        <v>0</v>
      </c>
      <c r="BE104" s="251">
        <f t="shared" ref="BE104:BE111" si="102">X104/$BE$7</f>
        <v>1</v>
      </c>
      <c r="BF104" s="252">
        <f t="shared" si="54"/>
        <v>23846.443004000001</v>
      </c>
      <c r="BH104" s="262">
        <f t="shared" si="97"/>
        <v>61.648499999999999</v>
      </c>
      <c r="BI104" s="262">
        <f t="shared" si="98"/>
        <v>0</v>
      </c>
      <c r="BJ104" s="262">
        <f t="shared" si="99"/>
        <v>0</v>
      </c>
      <c r="BK104" s="263">
        <f t="shared" si="100"/>
        <v>336.02173531</v>
      </c>
      <c r="BL104" s="269">
        <f t="shared" si="101"/>
        <v>0</v>
      </c>
      <c r="BM104" s="264">
        <f t="shared" si="55"/>
        <v>397.67023531000001</v>
      </c>
      <c r="BO104" s="732">
        <f t="shared" si="56"/>
        <v>16.676291522525805</v>
      </c>
    </row>
    <row r="105" spans="2:67" ht="15" customHeight="1" x14ac:dyDescent="0.25">
      <c r="B105" s="156">
        <f t="shared" si="95"/>
        <v>10</v>
      </c>
      <c r="C105" s="180"/>
      <c r="D105" s="181" t="s">
        <v>129</v>
      </c>
      <c r="E105" s="181" t="s">
        <v>126</v>
      </c>
      <c r="G105" s="488">
        <f>'Cust Specific'!S253</f>
        <v>150.5</v>
      </c>
      <c r="H105" s="489">
        <f>'Cust Specific'!S256</f>
        <v>0</v>
      </c>
      <c r="I105" s="471"/>
      <c r="J105" s="471"/>
      <c r="K105" s="472"/>
      <c r="L105" s="471"/>
      <c r="M105" s="471"/>
      <c r="N105" s="471"/>
      <c r="O105" s="472"/>
      <c r="P105" s="471"/>
      <c r="Q105" s="471"/>
      <c r="R105" s="472"/>
      <c r="S105" s="489">
        <f>'Cust Specific'!S254</f>
        <v>0.21390000000000001</v>
      </c>
      <c r="T105" s="494">
        <f>'Cust Specific'!S255</f>
        <v>0</v>
      </c>
      <c r="U105" s="491"/>
      <c r="V105" s="492"/>
      <c r="X105" s="183">
        <f>'Q (t)'!G105</f>
        <v>365</v>
      </c>
      <c r="Y105" s="184">
        <f>'Q (t)'!H105</f>
        <v>27300</v>
      </c>
      <c r="Z105" s="178">
        <f>'Q (t)'!I105</f>
        <v>0</v>
      </c>
      <c r="AA105" s="178">
        <f>'Q (t)'!J105</f>
        <v>0</v>
      </c>
      <c r="AB105" s="179">
        <f>'Q (t)'!K105</f>
        <v>0</v>
      </c>
      <c r="AC105" s="178">
        <f>'Q (t)'!L105</f>
        <v>0</v>
      </c>
      <c r="AD105" s="178">
        <f>'Q (t)'!M105</f>
        <v>0</v>
      </c>
      <c r="AE105" s="178">
        <f>'Q (t)'!N105</f>
        <v>0</v>
      </c>
      <c r="AF105" s="179">
        <f>'Q (t)'!O105</f>
        <v>0</v>
      </c>
      <c r="AG105" s="178">
        <f>'Q (t)'!P105</f>
        <v>0</v>
      </c>
      <c r="AH105" s="178">
        <f>'Q (t)'!Q105</f>
        <v>0</v>
      </c>
      <c r="AI105" s="179">
        <f>'Q (t)'!R105</f>
        <v>0</v>
      </c>
      <c r="AJ105" s="184">
        <f>'Q (t)'!S105</f>
        <v>3470830.26</v>
      </c>
      <c r="AK105" s="178">
        <f>'Q (t)'!T105</f>
        <v>3472358.15</v>
      </c>
      <c r="AL105" s="184">
        <f>'Q (t)'!U105</f>
        <v>0</v>
      </c>
      <c r="AM105" s="179">
        <f>'Q (t)'!V105</f>
        <v>0</v>
      </c>
      <c r="AO105" s="183">
        <f t="shared" si="51"/>
        <v>54.932499999999997</v>
      </c>
      <c r="AP105" s="184">
        <f t="shared" si="94"/>
        <v>0</v>
      </c>
      <c r="AQ105" s="178">
        <f t="shared" si="94"/>
        <v>0</v>
      </c>
      <c r="AR105" s="178">
        <f t="shared" si="94"/>
        <v>0</v>
      </c>
      <c r="AS105" s="179">
        <f t="shared" si="94"/>
        <v>0</v>
      </c>
      <c r="AT105" s="178">
        <f t="shared" si="94"/>
        <v>0</v>
      </c>
      <c r="AU105" s="178">
        <f t="shared" si="94"/>
        <v>0</v>
      </c>
      <c r="AV105" s="178">
        <f t="shared" si="94"/>
        <v>0</v>
      </c>
      <c r="AW105" s="179">
        <f t="shared" si="94"/>
        <v>0</v>
      </c>
      <c r="AX105" s="178">
        <f t="shared" si="42"/>
        <v>0</v>
      </c>
      <c r="AY105" s="178">
        <f t="shared" si="42"/>
        <v>0</v>
      </c>
      <c r="AZ105" s="179">
        <f t="shared" si="42"/>
        <v>0</v>
      </c>
      <c r="BA105" s="184">
        <f t="shared" si="41"/>
        <v>742.41059261399994</v>
      </c>
      <c r="BB105" s="178">
        <f t="shared" si="41"/>
        <v>0</v>
      </c>
      <c r="BC105" s="184">
        <f t="shared" si="41"/>
        <v>0</v>
      </c>
      <c r="BD105" s="178">
        <f t="shared" si="41"/>
        <v>0</v>
      </c>
      <c r="BE105" s="251">
        <f t="shared" si="102"/>
        <v>1</v>
      </c>
      <c r="BF105" s="252">
        <f t="shared" si="54"/>
        <v>27300</v>
      </c>
      <c r="BH105" s="262">
        <f t="shared" si="97"/>
        <v>54.932499999999997</v>
      </c>
      <c r="BI105" s="262">
        <f t="shared" si="98"/>
        <v>0</v>
      </c>
      <c r="BJ105" s="262">
        <f t="shared" si="99"/>
        <v>0</v>
      </c>
      <c r="BK105" s="263">
        <f t="shared" si="100"/>
        <v>742.41059261399994</v>
      </c>
      <c r="BL105" s="269">
        <f t="shared" si="101"/>
        <v>0</v>
      </c>
      <c r="BM105" s="264">
        <f t="shared" si="55"/>
        <v>797.34309261399994</v>
      </c>
      <c r="BO105" s="732">
        <f t="shared" si="56"/>
        <v>29.206706689157507</v>
      </c>
    </row>
    <row r="106" spans="2:67" ht="15" customHeight="1" x14ac:dyDescent="0.25">
      <c r="B106" s="156">
        <f t="shared" si="95"/>
        <v>11</v>
      </c>
      <c r="C106" s="180" t="s">
        <v>582</v>
      </c>
      <c r="D106" s="181"/>
      <c r="E106" s="210" t="s">
        <v>126</v>
      </c>
      <c r="G106" s="488">
        <f>'Cust Specific'!S260</f>
        <v>0</v>
      </c>
      <c r="H106" s="489">
        <f>'Cust Specific'!S263</f>
        <v>8.2000000000000007E-3</v>
      </c>
      <c r="I106" s="471"/>
      <c r="J106" s="471"/>
      <c r="K106" s="472"/>
      <c r="L106" s="471"/>
      <c r="M106" s="471"/>
      <c r="N106" s="471"/>
      <c r="O106" s="472"/>
      <c r="P106" s="471"/>
      <c r="Q106" s="471"/>
      <c r="R106" s="472"/>
      <c r="S106" s="489">
        <f>'Cust Specific'!S261</f>
        <v>0.10829999999999999</v>
      </c>
      <c r="T106" s="494">
        <f>'Cust Specific'!S262</f>
        <v>0</v>
      </c>
      <c r="U106" s="491"/>
      <c r="V106" s="492"/>
      <c r="X106" s="183">
        <f>'Q (t)'!G106</f>
        <v>365</v>
      </c>
      <c r="Y106" s="184">
        <f>'Q (t)'!H106</f>
        <v>10600</v>
      </c>
      <c r="Z106" s="178">
        <f>'Q (t)'!I106</f>
        <v>0</v>
      </c>
      <c r="AA106" s="178">
        <f>'Q (t)'!J106</f>
        <v>0</v>
      </c>
      <c r="AB106" s="179">
        <f>'Q (t)'!K106</f>
        <v>0</v>
      </c>
      <c r="AC106" s="178">
        <f>'Q (t)'!L106</f>
        <v>0</v>
      </c>
      <c r="AD106" s="178">
        <f>'Q (t)'!M106</f>
        <v>0</v>
      </c>
      <c r="AE106" s="178">
        <f>'Q (t)'!N106</f>
        <v>0</v>
      </c>
      <c r="AF106" s="179">
        <f>'Q (t)'!O106</f>
        <v>0</v>
      </c>
      <c r="AG106" s="178">
        <f>'Q (t)'!P106</f>
        <v>0</v>
      </c>
      <c r="AH106" s="178">
        <f>'Q (t)'!Q106</f>
        <v>0</v>
      </c>
      <c r="AI106" s="179">
        <f>'Q (t)'!R106</f>
        <v>0</v>
      </c>
      <c r="AJ106" s="184">
        <f>'Q (t)'!S106</f>
        <v>1145428.3999999999</v>
      </c>
      <c r="AK106" s="178">
        <f>'Q (t)'!T106</f>
        <v>1825000</v>
      </c>
      <c r="AL106" s="184">
        <f>'Q (t)'!U106</f>
        <v>0</v>
      </c>
      <c r="AM106" s="179">
        <f>'Q (t)'!V106</f>
        <v>0</v>
      </c>
      <c r="AO106" s="183">
        <f t="shared" si="51"/>
        <v>0</v>
      </c>
      <c r="AP106" s="184">
        <f t="shared" si="94"/>
        <v>86.92</v>
      </c>
      <c r="AQ106" s="178">
        <f t="shared" si="94"/>
        <v>0</v>
      </c>
      <c r="AR106" s="178">
        <f t="shared" si="94"/>
        <v>0</v>
      </c>
      <c r="AS106" s="179">
        <f t="shared" si="94"/>
        <v>0</v>
      </c>
      <c r="AT106" s="178">
        <f t="shared" si="94"/>
        <v>0</v>
      </c>
      <c r="AU106" s="178">
        <f t="shared" si="94"/>
        <v>0</v>
      </c>
      <c r="AV106" s="178">
        <f t="shared" si="94"/>
        <v>0</v>
      </c>
      <c r="AW106" s="179">
        <f t="shared" si="94"/>
        <v>0</v>
      </c>
      <c r="AX106" s="178">
        <f t="shared" si="42"/>
        <v>0</v>
      </c>
      <c r="AY106" s="178">
        <f t="shared" si="42"/>
        <v>0</v>
      </c>
      <c r="AZ106" s="179">
        <f t="shared" si="42"/>
        <v>0</v>
      </c>
      <c r="BA106" s="184">
        <f t="shared" si="41"/>
        <v>124.04989571999998</v>
      </c>
      <c r="BB106" s="178">
        <f t="shared" si="41"/>
        <v>0</v>
      </c>
      <c r="BC106" s="184">
        <f t="shared" si="41"/>
        <v>0</v>
      </c>
      <c r="BD106" s="178">
        <f t="shared" si="41"/>
        <v>0</v>
      </c>
      <c r="BE106" s="251">
        <f t="shared" si="102"/>
        <v>1</v>
      </c>
      <c r="BF106" s="252">
        <f t="shared" si="54"/>
        <v>10600</v>
      </c>
      <c r="BH106" s="262">
        <f t="shared" si="97"/>
        <v>0</v>
      </c>
      <c r="BI106" s="262">
        <f t="shared" si="98"/>
        <v>86.92</v>
      </c>
      <c r="BJ106" s="262">
        <f t="shared" si="99"/>
        <v>0</v>
      </c>
      <c r="BK106" s="263">
        <f t="shared" si="100"/>
        <v>124.04989571999998</v>
      </c>
      <c r="BL106" s="269">
        <f t="shared" si="101"/>
        <v>0</v>
      </c>
      <c r="BM106" s="264">
        <f t="shared" si="55"/>
        <v>210.96989571999998</v>
      </c>
      <c r="BO106" s="732">
        <f t="shared" si="56"/>
        <v>19.902820350943394</v>
      </c>
    </row>
    <row r="107" spans="2:67" ht="15" customHeight="1" x14ac:dyDescent="0.25">
      <c r="B107" s="156">
        <f t="shared" si="95"/>
        <v>12</v>
      </c>
      <c r="C107" s="180" t="s">
        <v>583</v>
      </c>
      <c r="D107" s="181"/>
      <c r="E107" s="210" t="s">
        <v>126</v>
      </c>
      <c r="G107" s="488">
        <f>'Cust Specific'!S267</f>
        <v>0</v>
      </c>
      <c r="H107" s="489">
        <f>'Cust Specific'!S270</f>
        <v>8.2000000000000007E-3</v>
      </c>
      <c r="I107" s="471"/>
      <c r="J107" s="471"/>
      <c r="K107" s="472"/>
      <c r="L107" s="471"/>
      <c r="M107" s="471"/>
      <c r="N107" s="471"/>
      <c r="O107" s="472"/>
      <c r="P107" s="471"/>
      <c r="Q107" s="471"/>
      <c r="R107" s="472"/>
      <c r="S107" s="489">
        <f>'Cust Specific'!S268</f>
        <v>0.10829999999999999</v>
      </c>
      <c r="T107" s="494">
        <f>'Cust Specific'!S269</f>
        <v>0</v>
      </c>
      <c r="U107" s="491"/>
      <c r="V107" s="492"/>
      <c r="X107" s="183">
        <f>'Q (t)'!G107</f>
        <v>365</v>
      </c>
      <c r="Y107" s="184">
        <f>'Q (t)'!H107</f>
        <v>10600</v>
      </c>
      <c r="Z107" s="178">
        <f>'Q (t)'!I107</f>
        <v>0</v>
      </c>
      <c r="AA107" s="178">
        <f>'Q (t)'!J107</f>
        <v>0</v>
      </c>
      <c r="AB107" s="179">
        <f>'Q (t)'!K107</f>
        <v>0</v>
      </c>
      <c r="AC107" s="178">
        <f>'Q (t)'!L107</f>
        <v>0</v>
      </c>
      <c r="AD107" s="178">
        <f>'Q (t)'!M107</f>
        <v>0</v>
      </c>
      <c r="AE107" s="178">
        <f>'Q (t)'!N107</f>
        <v>0</v>
      </c>
      <c r="AF107" s="179">
        <f>'Q (t)'!O107</f>
        <v>0</v>
      </c>
      <c r="AG107" s="178">
        <f>'Q (t)'!P107</f>
        <v>0</v>
      </c>
      <c r="AH107" s="178">
        <f>'Q (t)'!Q107</f>
        <v>0</v>
      </c>
      <c r="AI107" s="179">
        <f>'Q (t)'!R107</f>
        <v>0</v>
      </c>
      <c r="AJ107" s="184">
        <f>'Q (t)'!S107</f>
        <v>633535.245</v>
      </c>
      <c r="AK107" s="178">
        <f>'Q (t)'!T107</f>
        <v>1825000</v>
      </c>
      <c r="AL107" s="184">
        <f>'Q (t)'!U107</f>
        <v>0</v>
      </c>
      <c r="AM107" s="179">
        <f>'Q (t)'!V107</f>
        <v>0</v>
      </c>
      <c r="AO107" s="183">
        <f t="shared" si="51"/>
        <v>0</v>
      </c>
      <c r="AP107" s="184">
        <f t="shared" si="94"/>
        <v>86.92</v>
      </c>
      <c r="AQ107" s="178">
        <f t="shared" si="94"/>
        <v>0</v>
      </c>
      <c r="AR107" s="178">
        <f t="shared" si="94"/>
        <v>0</v>
      </c>
      <c r="AS107" s="179">
        <f t="shared" si="94"/>
        <v>0</v>
      </c>
      <c r="AT107" s="178">
        <f t="shared" si="94"/>
        <v>0</v>
      </c>
      <c r="AU107" s="178">
        <f t="shared" si="94"/>
        <v>0</v>
      </c>
      <c r="AV107" s="178">
        <f t="shared" si="94"/>
        <v>0</v>
      </c>
      <c r="AW107" s="179">
        <f t="shared" si="94"/>
        <v>0</v>
      </c>
      <c r="AX107" s="178">
        <f t="shared" si="42"/>
        <v>0</v>
      </c>
      <c r="AY107" s="178">
        <f t="shared" si="42"/>
        <v>0</v>
      </c>
      <c r="AZ107" s="179">
        <f t="shared" si="42"/>
        <v>0</v>
      </c>
      <c r="BA107" s="184">
        <f t="shared" si="41"/>
        <v>68.61186703349999</v>
      </c>
      <c r="BB107" s="178">
        <f t="shared" si="41"/>
        <v>0</v>
      </c>
      <c r="BC107" s="184">
        <f t="shared" si="41"/>
        <v>0</v>
      </c>
      <c r="BD107" s="178">
        <f t="shared" si="41"/>
        <v>0</v>
      </c>
      <c r="BE107" s="251">
        <f t="shared" si="102"/>
        <v>1</v>
      </c>
      <c r="BF107" s="252">
        <f t="shared" si="54"/>
        <v>10600</v>
      </c>
      <c r="BH107" s="262">
        <f t="shared" si="97"/>
        <v>0</v>
      </c>
      <c r="BI107" s="262">
        <f t="shared" si="98"/>
        <v>86.92</v>
      </c>
      <c r="BJ107" s="262">
        <f t="shared" si="99"/>
        <v>0</v>
      </c>
      <c r="BK107" s="263">
        <f t="shared" si="100"/>
        <v>68.61186703349999</v>
      </c>
      <c r="BL107" s="269">
        <f t="shared" si="101"/>
        <v>0</v>
      </c>
      <c r="BM107" s="264">
        <f t="shared" si="55"/>
        <v>155.53186703349999</v>
      </c>
      <c r="BO107" s="732">
        <f t="shared" si="56"/>
        <v>14.672817644669811</v>
      </c>
    </row>
    <row r="108" spans="2:67" ht="15" customHeight="1" x14ac:dyDescent="0.25">
      <c r="B108" s="156">
        <f t="shared" si="95"/>
        <v>13</v>
      </c>
      <c r="C108" s="180" t="s">
        <v>578</v>
      </c>
      <c r="D108" s="181"/>
      <c r="E108" s="210" t="s">
        <v>126</v>
      </c>
      <c r="G108" s="488">
        <f>'Cust Specific'!S274</f>
        <v>308.88</v>
      </c>
      <c r="H108" s="489">
        <f>'Cust Specific'!S277</f>
        <v>0</v>
      </c>
      <c r="I108" s="471"/>
      <c r="J108" s="471"/>
      <c r="K108" s="472"/>
      <c r="L108" s="471"/>
      <c r="M108" s="471"/>
      <c r="N108" s="471"/>
      <c r="O108" s="472"/>
      <c r="P108" s="471"/>
      <c r="Q108" s="471"/>
      <c r="R108" s="472"/>
      <c r="S108" s="489">
        <f>'Cust Specific'!S275</f>
        <v>0</v>
      </c>
      <c r="T108" s="494">
        <f>'Cust Specific'!S276</f>
        <v>0</v>
      </c>
      <c r="U108" s="491"/>
      <c r="V108" s="492"/>
      <c r="X108" s="183">
        <f>'Q (t)'!G108</f>
        <v>365</v>
      </c>
      <c r="Y108" s="184">
        <f>'Q (t)'!H108</f>
        <v>0</v>
      </c>
      <c r="Z108" s="178">
        <f>'Q (t)'!I108</f>
        <v>0</v>
      </c>
      <c r="AA108" s="178">
        <f>'Q (t)'!J108</f>
        <v>0</v>
      </c>
      <c r="AB108" s="179">
        <f>'Q (t)'!K108</f>
        <v>0</v>
      </c>
      <c r="AC108" s="178">
        <f>'Q (t)'!L108</f>
        <v>0</v>
      </c>
      <c r="AD108" s="178">
        <f>'Q (t)'!M108</f>
        <v>0</v>
      </c>
      <c r="AE108" s="178">
        <f>'Q (t)'!N108</f>
        <v>0</v>
      </c>
      <c r="AF108" s="179">
        <f>'Q (t)'!O108</f>
        <v>0</v>
      </c>
      <c r="AG108" s="178">
        <f>'Q (t)'!P108</f>
        <v>0</v>
      </c>
      <c r="AH108" s="178">
        <f>'Q (t)'!Q108</f>
        <v>0</v>
      </c>
      <c r="AI108" s="179">
        <f>'Q (t)'!R108</f>
        <v>0</v>
      </c>
      <c r="AJ108" s="184">
        <f>'Q (t)'!S108</f>
        <v>0</v>
      </c>
      <c r="AK108" s="178">
        <f>'Q (t)'!T108</f>
        <v>0</v>
      </c>
      <c r="AL108" s="184">
        <f>'Q (t)'!U108</f>
        <v>0</v>
      </c>
      <c r="AM108" s="179">
        <f>'Q (t)'!V108</f>
        <v>0</v>
      </c>
      <c r="AO108" s="183">
        <f t="shared" si="51"/>
        <v>112.74119999999999</v>
      </c>
      <c r="AP108" s="184">
        <f t="shared" si="94"/>
        <v>0</v>
      </c>
      <c r="AQ108" s="178">
        <f t="shared" si="94"/>
        <v>0</v>
      </c>
      <c r="AR108" s="178">
        <f t="shared" si="94"/>
        <v>0</v>
      </c>
      <c r="AS108" s="179">
        <f t="shared" si="94"/>
        <v>0</v>
      </c>
      <c r="AT108" s="178">
        <f t="shared" si="94"/>
        <v>0</v>
      </c>
      <c r="AU108" s="178">
        <f t="shared" si="94"/>
        <v>0</v>
      </c>
      <c r="AV108" s="178">
        <f t="shared" si="94"/>
        <v>0</v>
      </c>
      <c r="AW108" s="179">
        <f t="shared" si="94"/>
        <v>0</v>
      </c>
      <c r="AX108" s="178">
        <f t="shared" si="42"/>
        <v>0</v>
      </c>
      <c r="AY108" s="178">
        <f t="shared" si="42"/>
        <v>0</v>
      </c>
      <c r="AZ108" s="179">
        <f t="shared" si="42"/>
        <v>0</v>
      </c>
      <c r="BA108" s="184">
        <f t="shared" si="41"/>
        <v>0</v>
      </c>
      <c r="BB108" s="178">
        <f t="shared" si="41"/>
        <v>0</v>
      </c>
      <c r="BC108" s="184">
        <f t="shared" si="41"/>
        <v>0</v>
      </c>
      <c r="BD108" s="178">
        <f t="shared" si="41"/>
        <v>0</v>
      </c>
      <c r="BE108" s="251">
        <f t="shared" si="102"/>
        <v>1</v>
      </c>
      <c r="BF108" s="252">
        <f t="shared" si="54"/>
        <v>0</v>
      </c>
      <c r="BH108" s="262">
        <f t="shared" si="97"/>
        <v>112.74119999999999</v>
      </c>
      <c r="BI108" s="262">
        <f t="shared" si="98"/>
        <v>0</v>
      </c>
      <c r="BJ108" s="262">
        <f t="shared" si="99"/>
        <v>0</v>
      </c>
      <c r="BK108" s="263">
        <f t="shared" si="100"/>
        <v>0</v>
      </c>
      <c r="BL108" s="269">
        <f t="shared" si="101"/>
        <v>0</v>
      </c>
      <c r="BM108" s="264">
        <f t="shared" si="55"/>
        <v>112.74119999999999</v>
      </c>
      <c r="BO108" s="732" t="str">
        <f t="shared" si="56"/>
        <v/>
      </c>
    </row>
    <row r="109" spans="2:67" ht="15" customHeight="1" x14ac:dyDescent="0.25">
      <c r="B109" s="156">
        <f t="shared" si="95"/>
        <v>14</v>
      </c>
      <c r="C109" s="180" t="s">
        <v>130</v>
      </c>
      <c r="D109" s="181"/>
      <c r="E109" s="210" t="s">
        <v>126</v>
      </c>
      <c r="G109" s="488">
        <f>'Cust Specific'!S281</f>
        <v>2406.08</v>
      </c>
      <c r="H109" s="489">
        <f>'Cust Specific'!S284</f>
        <v>0</v>
      </c>
      <c r="I109" s="471"/>
      <c r="J109" s="471"/>
      <c r="K109" s="472"/>
      <c r="L109" s="471"/>
      <c r="M109" s="471"/>
      <c r="N109" s="471"/>
      <c r="O109" s="472"/>
      <c r="P109" s="471"/>
      <c r="Q109" s="471"/>
      <c r="R109" s="472"/>
      <c r="S109" s="489">
        <f>'Cust Specific'!S282</f>
        <v>0</v>
      </c>
      <c r="T109" s="494">
        <f>'Cust Specific'!S283</f>
        <v>0</v>
      </c>
      <c r="U109" s="491"/>
      <c r="V109" s="492"/>
      <c r="X109" s="183">
        <f>'Q (t)'!G109</f>
        <v>365</v>
      </c>
      <c r="Y109" s="184">
        <f>'Q (t)'!H109</f>
        <v>32021</v>
      </c>
      <c r="Z109" s="178">
        <f>'Q (t)'!I109</f>
        <v>0</v>
      </c>
      <c r="AA109" s="178">
        <f>'Q (t)'!J109</f>
        <v>0</v>
      </c>
      <c r="AB109" s="179">
        <f>'Q (t)'!K109</f>
        <v>0</v>
      </c>
      <c r="AC109" s="178">
        <f>'Q (t)'!L109</f>
        <v>0</v>
      </c>
      <c r="AD109" s="178">
        <f>'Q (t)'!M109</f>
        <v>0</v>
      </c>
      <c r="AE109" s="178">
        <f>'Q (t)'!N109</f>
        <v>0</v>
      </c>
      <c r="AF109" s="179">
        <f>'Q (t)'!O109</f>
        <v>0</v>
      </c>
      <c r="AG109" s="178">
        <f>'Q (t)'!P109</f>
        <v>0</v>
      </c>
      <c r="AH109" s="178">
        <f>'Q (t)'!Q109</f>
        <v>0</v>
      </c>
      <c r="AI109" s="179">
        <f>'Q (t)'!R109</f>
        <v>0</v>
      </c>
      <c r="AJ109" s="184">
        <f>'Q (t)'!S109</f>
        <v>4581260.2699999996</v>
      </c>
      <c r="AK109" s="178">
        <f>'Q (t)'!T109</f>
        <v>4618258.8599999994</v>
      </c>
      <c r="AL109" s="184">
        <f>'Q (t)'!U109</f>
        <v>0</v>
      </c>
      <c r="AM109" s="179">
        <f>'Q (t)'!V109</f>
        <v>0</v>
      </c>
      <c r="AO109" s="183">
        <f t="shared" si="51"/>
        <v>878.2192</v>
      </c>
      <c r="AP109" s="184">
        <f t="shared" si="94"/>
        <v>0</v>
      </c>
      <c r="AQ109" s="178">
        <f t="shared" si="94"/>
        <v>0</v>
      </c>
      <c r="AR109" s="178">
        <f t="shared" si="94"/>
        <v>0</v>
      </c>
      <c r="AS109" s="179">
        <f t="shared" si="94"/>
        <v>0</v>
      </c>
      <c r="AT109" s="178">
        <f t="shared" si="94"/>
        <v>0</v>
      </c>
      <c r="AU109" s="178">
        <f t="shared" si="94"/>
        <v>0</v>
      </c>
      <c r="AV109" s="178">
        <f t="shared" si="94"/>
        <v>0</v>
      </c>
      <c r="AW109" s="179">
        <f t="shared" si="94"/>
        <v>0</v>
      </c>
      <c r="AX109" s="178">
        <f t="shared" si="42"/>
        <v>0</v>
      </c>
      <c r="AY109" s="178">
        <f t="shared" si="42"/>
        <v>0</v>
      </c>
      <c r="AZ109" s="179">
        <f t="shared" si="42"/>
        <v>0</v>
      </c>
      <c r="BA109" s="184">
        <f t="shared" si="41"/>
        <v>0</v>
      </c>
      <c r="BB109" s="178">
        <f t="shared" si="41"/>
        <v>0</v>
      </c>
      <c r="BC109" s="184">
        <f t="shared" si="41"/>
        <v>0</v>
      </c>
      <c r="BD109" s="178">
        <f t="shared" si="41"/>
        <v>0</v>
      </c>
      <c r="BE109" s="251">
        <f t="shared" si="102"/>
        <v>1</v>
      </c>
      <c r="BF109" s="252">
        <f t="shared" ref="BF109:BF126" si="103">SUM(Y109:AF109)</f>
        <v>32021</v>
      </c>
      <c r="BH109" s="262">
        <f t="shared" si="97"/>
        <v>878.2192</v>
      </c>
      <c r="BI109" s="262">
        <f t="shared" si="98"/>
        <v>0</v>
      </c>
      <c r="BJ109" s="262">
        <f t="shared" si="99"/>
        <v>0</v>
      </c>
      <c r="BK109" s="263">
        <f t="shared" si="100"/>
        <v>0</v>
      </c>
      <c r="BL109" s="269">
        <f t="shared" si="101"/>
        <v>0</v>
      </c>
      <c r="BM109" s="264">
        <f t="shared" si="55"/>
        <v>878.2192</v>
      </c>
      <c r="BO109" s="732">
        <f t="shared" si="56"/>
        <v>27.426351456856437</v>
      </c>
    </row>
    <row r="110" spans="2:67" ht="15" customHeight="1" x14ac:dyDescent="0.25">
      <c r="B110" s="156">
        <f t="shared" si="95"/>
        <v>15</v>
      </c>
      <c r="C110" s="180" t="s">
        <v>131</v>
      </c>
      <c r="D110" s="181"/>
      <c r="E110" s="210" t="s">
        <v>126</v>
      </c>
      <c r="G110" s="488">
        <f>'Cust Specific'!S288</f>
        <v>34.6</v>
      </c>
      <c r="H110" s="489">
        <f>'Cust Specific'!S291</f>
        <v>0</v>
      </c>
      <c r="I110" s="471"/>
      <c r="J110" s="471"/>
      <c r="K110" s="472"/>
      <c r="L110" s="471"/>
      <c r="M110" s="471"/>
      <c r="N110" s="471"/>
      <c r="O110" s="472"/>
      <c r="P110" s="471"/>
      <c r="Q110" s="471"/>
      <c r="R110" s="472"/>
      <c r="S110" s="489">
        <f>'Cust Specific'!S289</f>
        <v>0.17849999999999999</v>
      </c>
      <c r="T110" s="494">
        <f>'Cust Specific'!S290</f>
        <v>0</v>
      </c>
      <c r="U110" s="491"/>
      <c r="V110" s="492"/>
      <c r="X110" s="183">
        <f>'Q (t)'!G110</f>
        <v>365</v>
      </c>
      <c r="Y110" s="184">
        <f>'Q (t)'!H110</f>
        <v>51446</v>
      </c>
      <c r="Z110" s="178">
        <f>'Q (t)'!I110</f>
        <v>0</v>
      </c>
      <c r="AA110" s="178">
        <f>'Q (t)'!J110</f>
        <v>0</v>
      </c>
      <c r="AB110" s="179">
        <f>'Q (t)'!K110</f>
        <v>0</v>
      </c>
      <c r="AC110" s="178">
        <f>'Q (t)'!L110</f>
        <v>0</v>
      </c>
      <c r="AD110" s="178">
        <f>'Q (t)'!M110</f>
        <v>0</v>
      </c>
      <c r="AE110" s="178">
        <f>'Q (t)'!N110</f>
        <v>0</v>
      </c>
      <c r="AF110" s="179">
        <f>'Q (t)'!O110</f>
        <v>0</v>
      </c>
      <c r="AG110" s="178">
        <f>'Q (t)'!P110</f>
        <v>0</v>
      </c>
      <c r="AH110" s="178">
        <f>'Q (t)'!Q110</f>
        <v>0</v>
      </c>
      <c r="AI110" s="179">
        <f>'Q (t)'!R110</f>
        <v>0</v>
      </c>
      <c r="AJ110" s="184">
        <f>'Q (t)'!S110</f>
        <v>2717743.645</v>
      </c>
      <c r="AK110" s="178">
        <f>'Q (t)'!T110</f>
        <v>3040755.1399999997</v>
      </c>
      <c r="AL110" s="184">
        <f>'Q (t)'!U110</f>
        <v>0</v>
      </c>
      <c r="AM110" s="179">
        <f>'Q (t)'!V110</f>
        <v>0</v>
      </c>
      <c r="AO110" s="183">
        <f t="shared" si="51"/>
        <v>12.629</v>
      </c>
      <c r="AP110" s="184">
        <f t="shared" ref="AP110:AW124" si="104">H110*Y110</f>
        <v>0</v>
      </c>
      <c r="AQ110" s="178">
        <f t="shared" si="104"/>
        <v>0</v>
      </c>
      <c r="AR110" s="178">
        <f t="shared" si="104"/>
        <v>0</v>
      </c>
      <c r="AS110" s="179">
        <f t="shared" si="104"/>
        <v>0</v>
      </c>
      <c r="AT110" s="178">
        <f t="shared" si="104"/>
        <v>0</v>
      </c>
      <c r="AU110" s="178">
        <f t="shared" si="104"/>
        <v>0</v>
      </c>
      <c r="AV110" s="178">
        <f t="shared" si="104"/>
        <v>0</v>
      </c>
      <c r="AW110" s="179">
        <f t="shared" si="104"/>
        <v>0</v>
      </c>
      <c r="AX110" s="178">
        <f t="shared" si="42"/>
        <v>0</v>
      </c>
      <c r="AY110" s="178">
        <f t="shared" si="42"/>
        <v>0</v>
      </c>
      <c r="AZ110" s="179">
        <f t="shared" si="42"/>
        <v>0</v>
      </c>
      <c r="BA110" s="184">
        <f t="shared" si="41"/>
        <v>485.1172406325</v>
      </c>
      <c r="BB110" s="178">
        <f t="shared" si="41"/>
        <v>0</v>
      </c>
      <c r="BC110" s="184">
        <f t="shared" si="41"/>
        <v>0</v>
      </c>
      <c r="BD110" s="178">
        <f t="shared" si="41"/>
        <v>0</v>
      </c>
      <c r="BE110" s="251">
        <f t="shared" si="102"/>
        <v>1</v>
      </c>
      <c r="BF110" s="252">
        <f t="shared" si="103"/>
        <v>51446</v>
      </c>
      <c r="BH110" s="262">
        <f t="shared" si="97"/>
        <v>12.629</v>
      </c>
      <c r="BI110" s="262">
        <f t="shared" si="98"/>
        <v>0</v>
      </c>
      <c r="BJ110" s="262">
        <f t="shared" si="99"/>
        <v>0</v>
      </c>
      <c r="BK110" s="263">
        <f t="shared" si="100"/>
        <v>485.1172406325</v>
      </c>
      <c r="BL110" s="269">
        <f t="shared" si="101"/>
        <v>0</v>
      </c>
      <c r="BM110" s="264">
        <f t="shared" si="55"/>
        <v>497.74624063250002</v>
      </c>
      <c r="BO110" s="732">
        <f t="shared" si="56"/>
        <v>9.6751203326303319</v>
      </c>
    </row>
    <row r="111" spans="2:67" ht="15" customHeight="1" x14ac:dyDescent="0.25">
      <c r="B111" s="156">
        <f t="shared" si="95"/>
        <v>16</v>
      </c>
      <c r="C111" s="180" t="s">
        <v>579</v>
      </c>
      <c r="D111" s="181"/>
      <c r="E111" s="210" t="s">
        <v>126</v>
      </c>
      <c r="G111" s="488">
        <f>'Cust Specific'!S295</f>
        <v>658.28</v>
      </c>
      <c r="H111" s="489">
        <f>'Cust Specific'!S298</f>
        <v>0</v>
      </c>
      <c r="I111" s="471"/>
      <c r="J111" s="471"/>
      <c r="K111" s="472"/>
      <c r="L111" s="471"/>
      <c r="M111" s="471"/>
      <c r="N111" s="471"/>
      <c r="O111" s="472"/>
      <c r="P111" s="471"/>
      <c r="Q111" s="471"/>
      <c r="R111" s="472"/>
      <c r="S111" s="489">
        <f>'Cust Specific'!S296</f>
        <v>0</v>
      </c>
      <c r="T111" s="494">
        <f>'Cust Specific'!S297</f>
        <v>0</v>
      </c>
      <c r="U111" s="491"/>
      <c r="V111" s="492"/>
      <c r="X111" s="183">
        <f>'Q (t)'!G111</f>
        <v>0</v>
      </c>
      <c r="Y111" s="184">
        <f>'Q (t)'!H111</f>
        <v>0</v>
      </c>
      <c r="Z111" s="178">
        <f>'Q (t)'!I111</f>
        <v>0</v>
      </c>
      <c r="AA111" s="178">
        <f>'Q (t)'!J111</f>
        <v>0</v>
      </c>
      <c r="AB111" s="179">
        <f>'Q (t)'!K111</f>
        <v>0</v>
      </c>
      <c r="AC111" s="178">
        <f>'Q (t)'!L111</f>
        <v>0</v>
      </c>
      <c r="AD111" s="178">
        <f>'Q (t)'!M111</f>
        <v>0</v>
      </c>
      <c r="AE111" s="178">
        <f>'Q (t)'!N111</f>
        <v>0</v>
      </c>
      <c r="AF111" s="179">
        <f>'Q (t)'!O111</f>
        <v>0</v>
      </c>
      <c r="AG111" s="178">
        <f>'Q (t)'!P111</f>
        <v>0</v>
      </c>
      <c r="AH111" s="178">
        <f>'Q (t)'!Q111</f>
        <v>0</v>
      </c>
      <c r="AI111" s="179">
        <f>'Q (t)'!R111</f>
        <v>0</v>
      </c>
      <c r="AJ111" s="184">
        <f>'Q (t)'!S111</f>
        <v>0</v>
      </c>
      <c r="AK111" s="178">
        <f>'Q (t)'!T111</f>
        <v>0</v>
      </c>
      <c r="AL111" s="184">
        <f>'Q (t)'!U111</f>
        <v>0</v>
      </c>
      <c r="AM111" s="179">
        <f>'Q (t)'!V111</f>
        <v>0</v>
      </c>
      <c r="AO111" s="183">
        <f t="shared" si="51"/>
        <v>0</v>
      </c>
      <c r="AP111" s="184">
        <f t="shared" si="104"/>
        <v>0</v>
      </c>
      <c r="AQ111" s="178">
        <f t="shared" si="104"/>
        <v>0</v>
      </c>
      <c r="AR111" s="178">
        <f t="shared" si="104"/>
        <v>0</v>
      </c>
      <c r="AS111" s="179">
        <f t="shared" si="104"/>
        <v>0</v>
      </c>
      <c r="AT111" s="178">
        <f t="shared" si="104"/>
        <v>0</v>
      </c>
      <c r="AU111" s="178">
        <f t="shared" si="104"/>
        <v>0</v>
      </c>
      <c r="AV111" s="178">
        <f t="shared" si="104"/>
        <v>0</v>
      </c>
      <c r="AW111" s="179">
        <f t="shared" si="104"/>
        <v>0</v>
      </c>
      <c r="AX111" s="178">
        <f t="shared" si="42"/>
        <v>0</v>
      </c>
      <c r="AY111" s="178">
        <f t="shared" si="42"/>
        <v>0</v>
      </c>
      <c r="AZ111" s="179">
        <f t="shared" si="42"/>
        <v>0</v>
      </c>
      <c r="BA111" s="184">
        <f t="shared" si="41"/>
        <v>0</v>
      </c>
      <c r="BB111" s="178">
        <f t="shared" si="41"/>
        <v>0</v>
      </c>
      <c r="BC111" s="184">
        <f t="shared" si="41"/>
        <v>0</v>
      </c>
      <c r="BD111" s="178">
        <f t="shared" ref="BD111:BD126" si="105">V111*AM111/1000</f>
        <v>0</v>
      </c>
      <c r="BE111" s="251">
        <f t="shared" si="102"/>
        <v>0</v>
      </c>
      <c r="BF111" s="252">
        <f t="shared" si="103"/>
        <v>0</v>
      </c>
      <c r="BH111" s="262">
        <f t="shared" si="97"/>
        <v>0</v>
      </c>
      <c r="BI111" s="262">
        <f t="shared" si="98"/>
        <v>0</v>
      </c>
      <c r="BJ111" s="262">
        <f t="shared" si="99"/>
        <v>0</v>
      </c>
      <c r="BK111" s="263">
        <f t="shared" si="100"/>
        <v>0</v>
      </c>
      <c r="BL111" s="269">
        <f t="shared" si="101"/>
        <v>0</v>
      </c>
      <c r="BM111" s="264">
        <f t="shared" si="55"/>
        <v>0</v>
      </c>
      <c r="BO111" s="732" t="str">
        <f t="shared" si="56"/>
        <v/>
      </c>
    </row>
    <row r="112" spans="2:67" ht="15" customHeight="1" x14ac:dyDescent="0.25">
      <c r="B112" s="156"/>
      <c r="C112" s="126" t="s">
        <v>132</v>
      </c>
      <c r="D112" s="202"/>
      <c r="E112" s="202"/>
      <c r="G112" s="493"/>
      <c r="H112" s="490"/>
      <c r="I112" s="471"/>
      <c r="J112" s="471"/>
      <c r="K112" s="472"/>
      <c r="L112" s="471"/>
      <c r="M112" s="471"/>
      <c r="N112" s="471"/>
      <c r="O112" s="472"/>
      <c r="P112" s="471"/>
      <c r="Q112" s="471"/>
      <c r="R112" s="472"/>
      <c r="S112" s="490"/>
      <c r="T112" s="471"/>
      <c r="U112" s="490"/>
      <c r="V112" s="472"/>
      <c r="X112" s="183">
        <f>'Q (t)'!G112</f>
        <v>0</v>
      </c>
      <c r="Y112" s="184">
        <f>'Q (t)'!H112</f>
        <v>0</v>
      </c>
      <c r="Z112" s="178">
        <f>'Q (t)'!I112</f>
        <v>0</v>
      </c>
      <c r="AA112" s="178">
        <f>'Q (t)'!J112</f>
        <v>0</v>
      </c>
      <c r="AB112" s="179">
        <f>'Q (t)'!K112</f>
        <v>0</v>
      </c>
      <c r="AC112" s="178">
        <f>'Q (t)'!L112</f>
        <v>0</v>
      </c>
      <c r="AD112" s="178">
        <f>'Q (t)'!M112</f>
        <v>0</v>
      </c>
      <c r="AE112" s="178">
        <f>'Q (t)'!N112</f>
        <v>0</v>
      </c>
      <c r="AF112" s="179">
        <f>'Q (t)'!O112</f>
        <v>0</v>
      </c>
      <c r="AG112" s="178">
        <f>'Q (t)'!P112</f>
        <v>0</v>
      </c>
      <c r="AH112" s="178">
        <f>'Q (t)'!Q112</f>
        <v>0</v>
      </c>
      <c r="AI112" s="179">
        <f>'Q (t)'!R112</f>
        <v>0</v>
      </c>
      <c r="AJ112" s="184">
        <f>'Q (t)'!S112</f>
        <v>0</v>
      </c>
      <c r="AK112" s="178">
        <f>'Q (t)'!T112</f>
        <v>0</v>
      </c>
      <c r="AL112" s="184">
        <f>'Q (t)'!U112</f>
        <v>0</v>
      </c>
      <c r="AM112" s="179">
        <f>'Q (t)'!V112</f>
        <v>0</v>
      </c>
      <c r="AO112" s="183">
        <f t="shared" si="51"/>
        <v>0</v>
      </c>
      <c r="AP112" s="184">
        <f t="shared" si="104"/>
        <v>0</v>
      </c>
      <c r="AQ112" s="178">
        <f t="shared" si="104"/>
        <v>0</v>
      </c>
      <c r="AR112" s="178">
        <f t="shared" si="104"/>
        <v>0</v>
      </c>
      <c r="AS112" s="179">
        <f t="shared" si="104"/>
        <v>0</v>
      </c>
      <c r="AT112" s="178">
        <f t="shared" si="104"/>
        <v>0</v>
      </c>
      <c r="AU112" s="178">
        <f t="shared" si="104"/>
        <v>0</v>
      </c>
      <c r="AV112" s="178">
        <f t="shared" si="104"/>
        <v>0</v>
      </c>
      <c r="AW112" s="179">
        <f t="shared" si="104"/>
        <v>0</v>
      </c>
      <c r="AX112" s="178">
        <f t="shared" si="42"/>
        <v>0</v>
      </c>
      <c r="AY112" s="178">
        <f t="shared" si="42"/>
        <v>0</v>
      </c>
      <c r="AZ112" s="179">
        <f t="shared" si="42"/>
        <v>0</v>
      </c>
      <c r="BA112" s="184">
        <f t="shared" si="42"/>
        <v>0</v>
      </c>
      <c r="BB112" s="178">
        <f t="shared" si="42"/>
        <v>0</v>
      </c>
      <c r="BC112" s="184">
        <f t="shared" si="42"/>
        <v>0</v>
      </c>
      <c r="BD112" s="178">
        <f t="shared" si="105"/>
        <v>0</v>
      </c>
      <c r="BE112" s="251">
        <f t="shared" si="53"/>
        <v>0</v>
      </c>
      <c r="BF112" s="252">
        <f t="shared" si="103"/>
        <v>0</v>
      </c>
      <c r="BH112" s="259">
        <f>SUBTOTAL(9,BH113:BH116)</f>
        <v>0</v>
      </c>
      <c r="BI112" s="259">
        <f>SUBTOTAL(9,BI113:BI116)</f>
        <v>170.77819182380003</v>
      </c>
      <c r="BJ112" s="259">
        <f>SUBTOTAL(9,BJ113:BJ116)</f>
        <v>0</v>
      </c>
      <c r="BK112" s="259">
        <f>SUBTOTAL(9,BK113:BK116)</f>
        <v>302.62132866900004</v>
      </c>
      <c r="BL112" s="259">
        <f>SUBTOTAL(9,BL113:BL116)</f>
        <v>0</v>
      </c>
      <c r="BM112" s="264">
        <f t="shared" si="55"/>
        <v>473.39952049280009</v>
      </c>
      <c r="BO112" s="732" t="str">
        <f t="shared" si="56"/>
        <v/>
      </c>
    </row>
    <row r="113" spans="1:70" ht="15" customHeight="1" x14ac:dyDescent="0.25">
      <c r="B113" s="156">
        <f>B110+1</f>
        <v>16</v>
      </c>
      <c r="C113" s="180" t="s">
        <v>133</v>
      </c>
      <c r="D113" s="181"/>
      <c r="E113" s="210" t="s">
        <v>134</v>
      </c>
      <c r="G113" s="488">
        <v>0</v>
      </c>
      <c r="H113" s="489">
        <v>8.2000000000000007E-3</v>
      </c>
      <c r="I113" s="471"/>
      <c r="J113" s="471"/>
      <c r="K113" s="472"/>
      <c r="L113" s="471"/>
      <c r="M113" s="471"/>
      <c r="N113" s="471"/>
      <c r="O113" s="472"/>
      <c r="P113" s="471"/>
      <c r="Q113" s="471"/>
      <c r="R113" s="472"/>
      <c r="S113" s="489">
        <v>0.10829999999999999</v>
      </c>
      <c r="T113" s="494">
        <v>0</v>
      </c>
      <c r="U113" s="491"/>
      <c r="V113" s="492"/>
      <c r="X113" s="183">
        <f>'Q (t)'!G113</f>
        <v>0</v>
      </c>
      <c r="Y113" s="184">
        <f>'Q (t)'!H113</f>
        <v>0</v>
      </c>
      <c r="Z113" s="178">
        <f>'Q (t)'!I113</f>
        <v>0</v>
      </c>
      <c r="AA113" s="178">
        <f>'Q (t)'!J113</f>
        <v>0</v>
      </c>
      <c r="AB113" s="179">
        <f>'Q (t)'!K113</f>
        <v>0</v>
      </c>
      <c r="AC113" s="178">
        <f>'Q (t)'!L113</f>
        <v>0</v>
      </c>
      <c r="AD113" s="178">
        <f>'Q (t)'!M113</f>
        <v>0</v>
      </c>
      <c r="AE113" s="178">
        <f>'Q (t)'!N113</f>
        <v>0</v>
      </c>
      <c r="AF113" s="179">
        <f>'Q (t)'!O113</f>
        <v>0</v>
      </c>
      <c r="AG113" s="178">
        <f>'Q (t)'!P113</f>
        <v>0</v>
      </c>
      <c r="AH113" s="178">
        <f>'Q (t)'!Q113</f>
        <v>0</v>
      </c>
      <c r="AI113" s="179">
        <f>'Q (t)'!R113</f>
        <v>0</v>
      </c>
      <c r="AJ113" s="184">
        <f>'Q (t)'!S113</f>
        <v>0</v>
      </c>
      <c r="AK113" s="178">
        <f>'Q (t)'!T113</f>
        <v>0</v>
      </c>
      <c r="AL113" s="184">
        <f>'Q (t)'!U113</f>
        <v>0</v>
      </c>
      <c r="AM113" s="179">
        <f>'Q (t)'!V113</f>
        <v>0</v>
      </c>
      <c r="AO113" s="183">
        <f t="shared" si="51"/>
        <v>0</v>
      </c>
      <c r="AP113" s="184">
        <f t="shared" si="104"/>
        <v>0</v>
      </c>
      <c r="AQ113" s="178">
        <f t="shared" si="104"/>
        <v>0</v>
      </c>
      <c r="AR113" s="178">
        <f t="shared" si="104"/>
        <v>0</v>
      </c>
      <c r="AS113" s="179">
        <f t="shared" si="104"/>
        <v>0</v>
      </c>
      <c r="AT113" s="178">
        <f t="shared" si="104"/>
        <v>0</v>
      </c>
      <c r="AU113" s="178">
        <f t="shared" si="104"/>
        <v>0</v>
      </c>
      <c r="AV113" s="178">
        <f t="shared" si="104"/>
        <v>0</v>
      </c>
      <c r="AW113" s="179">
        <f t="shared" si="104"/>
        <v>0</v>
      </c>
      <c r="AX113" s="178">
        <f t="shared" ref="AX113:BC126" si="106">P113*AG113/1000</f>
        <v>0</v>
      </c>
      <c r="AY113" s="178">
        <f t="shared" si="106"/>
        <v>0</v>
      </c>
      <c r="AZ113" s="179">
        <f t="shared" si="106"/>
        <v>0</v>
      </c>
      <c r="BA113" s="184">
        <f t="shared" si="106"/>
        <v>0</v>
      </c>
      <c r="BB113" s="178">
        <f t="shared" si="106"/>
        <v>0</v>
      </c>
      <c r="BC113" s="184">
        <f t="shared" si="106"/>
        <v>0</v>
      </c>
      <c r="BD113" s="178">
        <f t="shared" si="105"/>
        <v>0</v>
      </c>
      <c r="BE113" s="251">
        <f t="shared" si="53"/>
        <v>0</v>
      </c>
      <c r="BF113" s="252">
        <f t="shared" si="103"/>
        <v>0</v>
      </c>
      <c r="BH113" s="262">
        <f>SUM(AO113)</f>
        <v>0</v>
      </c>
      <c r="BI113" s="262">
        <f>SUM(AP113:AS113)</f>
        <v>0</v>
      </c>
      <c r="BJ113" s="262">
        <f>SUM(AT113:AW113)</f>
        <v>0</v>
      </c>
      <c r="BK113" s="263">
        <f>SUM(AX113:BB113)</f>
        <v>0</v>
      </c>
      <c r="BL113" s="269">
        <f>SUM(BC113:BD113)</f>
        <v>0</v>
      </c>
      <c r="BM113" s="264">
        <f t="shared" si="55"/>
        <v>0</v>
      </c>
      <c r="BO113" s="732" t="str">
        <f t="shared" si="56"/>
        <v/>
      </c>
    </row>
    <row r="114" spans="1:70" ht="15" customHeight="1" x14ac:dyDescent="0.25">
      <c r="B114" s="156">
        <f>B113+1</f>
        <v>17</v>
      </c>
      <c r="C114" s="180" t="s">
        <v>135</v>
      </c>
      <c r="D114" s="181"/>
      <c r="E114" s="210" t="s">
        <v>136</v>
      </c>
      <c r="G114" s="488">
        <f>'Cust Specific'!S306</f>
        <v>0</v>
      </c>
      <c r="H114" s="489">
        <f>'Cust Specific'!S309</f>
        <v>8.2000000000000007E-3</v>
      </c>
      <c r="I114" s="471"/>
      <c r="J114" s="471"/>
      <c r="K114" s="472"/>
      <c r="L114" s="471"/>
      <c r="M114" s="471"/>
      <c r="N114" s="471"/>
      <c r="O114" s="472"/>
      <c r="P114" s="471"/>
      <c r="Q114" s="471"/>
      <c r="R114" s="472"/>
      <c r="S114" s="489">
        <f>'Cust Specific'!S307</f>
        <v>0.10829999999999999</v>
      </c>
      <c r="T114" s="494">
        <f>'Cust Specific'!S308</f>
        <v>0</v>
      </c>
      <c r="U114" s="491"/>
      <c r="V114" s="492"/>
      <c r="X114" s="183">
        <f>'Q (t)'!G114</f>
        <v>365</v>
      </c>
      <c r="Y114" s="184">
        <f>'Q (t)'!H114</f>
        <v>8287.9185390000002</v>
      </c>
      <c r="Z114" s="178">
        <f>'Q (t)'!I114</f>
        <v>0</v>
      </c>
      <c r="AA114" s="178">
        <f>'Q (t)'!J114</f>
        <v>0</v>
      </c>
      <c r="AB114" s="179">
        <f>'Q (t)'!K114</f>
        <v>0</v>
      </c>
      <c r="AC114" s="178">
        <f>'Q (t)'!L114</f>
        <v>0</v>
      </c>
      <c r="AD114" s="178">
        <f>'Q (t)'!M114</f>
        <v>0</v>
      </c>
      <c r="AE114" s="178">
        <f>'Q (t)'!N114</f>
        <v>0</v>
      </c>
      <c r="AF114" s="179">
        <f>'Q (t)'!O114</f>
        <v>0</v>
      </c>
      <c r="AG114" s="178">
        <f>'Q (t)'!P114</f>
        <v>0</v>
      </c>
      <c r="AH114" s="178">
        <f>'Q (t)'!Q114</f>
        <v>0</v>
      </c>
      <c r="AI114" s="179">
        <f>'Q (t)'!R114</f>
        <v>0</v>
      </c>
      <c r="AJ114" s="184">
        <f>'Q (t)'!S114</f>
        <v>1070883.72</v>
      </c>
      <c r="AK114" s="178">
        <f>'Q (t)'!T114</f>
        <v>2372500</v>
      </c>
      <c r="AL114" s="184">
        <f>'Q (t)'!U114</f>
        <v>0</v>
      </c>
      <c r="AM114" s="179">
        <f>'Q (t)'!V114</f>
        <v>0</v>
      </c>
      <c r="AO114" s="183">
        <f t="shared" si="51"/>
        <v>0</v>
      </c>
      <c r="AP114" s="184">
        <f t="shared" si="104"/>
        <v>67.960932019800012</v>
      </c>
      <c r="AQ114" s="178">
        <f t="shared" si="104"/>
        <v>0</v>
      </c>
      <c r="AR114" s="178">
        <f t="shared" si="104"/>
        <v>0</v>
      </c>
      <c r="AS114" s="179">
        <f t="shared" si="104"/>
        <v>0</v>
      </c>
      <c r="AT114" s="178">
        <f t="shared" si="104"/>
        <v>0</v>
      </c>
      <c r="AU114" s="178">
        <f t="shared" si="104"/>
        <v>0</v>
      </c>
      <c r="AV114" s="178">
        <f t="shared" si="104"/>
        <v>0</v>
      </c>
      <c r="AW114" s="179">
        <f t="shared" si="104"/>
        <v>0</v>
      </c>
      <c r="AX114" s="178">
        <f t="shared" si="106"/>
        <v>0</v>
      </c>
      <c r="AY114" s="178">
        <f t="shared" si="106"/>
        <v>0</v>
      </c>
      <c r="AZ114" s="179">
        <f t="shared" si="106"/>
        <v>0</v>
      </c>
      <c r="BA114" s="184">
        <f t="shared" si="106"/>
        <v>115.97670687599999</v>
      </c>
      <c r="BB114" s="178">
        <f t="shared" si="106"/>
        <v>0</v>
      </c>
      <c r="BC114" s="184">
        <f t="shared" si="106"/>
        <v>0</v>
      </c>
      <c r="BD114" s="178">
        <f t="shared" si="105"/>
        <v>0</v>
      </c>
      <c r="BE114" s="251">
        <f t="shared" si="53"/>
        <v>1</v>
      </c>
      <c r="BF114" s="252">
        <f t="shared" si="103"/>
        <v>8287.9185390000002</v>
      </c>
      <c r="BH114" s="262">
        <f>SUM(AO114)</f>
        <v>0</v>
      </c>
      <c r="BI114" s="262">
        <f>SUM(AP114:AS114)</f>
        <v>67.960932019800012</v>
      </c>
      <c r="BJ114" s="262">
        <f>SUM(AT114:AW114)</f>
        <v>0</v>
      </c>
      <c r="BK114" s="263">
        <f>SUM(AX114:BB114)</f>
        <v>115.97670687599999</v>
      </c>
      <c r="BL114" s="269">
        <f>SUM(BC114:BD114)</f>
        <v>0</v>
      </c>
      <c r="BM114" s="264">
        <f t="shared" si="55"/>
        <v>183.93763889580001</v>
      </c>
      <c r="BO114" s="732">
        <f t="shared" si="56"/>
        <v>22.193466071155843</v>
      </c>
    </row>
    <row r="115" spans="1:70" ht="15" customHeight="1" x14ac:dyDescent="0.25">
      <c r="B115" s="156">
        <f t="shared" ref="B115:B126" si="107">B114+1</f>
        <v>18</v>
      </c>
      <c r="C115" s="180" t="s">
        <v>137</v>
      </c>
      <c r="D115" s="181"/>
      <c r="E115" s="210" t="s">
        <v>136</v>
      </c>
      <c r="G115" s="488">
        <f>'Cust Specific'!S313</f>
        <v>0</v>
      </c>
      <c r="H115" s="489">
        <f>'Cust Specific'!S316</f>
        <v>8.2000000000000007E-3</v>
      </c>
      <c r="I115" s="471"/>
      <c r="J115" s="471"/>
      <c r="K115" s="472"/>
      <c r="L115" s="471"/>
      <c r="M115" s="471"/>
      <c r="N115" s="471"/>
      <c r="O115" s="472"/>
      <c r="P115" s="471"/>
      <c r="Q115" s="471"/>
      <c r="R115" s="472"/>
      <c r="S115" s="489">
        <f>'Cust Specific'!S314</f>
        <v>0.10829999999999999</v>
      </c>
      <c r="T115" s="494">
        <f>'Cust Specific'!S315</f>
        <v>0</v>
      </c>
      <c r="U115" s="491"/>
      <c r="V115" s="492"/>
      <c r="X115" s="183">
        <f>'Q (t)'!G115</f>
        <v>365</v>
      </c>
      <c r="Y115" s="184">
        <f>'Q (t)'!H115</f>
        <v>2738.69022</v>
      </c>
      <c r="Z115" s="178">
        <f>'Q (t)'!I115</f>
        <v>0</v>
      </c>
      <c r="AA115" s="178">
        <f>'Q (t)'!J115</f>
        <v>0</v>
      </c>
      <c r="AB115" s="179">
        <f>'Q (t)'!K115</f>
        <v>0</v>
      </c>
      <c r="AC115" s="178">
        <f>'Q (t)'!L115</f>
        <v>0</v>
      </c>
      <c r="AD115" s="178">
        <f>'Q (t)'!M115</f>
        <v>0</v>
      </c>
      <c r="AE115" s="178">
        <f>'Q (t)'!N115</f>
        <v>0</v>
      </c>
      <c r="AF115" s="179">
        <f>'Q (t)'!O115</f>
        <v>0</v>
      </c>
      <c r="AG115" s="178">
        <f>'Q (t)'!P115</f>
        <v>0</v>
      </c>
      <c r="AH115" s="178">
        <f>'Q (t)'!Q115</f>
        <v>0</v>
      </c>
      <c r="AI115" s="179">
        <f>'Q (t)'!R115</f>
        <v>0</v>
      </c>
      <c r="AJ115" s="184">
        <f>'Q (t)'!S115</f>
        <v>308511.505</v>
      </c>
      <c r="AK115" s="178">
        <f>'Q (t)'!T115</f>
        <v>318869.83999999997</v>
      </c>
      <c r="AL115" s="184">
        <f>'Q (t)'!U115</f>
        <v>0</v>
      </c>
      <c r="AM115" s="179">
        <f>'Q (t)'!V115</f>
        <v>0</v>
      </c>
      <c r="AO115" s="183">
        <f t="shared" si="51"/>
        <v>0</v>
      </c>
      <c r="AP115" s="184">
        <f t="shared" si="104"/>
        <v>22.457259804000003</v>
      </c>
      <c r="AQ115" s="178">
        <f t="shared" si="104"/>
        <v>0</v>
      </c>
      <c r="AR115" s="178">
        <f t="shared" si="104"/>
        <v>0</v>
      </c>
      <c r="AS115" s="179">
        <f t="shared" si="104"/>
        <v>0</v>
      </c>
      <c r="AT115" s="178">
        <f t="shared" si="104"/>
        <v>0</v>
      </c>
      <c r="AU115" s="178">
        <f t="shared" si="104"/>
        <v>0</v>
      </c>
      <c r="AV115" s="178">
        <f t="shared" si="104"/>
        <v>0</v>
      </c>
      <c r="AW115" s="179">
        <f t="shared" si="104"/>
        <v>0</v>
      </c>
      <c r="AX115" s="178">
        <f t="shared" si="106"/>
        <v>0</v>
      </c>
      <c r="AY115" s="178">
        <f t="shared" si="106"/>
        <v>0</v>
      </c>
      <c r="AZ115" s="179">
        <f t="shared" si="106"/>
        <v>0</v>
      </c>
      <c r="BA115" s="184">
        <f t="shared" si="106"/>
        <v>33.411795991499993</v>
      </c>
      <c r="BB115" s="178">
        <f t="shared" si="106"/>
        <v>0</v>
      </c>
      <c r="BC115" s="184">
        <f t="shared" si="106"/>
        <v>0</v>
      </c>
      <c r="BD115" s="178">
        <f t="shared" si="105"/>
        <v>0</v>
      </c>
      <c r="BE115" s="251">
        <f t="shared" si="53"/>
        <v>1</v>
      </c>
      <c r="BF115" s="252">
        <f t="shared" si="103"/>
        <v>2738.69022</v>
      </c>
      <c r="BH115" s="262">
        <f>SUM(AO115)</f>
        <v>0</v>
      </c>
      <c r="BI115" s="262">
        <f>SUM(AP115:AS115)</f>
        <v>22.457259804000003</v>
      </c>
      <c r="BJ115" s="262">
        <f>SUM(AT115:AW115)</f>
        <v>0</v>
      </c>
      <c r="BK115" s="263">
        <f>SUM(AX115:BB115)</f>
        <v>33.411795991499993</v>
      </c>
      <c r="BL115" s="269">
        <f>SUM(BC115:BD115)</f>
        <v>0</v>
      </c>
      <c r="BM115" s="264">
        <f t="shared" si="55"/>
        <v>55.869055795499996</v>
      </c>
      <c r="BO115" s="732">
        <f t="shared" si="56"/>
        <v>20.39991795621923</v>
      </c>
    </row>
    <row r="116" spans="1:70" ht="15" customHeight="1" x14ac:dyDescent="0.25">
      <c r="B116" s="156">
        <f t="shared" si="107"/>
        <v>19</v>
      </c>
      <c r="C116" s="180" t="s">
        <v>138</v>
      </c>
      <c r="D116" s="181"/>
      <c r="E116" s="210" t="s">
        <v>136</v>
      </c>
      <c r="G116" s="488">
        <f>'Cust Specific'!S320</f>
        <v>0</v>
      </c>
      <c r="H116" s="489">
        <f>'Cust Specific'!S323</f>
        <v>8.2000000000000007E-3</v>
      </c>
      <c r="I116" s="471"/>
      <c r="J116" s="471"/>
      <c r="K116" s="472"/>
      <c r="L116" s="471"/>
      <c r="M116" s="471"/>
      <c r="N116" s="471"/>
      <c r="O116" s="472"/>
      <c r="P116" s="471"/>
      <c r="Q116" s="471"/>
      <c r="R116" s="472"/>
      <c r="S116" s="489">
        <f>'Cust Specific'!S321</f>
        <v>0.10829999999999999</v>
      </c>
      <c r="T116" s="494">
        <f>'Cust Specific'!S322</f>
        <v>0</v>
      </c>
      <c r="U116" s="491"/>
      <c r="V116" s="492"/>
      <c r="X116" s="183">
        <f>'Q (t)'!G116</f>
        <v>365</v>
      </c>
      <c r="Y116" s="184">
        <f>'Q (t)'!H116</f>
        <v>9800</v>
      </c>
      <c r="Z116" s="178">
        <f>'Q (t)'!I116</f>
        <v>0</v>
      </c>
      <c r="AA116" s="178">
        <f>'Q (t)'!J116</f>
        <v>0</v>
      </c>
      <c r="AB116" s="179">
        <f>'Q (t)'!K116</f>
        <v>0</v>
      </c>
      <c r="AC116" s="178">
        <f>'Q (t)'!L116</f>
        <v>0</v>
      </c>
      <c r="AD116" s="178">
        <f>'Q (t)'!M116</f>
        <v>0</v>
      </c>
      <c r="AE116" s="178">
        <f>'Q (t)'!N116</f>
        <v>0</v>
      </c>
      <c r="AF116" s="179">
        <f>'Q (t)'!O116</f>
        <v>0</v>
      </c>
      <c r="AG116" s="178">
        <f>'Q (t)'!P116</f>
        <v>0</v>
      </c>
      <c r="AH116" s="178">
        <f>'Q (t)'!Q116</f>
        <v>0</v>
      </c>
      <c r="AI116" s="179">
        <f>'Q (t)'!R116</f>
        <v>0</v>
      </c>
      <c r="AJ116" s="184">
        <f>'Q (t)'!S116</f>
        <v>1414892.2050000001</v>
      </c>
      <c r="AK116" s="178">
        <f>'Q (t)'!T116</f>
        <v>1825000</v>
      </c>
      <c r="AL116" s="184">
        <f>'Q (t)'!U116</f>
        <v>0</v>
      </c>
      <c r="AM116" s="179">
        <f>'Q (t)'!V116</f>
        <v>0</v>
      </c>
      <c r="AO116" s="183">
        <f t="shared" si="51"/>
        <v>0</v>
      </c>
      <c r="AP116" s="184">
        <f t="shared" si="104"/>
        <v>80.360000000000014</v>
      </c>
      <c r="AQ116" s="178">
        <f t="shared" si="104"/>
        <v>0</v>
      </c>
      <c r="AR116" s="178">
        <f t="shared" si="104"/>
        <v>0</v>
      </c>
      <c r="AS116" s="179">
        <f t="shared" si="104"/>
        <v>0</v>
      </c>
      <c r="AT116" s="178">
        <f t="shared" si="104"/>
        <v>0</v>
      </c>
      <c r="AU116" s="178">
        <f t="shared" si="104"/>
        <v>0</v>
      </c>
      <c r="AV116" s="178">
        <f t="shared" si="104"/>
        <v>0</v>
      </c>
      <c r="AW116" s="179">
        <f t="shared" si="104"/>
        <v>0</v>
      </c>
      <c r="AX116" s="178">
        <f t="shared" si="106"/>
        <v>0</v>
      </c>
      <c r="AY116" s="178">
        <f t="shared" si="106"/>
        <v>0</v>
      </c>
      <c r="AZ116" s="179">
        <f t="shared" si="106"/>
        <v>0</v>
      </c>
      <c r="BA116" s="184">
        <f t="shared" si="106"/>
        <v>153.23282580150001</v>
      </c>
      <c r="BB116" s="178">
        <f t="shared" si="106"/>
        <v>0</v>
      </c>
      <c r="BC116" s="184">
        <f t="shared" si="106"/>
        <v>0</v>
      </c>
      <c r="BD116" s="178">
        <f t="shared" si="105"/>
        <v>0</v>
      </c>
      <c r="BE116" s="251">
        <f t="shared" si="53"/>
        <v>1</v>
      </c>
      <c r="BF116" s="252">
        <f t="shared" si="103"/>
        <v>9800</v>
      </c>
      <c r="BH116" s="262">
        <f>SUM(AO116)</f>
        <v>0</v>
      </c>
      <c r="BI116" s="262">
        <f>SUM(AP116:AS116)</f>
        <v>80.360000000000014</v>
      </c>
      <c r="BJ116" s="262">
        <f>SUM(AT116:AW116)</f>
        <v>0</v>
      </c>
      <c r="BK116" s="263">
        <f>SUM(AX116:BB116)</f>
        <v>153.23282580150001</v>
      </c>
      <c r="BL116" s="269">
        <f>SUM(BC116:BD116)</f>
        <v>0</v>
      </c>
      <c r="BM116" s="264">
        <f t="shared" si="55"/>
        <v>233.59282580150003</v>
      </c>
      <c r="BO116" s="732">
        <f t="shared" si="56"/>
        <v>23.836002632806125</v>
      </c>
    </row>
    <row r="117" spans="1:70" ht="15" customHeight="1" x14ac:dyDescent="0.25">
      <c r="B117" s="156"/>
      <c r="C117" s="126" t="s">
        <v>139</v>
      </c>
      <c r="D117" s="202"/>
      <c r="E117" s="202"/>
      <c r="G117" s="493"/>
      <c r="H117" s="490"/>
      <c r="I117" s="471"/>
      <c r="J117" s="471"/>
      <c r="K117" s="472"/>
      <c r="L117" s="471"/>
      <c r="M117" s="471"/>
      <c r="N117" s="471"/>
      <c r="O117" s="472"/>
      <c r="P117" s="471"/>
      <c r="Q117" s="471"/>
      <c r="R117" s="472"/>
      <c r="S117" s="490"/>
      <c r="T117" s="471"/>
      <c r="U117" s="490"/>
      <c r="V117" s="472"/>
      <c r="X117" s="183">
        <f>'Q (t)'!G117</f>
        <v>0</v>
      </c>
      <c r="Y117" s="184">
        <f>'Q (t)'!H117</f>
        <v>0</v>
      </c>
      <c r="Z117" s="178">
        <f>'Q (t)'!I117</f>
        <v>0</v>
      </c>
      <c r="AA117" s="178">
        <f>'Q (t)'!J117</f>
        <v>0</v>
      </c>
      <c r="AB117" s="179">
        <f>'Q (t)'!K117</f>
        <v>0</v>
      </c>
      <c r="AC117" s="178">
        <f>'Q (t)'!L117</f>
        <v>0</v>
      </c>
      <c r="AD117" s="178">
        <f>'Q (t)'!M117</f>
        <v>0</v>
      </c>
      <c r="AE117" s="178">
        <f>'Q (t)'!N117</f>
        <v>0</v>
      </c>
      <c r="AF117" s="179">
        <f>'Q (t)'!O117</f>
        <v>0</v>
      </c>
      <c r="AG117" s="178">
        <f>'Q (t)'!P117</f>
        <v>0</v>
      </c>
      <c r="AH117" s="178">
        <f>'Q (t)'!Q117</f>
        <v>0</v>
      </c>
      <c r="AI117" s="179">
        <f>'Q (t)'!R117</f>
        <v>0</v>
      </c>
      <c r="AJ117" s="184">
        <f>'Q (t)'!S117</f>
        <v>0</v>
      </c>
      <c r="AK117" s="178">
        <f>'Q (t)'!T117</f>
        <v>0</v>
      </c>
      <c r="AL117" s="184">
        <f>'Q (t)'!U117</f>
        <v>0</v>
      </c>
      <c r="AM117" s="179">
        <f>'Q (t)'!V117</f>
        <v>0</v>
      </c>
      <c r="AO117" s="183">
        <f t="shared" si="51"/>
        <v>0</v>
      </c>
      <c r="AP117" s="184">
        <f t="shared" si="104"/>
        <v>0</v>
      </c>
      <c r="AQ117" s="178">
        <f t="shared" si="104"/>
        <v>0</v>
      </c>
      <c r="AR117" s="178">
        <f t="shared" si="104"/>
        <v>0</v>
      </c>
      <c r="AS117" s="179">
        <f t="shared" si="104"/>
        <v>0</v>
      </c>
      <c r="AT117" s="178">
        <f t="shared" si="104"/>
        <v>0</v>
      </c>
      <c r="AU117" s="178">
        <f t="shared" si="104"/>
        <v>0</v>
      </c>
      <c r="AV117" s="178">
        <f t="shared" si="104"/>
        <v>0</v>
      </c>
      <c r="AW117" s="179">
        <f t="shared" si="104"/>
        <v>0</v>
      </c>
      <c r="AX117" s="178">
        <f t="shared" si="106"/>
        <v>0</v>
      </c>
      <c r="AY117" s="178">
        <f t="shared" si="106"/>
        <v>0</v>
      </c>
      <c r="AZ117" s="179">
        <f t="shared" si="106"/>
        <v>0</v>
      </c>
      <c r="BA117" s="184">
        <f t="shared" si="106"/>
        <v>0</v>
      </c>
      <c r="BB117" s="178">
        <f t="shared" si="106"/>
        <v>0</v>
      </c>
      <c r="BC117" s="184">
        <f t="shared" si="106"/>
        <v>0</v>
      </c>
      <c r="BD117" s="178">
        <f t="shared" si="105"/>
        <v>0</v>
      </c>
      <c r="BE117" s="251">
        <f t="shared" si="53"/>
        <v>0</v>
      </c>
      <c r="BF117" s="252">
        <f t="shared" si="103"/>
        <v>0</v>
      </c>
      <c r="BH117" s="259">
        <f>SUBTOTAL(9,BH118:BH126)</f>
        <v>7357.2320000000009</v>
      </c>
      <c r="BI117" s="259">
        <f t="shared" ref="BI117:BL117" si="108">SUBTOTAL(9,BI118:BI126)</f>
        <v>0</v>
      </c>
      <c r="BJ117" s="259">
        <f t="shared" si="108"/>
        <v>0</v>
      </c>
      <c r="BK117" s="259">
        <f t="shared" si="108"/>
        <v>4722.6599142075002</v>
      </c>
      <c r="BL117" s="259">
        <f t="shared" si="108"/>
        <v>0</v>
      </c>
      <c r="BM117" s="264">
        <f t="shared" si="55"/>
        <v>12079.891914207501</v>
      </c>
      <c r="BO117" s="732" t="str">
        <f t="shared" si="56"/>
        <v/>
      </c>
    </row>
    <row r="118" spans="1:70" ht="15" customHeight="1" x14ac:dyDescent="0.25">
      <c r="B118" s="156">
        <f>B116+1</f>
        <v>20</v>
      </c>
      <c r="C118" s="180" t="s">
        <v>140</v>
      </c>
      <c r="D118" s="181"/>
      <c r="E118" s="210" t="s">
        <v>141</v>
      </c>
      <c r="G118" s="488">
        <f>'Cust Specific'!S331</f>
        <v>5469.3</v>
      </c>
      <c r="H118" s="489">
        <f>'Cust Specific'!S334</f>
        <v>0</v>
      </c>
      <c r="I118" s="471"/>
      <c r="J118" s="471"/>
      <c r="K118" s="472"/>
      <c r="L118" s="471"/>
      <c r="M118" s="471"/>
      <c r="N118" s="471"/>
      <c r="O118" s="472"/>
      <c r="P118" s="471"/>
      <c r="Q118" s="471"/>
      <c r="R118" s="472"/>
      <c r="S118" s="489">
        <f>'Cust Specific'!S332</f>
        <v>0</v>
      </c>
      <c r="T118" s="494">
        <f>'Cust Specific'!S333</f>
        <v>0</v>
      </c>
      <c r="U118" s="491"/>
      <c r="V118" s="492"/>
      <c r="X118" s="183">
        <f>'Q (t)'!G118</f>
        <v>365</v>
      </c>
      <c r="Y118" s="184">
        <f>'Q (t)'!H118</f>
        <v>150000</v>
      </c>
      <c r="Z118" s="178">
        <f>'Q (t)'!I118</f>
        <v>0</v>
      </c>
      <c r="AA118" s="178">
        <f>'Q (t)'!J118</f>
        <v>0</v>
      </c>
      <c r="AB118" s="179">
        <f>'Q (t)'!K118</f>
        <v>0</v>
      </c>
      <c r="AC118" s="178">
        <f>'Q (t)'!L118</f>
        <v>0</v>
      </c>
      <c r="AD118" s="178">
        <f>'Q (t)'!M118</f>
        <v>0</v>
      </c>
      <c r="AE118" s="178">
        <f>'Q (t)'!N118</f>
        <v>0</v>
      </c>
      <c r="AF118" s="179">
        <f>'Q (t)'!O118</f>
        <v>0</v>
      </c>
      <c r="AG118" s="178">
        <f>'Q (t)'!P118</f>
        <v>0</v>
      </c>
      <c r="AH118" s="178">
        <f>'Q (t)'!Q118</f>
        <v>0</v>
      </c>
      <c r="AI118" s="179">
        <f>'Q (t)'!R118</f>
        <v>0</v>
      </c>
      <c r="AJ118" s="184">
        <f>'Q (t)'!S118</f>
        <v>7717962.2299999995</v>
      </c>
      <c r="AK118" s="178">
        <f>'Q (t)'!T118</f>
        <v>8005846.4900000002</v>
      </c>
      <c r="AL118" s="184">
        <f>'Q (t)'!U118</f>
        <v>0</v>
      </c>
      <c r="AM118" s="179">
        <f>'Q (t)'!V118</f>
        <v>0</v>
      </c>
      <c r="AO118" s="183">
        <f t="shared" si="51"/>
        <v>1996.2945</v>
      </c>
      <c r="AP118" s="184">
        <f t="shared" si="104"/>
        <v>0</v>
      </c>
      <c r="AQ118" s="178">
        <f t="shared" si="104"/>
        <v>0</v>
      </c>
      <c r="AR118" s="178">
        <f t="shared" si="104"/>
        <v>0</v>
      </c>
      <c r="AS118" s="179">
        <f t="shared" si="104"/>
        <v>0</v>
      </c>
      <c r="AT118" s="178">
        <f t="shared" si="104"/>
        <v>0</v>
      </c>
      <c r="AU118" s="178">
        <f t="shared" si="104"/>
        <v>0</v>
      </c>
      <c r="AV118" s="178">
        <f t="shared" si="104"/>
        <v>0</v>
      </c>
      <c r="AW118" s="179">
        <f t="shared" si="104"/>
        <v>0</v>
      </c>
      <c r="AX118" s="178">
        <f t="shared" si="106"/>
        <v>0</v>
      </c>
      <c r="AY118" s="178">
        <f t="shared" si="106"/>
        <v>0</v>
      </c>
      <c r="AZ118" s="179">
        <f t="shared" si="106"/>
        <v>0</v>
      </c>
      <c r="BA118" s="184">
        <f t="shared" si="106"/>
        <v>0</v>
      </c>
      <c r="BB118" s="178">
        <f t="shared" si="106"/>
        <v>0</v>
      </c>
      <c r="BC118" s="184">
        <f t="shared" si="106"/>
        <v>0</v>
      </c>
      <c r="BD118" s="178">
        <f t="shared" si="105"/>
        <v>0</v>
      </c>
      <c r="BE118" s="251">
        <f t="shared" si="53"/>
        <v>1</v>
      </c>
      <c r="BF118" s="252">
        <f t="shared" si="103"/>
        <v>150000</v>
      </c>
      <c r="BH118" s="262">
        <f t="shared" ref="BH118:BH126" si="109">SUM(AO118)</f>
        <v>1996.2945</v>
      </c>
      <c r="BI118" s="262">
        <f t="shared" ref="BI118:BI126" si="110">SUM(AP118:AS118)</f>
        <v>0</v>
      </c>
      <c r="BJ118" s="262">
        <f t="shared" ref="BJ118:BJ126" si="111">SUM(AT118:AW118)</f>
        <v>0</v>
      </c>
      <c r="BK118" s="263">
        <f t="shared" ref="BK118:BK126" si="112">SUM(AX118:BB118)</f>
        <v>0</v>
      </c>
      <c r="BL118" s="269">
        <f t="shared" ref="BL118:BL126" si="113">SUM(BC118:BD118)</f>
        <v>0</v>
      </c>
      <c r="BM118" s="264">
        <f t="shared" si="55"/>
        <v>1996.2945</v>
      </c>
      <c r="BO118" s="732">
        <f t="shared" si="56"/>
        <v>13.308630000000001</v>
      </c>
    </row>
    <row r="119" spans="1:70" ht="15" customHeight="1" x14ac:dyDescent="0.25">
      <c r="B119" s="156">
        <f t="shared" si="107"/>
        <v>21</v>
      </c>
      <c r="C119" s="180" t="s">
        <v>142</v>
      </c>
      <c r="D119" s="181"/>
      <c r="E119" s="210" t="s">
        <v>141</v>
      </c>
      <c r="G119" s="488">
        <f>'Cust Specific'!S338</f>
        <v>1022.4</v>
      </c>
      <c r="H119" s="489">
        <f>'Cust Specific'!S341</f>
        <v>0</v>
      </c>
      <c r="I119" s="471"/>
      <c r="J119" s="471"/>
      <c r="K119" s="472"/>
      <c r="L119" s="471"/>
      <c r="M119" s="471"/>
      <c r="N119" s="471"/>
      <c r="O119" s="472"/>
      <c r="P119" s="471"/>
      <c r="Q119" s="471"/>
      <c r="R119" s="472"/>
      <c r="S119" s="489">
        <f>'Cust Specific'!S339</f>
        <v>0.23180000000000001</v>
      </c>
      <c r="T119" s="494">
        <f>'Cust Specific'!S340</f>
        <v>0</v>
      </c>
      <c r="U119" s="491"/>
      <c r="V119" s="492"/>
      <c r="X119" s="183">
        <f>'Q (t)'!G119</f>
        <v>365</v>
      </c>
      <c r="Y119" s="184">
        <f>'Q (t)'!H119</f>
        <v>229778.88508499999</v>
      </c>
      <c r="Z119" s="178">
        <f>'Q (t)'!I119</f>
        <v>0</v>
      </c>
      <c r="AA119" s="178">
        <f>'Q (t)'!J119</f>
        <v>0</v>
      </c>
      <c r="AB119" s="179">
        <f>'Q (t)'!K119</f>
        <v>0</v>
      </c>
      <c r="AC119" s="178">
        <f>'Q (t)'!L119</f>
        <v>0</v>
      </c>
      <c r="AD119" s="178">
        <f>'Q (t)'!M119</f>
        <v>0</v>
      </c>
      <c r="AE119" s="178">
        <f>'Q (t)'!N119</f>
        <v>0</v>
      </c>
      <c r="AF119" s="179">
        <f>'Q (t)'!O119</f>
        <v>0</v>
      </c>
      <c r="AG119" s="178">
        <f>'Q (t)'!P119</f>
        <v>0</v>
      </c>
      <c r="AH119" s="178">
        <f>'Q (t)'!Q119</f>
        <v>0</v>
      </c>
      <c r="AI119" s="179">
        <f>'Q (t)'!R119</f>
        <v>0</v>
      </c>
      <c r="AJ119" s="184">
        <f>'Q (t)'!S119</f>
        <v>10220000</v>
      </c>
      <c r="AK119" s="178">
        <f>'Q (t)'!T119</f>
        <v>18207293.905000001</v>
      </c>
      <c r="AL119" s="184">
        <f>'Q (t)'!U119</f>
        <v>0</v>
      </c>
      <c r="AM119" s="179">
        <f>'Q (t)'!V119</f>
        <v>0</v>
      </c>
      <c r="AO119" s="183">
        <f t="shared" si="51"/>
        <v>373.17599999999999</v>
      </c>
      <c r="AP119" s="184">
        <f t="shared" si="104"/>
        <v>0</v>
      </c>
      <c r="AQ119" s="178">
        <f t="shared" si="104"/>
        <v>0</v>
      </c>
      <c r="AR119" s="178">
        <f t="shared" si="104"/>
        <v>0</v>
      </c>
      <c r="AS119" s="179">
        <f t="shared" si="104"/>
        <v>0</v>
      </c>
      <c r="AT119" s="178">
        <f t="shared" si="104"/>
        <v>0</v>
      </c>
      <c r="AU119" s="178">
        <f t="shared" si="104"/>
        <v>0</v>
      </c>
      <c r="AV119" s="178">
        <f t="shared" si="104"/>
        <v>0</v>
      </c>
      <c r="AW119" s="179">
        <f t="shared" si="104"/>
        <v>0</v>
      </c>
      <c r="AX119" s="178">
        <f t="shared" si="106"/>
        <v>0</v>
      </c>
      <c r="AY119" s="178">
        <f t="shared" si="106"/>
        <v>0</v>
      </c>
      <c r="AZ119" s="179">
        <f t="shared" si="106"/>
        <v>0</v>
      </c>
      <c r="BA119" s="184">
        <f t="shared" si="106"/>
        <v>2368.9960000000001</v>
      </c>
      <c r="BB119" s="178">
        <f t="shared" si="106"/>
        <v>0</v>
      </c>
      <c r="BC119" s="184">
        <f t="shared" si="106"/>
        <v>0</v>
      </c>
      <c r="BD119" s="178">
        <f t="shared" si="105"/>
        <v>0</v>
      </c>
      <c r="BE119" s="251">
        <f t="shared" si="53"/>
        <v>1</v>
      </c>
      <c r="BF119" s="252">
        <f t="shared" si="103"/>
        <v>229778.88508499999</v>
      </c>
      <c r="BH119" s="262">
        <f t="shared" si="109"/>
        <v>373.17599999999999</v>
      </c>
      <c r="BI119" s="262">
        <f t="shared" si="110"/>
        <v>0</v>
      </c>
      <c r="BJ119" s="262">
        <f t="shared" si="111"/>
        <v>0</v>
      </c>
      <c r="BK119" s="263">
        <f t="shared" si="112"/>
        <v>2368.9960000000001</v>
      </c>
      <c r="BL119" s="269">
        <f t="shared" si="113"/>
        <v>0</v>
      </c>
      <c r="BM119" s="264">
        <f t="shared" si="55"/>
        <v>2742.172</v>
      </c>
      <c r="BO119" s="732">
        <f t="shared" si="56"/>
        <v>11.933959897949777</v>
      </c>
    </row>
    <row r="120" spans="1:70" ht="15" customHeight="1" x14ac:dyDescent="0.25">
      <c r="B120" s="156">
        <f t="shared" si="107"/>
        <v>22</v>
      </c>
      <c r="C120" s="180" t="s">
        <v>143</v>
      </c>
      <c r="D120" s="181"/>
      <c r="E120" s="210" t="s">
        <v>141</v>
      </c>
      <c r="G120" s="488">
        <f>'Cust Specific'!S345</f>
        <v>6494.83</v>
      </c>
      <c r="H120" s="489">
        <f>'Cust Specific'!S348</f>
        <v>0</v>
      </c>
      <c r="I120" s="471"/>
      <c r="J120" s="471"/>
      <c r="K120" s="472"/>
      <c r="L120" s="471"/>
      <c r="M120" s="471"/>
      <c r="N120" s="471"/>
      <c r="O120" s="472"/>
      <c r="P120" s="471"/>
      <c r="Q120" s="471"/>
      <c r="R120" s="472"/>
      <c r="S120" s="489">
        <f>'Cust Specific'!S346</f>
        <v>0</v>
      </c>
      <c r="T120" s="494">
        <f>'Cust Specific'!S347</f>
        <v>0</v>
      </c>
      <c r="U120" s="491"/>
      <c r="V120" s="492"/>
      <c r="X120" s="183">
        <f>'Q (t)'!G120</f>
        <v>365</v>
      </c>
      <c r="Y120" s="184">
        <f>'Q (t)'!H120</f>
        <v>85000</v>
      </c>
      <c r="Z120" s="178">
        <f>'Q (t)'!I120</f>
        <v>0</v>
      </c>
      <c r="AA120" s="178">
        <f>'Q (t)'!J120</f>
        <v>0</v>
      </c>
      <c r="AB120" s="179">
        <f>'Q (t)'!K120</f>
        <v>0</v>
      </c>
      <c r="AC120" s="178">
        <f>'Q (t)'!L120</f>
        <v>0</v>
      </c>
      <c r="AD120" s="178">
        <f>'Q (t)'!M120</f>
        <v>0</v>
      </c>
      <c r="AE120" s="178">
        <f>'Q (t)'!N120</f>
        <v>0</v>
      </c>
      <c r="AF120" s="179">
        <f>'Q (t)'!O120</f>
        <v>0</v>
      </c>
      <c r="AG120" s="178">
        <f>'Q (t)'!P120</f>
        <v>0</v>
      </c>
      <c r="AH120" s="178">
        <f>'Q (t)'!Q120</f>
        <v>0</v>
      </c>
      <c r="AI120" s="179">
        <f>'Q (t)'!R120</f>
        <v>0</v>
      </c>
      <c r="AJ120" s="184">
        <f>'Q (t)'!S120</f>
        <v>14547318.455</v>
      </c>
      <c r="AK120" s="178">
        <f>'Q (t)'!T120</f>
        <v>15953731.345000001</v>
      </c>
      <c r="AL120" s="184">
        <f>'Q (t)'!U120</f>
        <v>0</v>
      </c>
      <c r="AM120" s="179">
        <f>'Q (t)'!V120</f>
        <v>0</v>
      </c>
      <c r="AO120" s="183">
        <f t="shared" si="51"/>
        <v>2370.6129500000002</v>
      </c>
      <c r="AP120" s="184">
        <f t="shared" si="104"/>
        <v>0</v>
      </c>
      <c r="AQ120" s="178">
        <f t="shared" si="104"/>
        <v>0</v>
      </c>
      <c r="AR120" s="178">
        <f t="shared" si="104"/>
        <v>0</v>
      </c>
      <c r="AS120" s="179">
        <f t="shared" si="104"/>
        <v>0</v>
      </c>
      <c r="AT120" s="178">
        <f t="shared" si="104"/>
        <v>0</v>
      </c>
      <c r="AU120" s="178">
        <f t="shared" si="104"/>
        <v>0</v>
      </c>
      <c r="AV120" s="178">
        <f t="shared" si="104"/>
        <v>0</v>
      </c>
      <c r="AW120" s="179">
        <f t="shared" si="104"/>
        <v>0</v>
      </c>
      <c r="AX120" s="178">
        <f t="shared" si="106"/>
        <v>0</v>
      </c>
      <c r="AY120" s="178">
        <f t="shared" si="106"/>
        <v>0</v>
      </c>
      <c r="AZ120" s="179">
        <f t="shared" si="106"/>
        <v>0</v>
      </c>
      <c r="BA120" s="184">
        <f t="shared" si="106"/>
        <v>0</v>
      </c>
      <c r="BB120" s="178">
        <f t="shared" si="106"/>
        <v>0</v>
      </c>
      <c r="BC120" s="184">
        <f t="shared" si="106"/>
        <v>0</v>
      </c>
      <c r="BD120" s="178">
        <f t="shared" si="105"/>
        <v>0</v>
      </c>
      <c r="BE120" s="251">
        <f t="shared" si="53"/>
        <v>1</v>
      </c>
      <c r="BF120" s="252">
        <f t="shared" si="103"/>
        <v>85000</v>
      </c>
      <c r="BH120" s="262">
        <f t="shared" si="109"/>
        <v>2370.6129500000002</v>
      </c>
      <c r="BI120" s="262">
        <f t="shared" si="110"/>
        <v>0</v>
      </c>
      <c r="BJ120" s="262">
        <f t="shared" si="111"/>
        <v>0</v>
      </c>
      <c r="BK120" s="263">
        <f t="shared" si="112"/>
        <v>0</v>
      </c>
      <c r="BL120" s="269">
        <f t="shared" si="113"/>
        <v>0</v>
      </c>
      <c r="BM120" s="264">
        <f t="shared" si="55"/>
        <v>2370.6129500000002</v>
      </c>
      <c r="BO120" s="732">
        <f t="shared" si="56"/>
        <v>27.889564117647062</v>
      </c>
    </row>
    <row r="121" spans="1:70" ht="15" customHeight="1" x14ac:dyDescent="0.25">
      <c r="B121" s="156">
        <f t="shared" si="107"/>
        <v>23</v>
      </c>
      <c r="C121" s="180" t="s">
        <v>144</v>
      </c>
      <c r="D121" s="181"/>
      <c r="E121" s="210" t="s">
        <v>141</v>
      </c>
      <c r="G121" s="488">
        <f>'Cust Specific'!S352</f>
        <v>73.2</v>
      </c>
      <c r="H121" s="489">
        <f>'Cust Specific'!S355</f>
        <v>0</v>
      </c>
      <c r="I121" s="471"/>
      <c r="J121" s="471"/>
      <c r="K121" s="472"/>
      <c r="L121" s="471"/>
      <c r="M121" s="471"/>
      <c r="N121" s="471"/>
      <c r="O121" s="472"/>
      <c r="P121" s="471"/>
      <c r="Q121" s="471"/>
      <c r="R121" s="472"/>
      <c r="S121" s="489">
        <f>'Cust Specific'!S353</f>
        <v>0.1951</v>
      </c>
      <c r="T121" s="494">
        <f>'Cust Specific'!S354</f>
        <v>0</v>
      </c>
      <c r="U121" s="491"/>
      <c r="V121" s="492"/>
      <c r="X121" s="183">
        <f>'Q (t)'!G121</f>
        <v>365</v>
      </c>
      <c r="Y121" s="184">
        <f>'Q (t)'!H121</f>
        <v>15061.964</v>
      </c>
      <c r="Z121" s="178">
        <f>'Q (t)'!I121</f>
        <v>0</v>
      </c>
      <c r="AA121" s="178">
        <f>'Q (t)'!J121</f>
        <v>0</v>
      </c>
      <c r="AB121" s="179">
        <f>'Q (t)'!K121</f>
        <v>0</v>
      </c>
      <c r="AC121" s="178">
        <f>'Q (t)'!L121</f>
        <v>0</v>
      </c>
      <c r="AD121" s="178">
        <f>'Q (t)'!M121</f>
        <v>0</v>
      </c>
      <c r="AE121" s="178">
        <f>'Q (t)'!N121</f>
        <v>0</v>
      </c>
      <c r="AF121" s="179">
        <f>'Q (t)'!O121</f>
        <v>0</v>
      </c>
      <c r="AG121" s="178">
        <f>'Q (t)'!P121</f>
        <v>0</v>
      </c>
      <c r="AH121" s="178">
        <f>'Q (t)'!Q121</f>
        <v>0</v>
      </c>
      <c r="AI121" s="179">
        <f>'Q (t)'!R121</f>
        <v>0</v>
      </c>
      <c r="AJ121" s="184">
        <f>'Q (t)'!S121</f>
        <v>1836743.875</v>
      </c>
      <c r="AK121" s="178">
        <f>'Q (t)'!T121</f>
        <v>3650000</v>
      </c>
      <c r="AL121" s="184">
        <f>'Q (t)'!U121</f>
        <v>0</v>
      </c>
      <c r="AM121" s="179">
        <f>'Q (t)'!V121</f>
        <v>0</v>
      </c>
      <c r="AO121" s="183">
        <f t="shared" si="51"/>
        <v>26.718</v>
      </c>
      <c r="AP121" s="184">
        <f t="shared" si="104"/>
        <v>0</v>
      </c>
      <c r="AQ121" s="178">
        <f t="shared" si="104"/>
        <v>0</v>
      </c>
      <c r="AR121" s="178">
        <f t="shared" si="104"/>
        <v>0</v>
      </c>
      <c r="AS121" s="179">
        <f t="shared" si="104"/>
        <v>0</v>
      </c>
      <c r="AT121" s="178">
        <f t="shared" si="104"/>
        <v>0</v>
      </c>
      <c r="AU121" s="178">
        <f t="shared" si="104"/>
        <v>0</v>
      </c>
      <c r="AV121" s="178">
        <f t="shared" si="104"/>
        <v>0</v>
      </c>
      <c r="AW121" s="179">
        <f t="shared" si="104"/>
        <v>0</v>
      </c>
      <c r="AX121" s="178">
        <f t="shared" si="106"/>
        <v>0</v>
      </c>
      <c r="AY121" s="178">
        <f t="shared" si="106"/>
        <v>0</v>
      </c>
      <c r="AZ121" s="179">
        <f t="shared" si="106"/>
        <v>0</v>
      </c>
      <c r="BA121" s="184">
        <f t="shared" si="106"/>
        <v>358.34873001250003</v>
      </c>
      <c r="BB121" s="178">
        <f t="shared" si="106"/>
        <v>0</v>
      </c>
      <c r="BC121" s="184">
        <f t="shared" si="106"/>
        <v>0</v>
      </c>
      <c r="BD121" s="178">
        <f t="shared" si="105"/>
        <v>0</v>
      </c>
      <c r="BE121" s="251">
        <f t="shared" si="53"/>
        <v>1</v>
      </c>
      <c r="BF121" s="252">
        <f t="shared" si="103"/>
        <v>15061.964</v>
      </c>
      <c r="BH121" s="262">
        <f t="shared" si="109"/>
        <v>26.718</v>
      </c>
      <c r="BI121" s="262">
        <f t="shared" si="110"/>
        <v>0</v>
      </c>
      <c r="BJ121" s="262">
        <f t="shared" si="111"/>
        <v>0</v>
      </c>
      <c r="BK121" s="263">
        <f t="shared" si="112"/>
        <v>358.34873001250003</v>
      </c>
      <c r="BL121" s="269">
        <f t="shared" si="113"/>
        <v>0</v>
      </c>
      <c r="BM121" s="264">
        <f t="shared" si="55"/>
        <v>385.06673001250005</v>
      </c>
      <c r="BO121" s="732">
        <f t="shared" si="56"/>
        <v>25.565505933522349</v>
      </c>
    </row>
    <row r="122" spans="1:70" ht="15" customHeight="1" x14ac:dyDescent="0.25">
      <c r="B122" s="156">
        <f t="shared" si="107"/>
        <v>24</v>
      </c>
      <c r="C122" s="180" t="s">
        <v>145</v>
      </c>
      <c r="D122" s="181"/>
      <c r="E122" s="210" t="s">
        <v>141</v>
      </c>
      <c r="G122" s="488">
        <f>'Cust Specific'!S359</f>
        <v>334.3</v>
      </c>
      <c r="H122" s="489">
        <f>'Cust Specific'!S362</f>
        <v>0</v>
      </c>
      <c r="I122" s="471"/>
      <c r="J122" s="471"/>
      <c r="K122" s="472"/>
      <c r="L122" s="471"/>
      <c r="M122" s="471"/>
      <c r="N122" s="471"/>
      <c r="O122" s="472"/>
      <c r="P122" s="471"/>
      <c r="Q122" s="471"/>
      <c r="R122" s="472"/>
      <c r="S122" s="489">
        <f>'Cust Specific'!S360</f>
        <v>0.2432</v>
      </c>
      <c r="T122" s="494">
        <f>'Cust Specific'!S361</f>
        <v>0</v>
      </c>
      <c r="U122" s="491"/>
      <c r="V122" s="492"/>
      <c r="X122" s="183">
        <f>'Q (t)'!G122</f>
        <v>365</v>
      </c>
      <c r="Y122" s="184">
        <f>'Q (t)'!H122</f>
        <v>90658.642500000002</v>
      </c>
      <c r="Z122" s="178">
        <f>'Q (t)'!I122</f>
        <v>0</v>
      </c>
      <c r="AA122" s="178">
        <f>'Q (t)'!J122</f>
        <v>0</v>
      </c>
      <c r="AB122" s="179">
        <f>'Q (t)'!K122</f>
        <v>0</v>
      </c>
      <c r="AC122" s="178">
        <f>'Q (t)'!L122</f>
        <v>0</v>
      </c>
      <c r="AD122" s="178">
        <f>'Q (t)'!M122</f>
        <v>0</v>
      </c>
      <c r="AE122" s="178">
        <f>'Q (t)'!N122</f>
        <v>0</v>
      </c>
      <c r="AF122" s="179">
        <f>'Q (t)'!O122</f>
        <v>0</v>
      </c>
      <c r="AG122" s="178">
        <f>'Q (t)'!P122</f>
        <v>0</v>
      </c>
      <c r="AH122" s="178">
        <f>'Q (t)'!Q122</f>
        <v>0</v>
      </c>
      <c r="AI122" s="179">
        <f>'Q (t)'!R122</f>
        <v>0</v>
      </c>
      <c r="AJ122" s="184">
        <f>'Q (t)'!S122</f>
        <v>4013540</v>
      </c>
      <c r="AK122" s="178">
        <f>'Q (t)'!T122</f>
        <v>5960337.9449999994</v>
      </c>
      <c r="AL122" s="184">
        <f>'Q (t)'!U122</f>
        <v>0</v>
      </c>
      <c r="AM122" s="179">
        <f>'Q (t)'!V122</f>
        <v>0</v>
      </c>
      <c r="AO122" s="183">
        <f t="shared" si="51"/>
        <v>122.01949999999999</v>
      </c>
      <c r="AP122" s="184">
        <f t="shared" si="104"/>
        <v>0</v>
      </c>
      <c r="AQ122" s="178">
        <f t="shared" si="104"/>
        <v>0</v>
      </c>
      <c r="AR122" s="178">
        <f t="shared" si="104"/>
        <v>0</v>
      </c>
      <c r="AS122" s="179">
        <f t="shared" si="104"/>
        <v>0</v>
      </c>
      <c r="AT122" s="178">
        <f t="shared" si="104"/>
        <v>0</v>
      </c>
      <c r="AU122" s="178">
        <f t="shared" si="104"/>
        <v>0</v>
      </c>
      <c r="AV122" s="178">
        <f t="shared" si="104"/>
        <v>0</v>
      </c>
      <c r="AW122" s="179">
        <f t="shared" si="104"/>
        <v>0</v>
      </c>
      <c r="AX122" s="178">
        <f t="shared" si="106"/>
        <v>0</v>
      </c>
      <c r="AY122" s="178">
        <f t="shared" si="106"/>
        <v>0</v>
      </c>
      <c r="AZ122" s="179">
        <f t="shared" si="106"/>
        <v>0</v>
      </c>
      <c r="BA122" s="184">
        <f t="shared" si="106"/>
        <v>976.09292799999992</v>
      </c>
      <c r="BB122" s="178">
        <f t="shared" si="106"/>
        <v>0</v>
      </c>
      <c r="BC122" s="184">
        <f t="shared" si="106"/>
        <v>0</v>
      </c>
      <c r="BD122" s="178">
        <f t="shared" si="105"/>
        <v>0</v>
      </c>
      <c r="BE122" s="251">
        <f t="shared" si="53"/>
        <v>1</v>
      </c>
      <c r="BF122" s="252">
        <f t="shared" si="103"/>
        <v>90658.642500000002</v>
      </c>
      <c r="BH122" s="262">
        <f t="shared" si="109"/>
        <v>122.01949999999999</v>
      </c>
      <c r="BI122" s="262">
        <f t="shared" si="110"/>
        <v>0</v>
      </c>
      <c r="BJ122" s="262">
        <f t="shared" si="111"/>
        <v>0</v>
      </c>
      <c r="BK122" s="263">
        <f t="shared" si="112"/>
        <v>976.09292799999992</v>
      </c>
      <c r="BL122" s="269">
        <f t="shared" si="113"/>
        <v>0</v>
      </c>
      <c r="BM122" s="264">
        <f t="shared" si="55"/>
        <v>1098.1124279999999</v>
      </c>
      <c r="BO122" s="732">
        <f t="shared" si="56"/>
        <v>12.112606120260402</v>
      </c>
    </row>
    <row r="123" spans="1:70" ht="15" customHeight="1" x14ac:dyDescent="0.25">
      <c r="B123" s="156">
        <f t="shared" si="107"/>
        <v>25</v>
      </c>
      <c r="C123" s="180" t="s">
        <v>146</v>
      </c>
      <c r="D123" s="181"/>
      <c r="E123" s="210" t="s">
        <v>141</v>
      </c>
      <c r="G123" s="488">
        <f>'Cust Specific'!S366</f>
        <v>440</v>
      </c>
      <c r="H123" s="489">
        <f>'Cust Specific'!S369</f>
        <v>0</v>
      </c>
      <c r="I123" s="471"/>
      <c r="J123" s="471"/>
      <c r="K123" s="472"/>
      <c r="L123" s="471"/>
      <c r="M123" s="471"/>
      <c r="N123" s="471"/>
      <c r="O123" s="472"/>
      <c r="P123" s="471"/>
      <c r="Q123" s="471"/>
      <c r="R123" s="472"/>
      <c r="S123" s="489">
        <f>'Cust Specific'!S367</f>
        <v>0.27689999999999998</v>
      </c>
      <c r="T123" s="494">
        <f>'Cust Specific'!S368</f>
        <v>0</v>
      </c>
      <c r="U123" s="491"/>
      <c r="V123" s="492"/>
      <c r="X123" s="183">
        <f>'Q (t)'!G123</f>
        <v>365</v>
      </c>
      <c r="Y123" s="184">
        <f>'Q (t)'!H123</f>
        <v>31008.333723000003</v>
      </c>
      <c r="Z123" s="178">
        <f>'Q (t)'!I123</f>
        <v>0</v>
      </c>
      <c r="AA123" s="178">
        <f>'Q (t)'!J123</f>
        <v>0</v>
      </c>
      <c r="AB123" s="179">
        <f>'Q (t)'!K123</f>
        <v>0</v>
      </c>
      <c r="AC123" s="178">
        <f>'Q (t)'!L123</f>
        <v>0</v>
      </c>
      <c r="AD123" s="178">
        <f>'Q (t)'!M123</f>
        <v>0</v>
      </c>
      <c r="AE123" s="178">
        <f>'Q (t)'!N123</f>
        <v>0</v>
      </c>
      <c r="AF123" s="179">
        <f>'Q (t)'!O123</f>
        <v>0</v>
      </c>
      <c r="AG123" s="178">
        <f>'Q (t)'!P123</f>
        <v>0</v>
      </c>
      <c r="AH123" s="178">
        <f>'Q (t)'!Q123</f>
        <v>0</v>
      </c>
      <c r="AI123" s="179">
        <f>'Q (t)'!R123</f>
        <v>0</v>
      </c>
      <c r="AJ123" s="184">
        <f>'Q (t)'!S123</f>
        <v>3680831.55</v>
      </c>
      <c r="AK123" s="178">
        <f>'Q (t)'!T123</f>
        <v>3702753.8150000004</v>
      </c>
      <c r="AL123" s="184">
        <f>'Q (t)'!U123</f>
        <v>0</v>
      </c>
      <c r="AM123" s="179">
        <f>'Q (t)'!V123</f>
        <v>0</v>
      </c>
      <c r="AO123" s="183">
        <f t="shared" si="51"/>
        <v>160.6</v>
      </c>
      <c r="AP123" s="184">
        <f t="shared" si="104"/>
        <v>0</v>
      </c>
      <c r="AQ123" s="178">
        <f t="shared" si="104"/>
        <v>0</v>
      </c>
      <c r="AR123" s="178">
        <f t="shared" si="104"/>
        <v>0</v>
      </c>
      <c r="AS123" s="179">
        <f t="shared" si="104"/>
        <v>0</v>
      </c>
      <c r="AT123" s="178">
        <f t="shared" si="104"/>
        <v>0</v>
      </c>
      <c r="AU123" s="178">
        <f t="shared" si="104"/>
        <v>0</v>
      </c>
      <c r="AV123" s="178">
        <f t="shared" si="104"/>
        <v>0</v>
      </c>
      <c r="AW123" s="179">
        <f t="shared" si="104"/>
        <v>0</v>
      </c>
      <c r="AX123" s="178">
        <f t="shared" si="106"/>
        <v>0</v>
      </c>
      <c r="AY123" s="178">
        <f t="shared" si="106"/>
        <v>0</v>
      </c>
      <c r="AZ123" s="179">
        <f t="shared" si="106"/>
        <v>0</v>
      </c>
      <c r="BA123" s="184">
        <f t="shared" si="106"/>
        <v>1019.2222561949999</v>
      </c>
      <c r="BB123" s="178">
        <f t="shared" si="106"/>
        <v>0</v>
      </c>
      <c r="BC123" s="184">
        <f t="shared" si="106"/>
        <v>0</v>
      </c>
      <c r="BD123" s="178">
        <f t="shared" si="105"/>
        <v>0</v>
      </c>
      <c r="BE123" s="251">
        <f t="shared" si="53"/>
        <v>1</v>
      </c>
      <c r="BF123" s="252">
        <f t="shared" si="103"/>
        <v>31008.333723000003</v>
      </c>
      <c r="BH123" s="262">
        <f t="shared" si="109"/>
        <v>160.6</v>
      </c>
      <c r="BI123" s="262">
        <f t="shared" si="110"/>
        <v>0</v>
      </c>
      <c r="BJ123" s="262">
        <f t="shared" si="111"/>
        <v>0</v>
      </c>
      <c r="BK123" s="263">
        <f t="shared" si="112"/>
        <v>1019.2222561949999</v>
      </c>
      <c r="BL123" s="269">
        <f t="shared" si="113"/>
        <v>0</v>
      </c>
      <c r="BM123" s="264">
        <f t="shared" si="55"/>
        <v>1179.8222561949999</v>
      </c>
      <c r="BO123" s="732">
        <f t="shared" si="56"/>
        <v>38.048553873756944</v>
      </c>
    </row>
    <row r="124" spans="1:70" ht="15" customHeight="1" x14ac:dyDescent="0.25">
      <c r="B124" s="156">
        <f t="shared" si="107"/>
        <v>26</v>
      </c>
      <c r="C124" s="180" t="s">
        <v>147</v>
      </c>
      <c r="D124" s="181"/>
      <c r="E124" s="210" t="s">
        <v>141</v>
      </c>
      <c r="G124" s="488">
        <f>'Cust Specific'!S373</f>
        <v>3613.1</v>
      </c>
      <c r="H124" s="489">
        <f>'Cust Specific'!S376</f>
        <v>0</v>
      </c>
      <c r="I124" s="471"/>
      <c r="J124" s="471"/>
      <c r="K124" s="472"/>
      <c r="L124" s="471"/>
      <c r="M124" s="471"/>
      <c r="N124" s="471"/>
      <c r="O124" s="472"/>
      <c r="P124" s="471"/>
      <c r="Q124" s="471"/>
      <c r="R124" s="472"/>
      <c r="S124" s="489">
        <f>'Cust Specific'!S374</f>
        <v>0</v>
      </c>
      <c r="T124" s="494">
        <f>'Cust Specific'!S375</f>
        <v>0</v>
      </c>
      <c r="U124" s="491"/>
      <c r="V124" s="492"/>
      <c r="X124" s="183">
        <f>'Q (t)'!G124</f>
        <v>365</v>
      </c>
      <c r="Y124" s="184">
        <f>'Q (t)'!H124</f>
        <v>17329.286500000002</v>
      </c>
      <c r="Z124" s="178">
        <f>'Q (t)'!I124</f>
        <v>0</v>
      </c>
      <c r="AA124" s="178">
        <f>'Q (t)'!J124</f>
        <v>0</v>
      </c>
      <c r="AB124" s="179">
        <f>'Q (t)'!K124</f>
        <v>0</v>
      </c>
      <c r="AC124" s="178">
        <f>'Q (t)'!L124</f>
        <v>0</v>
      </c>
      <c r="AD124" s="178">
        <f>'Q (t)'!M124</f>
        <v>0</v>
      </c>
      <c r="AE124" s="178">
        <f>'Q (t)'!N124</f>
        <v>0</v>
      </c>
      <c r="AF124" s="179">
        <f>'Q (t)'!O124</f>
        <v>0</v>
      </c>
      <c r="AG124" s="178">
        <f>'Q (t)'!P124</f>
        <v>0</v>
      </c>
      <c r="AH124" s="178">
        <f>'Q (t)'!Q124</f>
        <v>0</v>
      </c>
      <c r="AI124" s="179">
        <f>'Q (t)'!R124</f>
        <v>0</v>
      </c>
      <c r="AJ124" s="184">
        <f>'Q (t)'!S124</f>
        <v>2555000</v>
      </c>
      <c r="AK124" s="178">
        <f>'Q (t)'!T124</f>
        <v>9330396.8149999995</v>
      </c>
      <c r="AL124" s="184">
        <f>'Q (t)'!U124</f>
        <v>0</v>
      </c>
      <c r="AM124" s="179">
        <f>'Q (t)'!V124</f>
        <v>0</v>
      </c>
      <c r="AO124" s="183">
        <f t="shared" si="51"/>
        <v>1318.7815000000001</v>
      </c>
      <c r="AP124" s="184">
        <f t="shared" si="104"/>
        <v>0</v>
      </c>
      <c r="AQ124" s="178">
        <f t="shared" si="104"/>
        <v>0</v>
      </c>
      <c r="AR124" s="178">
        <f t="shared" si="104"/>
        <v>0</v>
      </c>
      <c r="AS124" s="179">
        <f t="shared" si="104"/>
        <v>0</v>
      </c>
      <c r="AT124" s="178">
        <f t="shared" si="104"/>
        <v>0</v>
      </c>
      <c r="AU124" s="178">
        <f t="shared" si="104"/>
        <v>0</v>
      </c>
      <c r="AV124" s="178">
        <f t="shared" si="104"/>
        <v>0</v>
      </c>
      <c r="AW124" s="179">
        <f t="shared" si="104"/>
        <v>0</v>
      </c>
      <c r="AX124" s="178">
        <f t="shared" si="106"/>
        <v>0</v>
      </c>
      <c r="AY124" s="178">
        <f t="shared" si="106"/>
        <v>0</v>
      </c>
      <c r="AZ124" s="179">
        <f t="shared" si="106"/>
        <v>0</v>
      </c>
      <c r="BA124" s="184">
        <f t="shared" si="106"/>
        <v>0</v>
      </c>
      <c r="BB124" s="178">
        <f t="shared" si="106"/>
        <v>0</v>
      </c>
      <c r="BC124" s="184">
        <f t="shared" si="106"/>
        <v>0</v>
      </c>
      <c r="BD124" s="178">
        <f t="shared" si="105"/>
        <v>0</v>
      </c>
      <c r="BE124" s="251">
        <f t="shared" si="53"/>
        <v>1</v>
      </c>
      <c r="BF124" s="252">
        <f t="shared" si="103"/>
        <v>17329.286500000002</v>
      </c>
      <c r="BH124" s="262">
        <f t="shared" si="109"/>
        <v>1318.7815000000001</v>
      </c>
      <c r="BI124" s="262">
        <f t="shared" si="110"/>
        <v>0</v>
      </c>
      <c r="BJ124" s="262">
        <f t="shared" si="111"/>
        <v>0</v>
      </c>
      <c r="BK124" s="263">
        <f t="shared" si="112"/>
        <v>0</v>
      </c>
      <c r="BL124" s="269">
        <f t="shared" si="113"/>
        <v>0</v>
      </c>
      <c r="BM124" s="264">
        <f t="shared" si="55"/>
        <v>1318.7815000000001</v>
      </c>
      <c r="BO124" s="732">
        <f t="shared" si="56"/>
        <v>76.101315538871134</v>
      </c>
    </row>
    <row r="125" spans="1:70" ht="15" customHeight="1" x14ac:dyDescent="0.25">
      <c r="B125" s="156">
        <f t="shared" si="107"/>
        <v>27</v>
      </c>
      <c r="C125" s="180" t="s">
        <v>148</v>
      </c>
      <c r="D125" s="181"/>
      <c r="E125" s="210" t="s">
        <v>141</v>
      </c>
      <c r="G125" s="488">
        <f>'Cust Specific'!S380</f>
        <v>1768.7</v>
      </c>
      <c r="H125" s="489">
        <f>'Cust Specific'!S383</f>
        <v>0</v>
      </c>
      <c r="I125" s="471"/>
      <c r="J125" s="471"/>
      <c r="K125" s="472"/>
      <c r="L125" s="471"/>
      <c r="M125" s="471"/>
      <c r="N125" s="471"/>
      <c r="O125" s="472"/>
      <c r="P125" s="471"/>
      <c r="Q125" s="471"/>
      <c r="R125" s="472"/>
      <c r="S125" s="489">
        <f>'Cust Specific'!S381</f>
        <v>0</v>
      </c>
      <c r="T125" s="494">
        <f>'Cust Specific'!S382</f>
        <v>0</v>
      </c>
      <c r="U125" s="491"/>
      <c r="V125" s="492"/>
      <c r="X125" s="183">
        <f>'Q (t)'!G125</f>
        <v>365</v>
      </c>
      <c r="Y125" s="184">
        <f>'Q (t)'!H125</f>
        <v>33415.6944</v>
      </c>
      <c r="Z125" s="178">
        <f>'Q (t)'!I125</f>
        <v>0</v>
      </c>
      <c r="AA125" s="178">
        <f>'Q (t)'!J125</f>
        <v>0</v>
      </c>
      <c r="AB125" s="179">
        <f>'Q (t)'!K125</f>
        <v>0</v>
      </c>
      <c r="AC125" s="178">
        <f>'Q (t)'!L125</f>
        <v>0</v>
      </c>
      <c r="AD125" s="178">
        <f>'Q (t)'!M125</f>
        <v>0</v>
      </c>
      <c r="AE125" s="178">
        <f>'Q (t)'!N125</f>
        <v>0</v>
      </c>
      <c r="AF125" s="179">
        <f>'Q (t)'!O125</f>
        <v>0</v>
      </c>
      <c r="AG125" s="178">
        <f>'Q (t)'!P125</f>
        <v>0</v>
      </c>
      <c r="AH125" s="178">
        <f>'Q (t)'!Q125</f>
        <v>0</v>
      </c>
      <c r="AI125" s="179">
        <f>'Q (t)'!R125</f>
        <v>0</v>
      </c>
      <c r="AJ125" s="184">
        <f>'Q (t)'!S125</f>
        <v>3308941.4450000003</v>
      </c>
      <c r="AK125" s="178">
        <f>'Q (t)'!T125</f>
        <v>3317635.38</v>
      </c>
      <c r="AL125" s="184">
        <f>'Q (t)'!U125</f>
        <v>0</v>
      </c>
      <c r="AM125" s="179">
        <f>'Q (t)'!V125</f>
        <v>0</v>
      </c>
      <c r="AO125" s="183">
        <f t="shared" si="51"/>
        <v>645.57550000000003</v>
      </c>
      <c r="AP125" s="184">
        <f t="shared" ref="AP125:AW126" si="114">H125*Y125</f>
        <v>0</v>
      </c>
      <c r="AQ125" s="178">
        <f t="shared" si="114"/>
        <v>0</v>
      </c>
      <c r="AR125" s="178">
        <f t="shared" si="114"/>
        <v>0</v>
      </c>
      <c r="AS125" s="179">
        <f t="shared" si="114"/>
        <v>0</v>
      </c>
      <c r="AT125" s="178">
        <f t="shared" si="114"/>
        <v>0</v>
      </c>
      <c r="AU125" s="178">
        <f t="shared" si="114"/>
        <v>0</v>
      </c>
      <c r="AV125" s="178">
        <f t="shared" si="114"/>
        <v>0</v>
      </c>
      <c r="AW125" s="179">
        <f t="shared" si="114"/>
        <v>0</v>
      </c>
      <c r="AX125" s="178">
        <f t="shared" si="106"/>
        <v>0</v>
      </c>
      <c r="AY125" s="178">
        <f t="shared" si="106"/>
        <v>0</v>
      </c>
      <c r="AZ125" s="179">
        <f t="shared" si="106"/>
        <v>0</v>
      </c>
      <c r="BA125" s="184">
        <f t="shared" si="106"/>
        <v>0</v>
      </c>
      <c r="BB125" s="178">
        <f t="shared" si="106"/>
        <v>0</v>
      </c>
      <c r="BC125" s="184">
        <f t="shared" si="106"/>
        <v>0</v>
      </c>
      <c r="BD125" s="178">
        <f t="shared" si="105"/>
        <v>0</v>
      </c>
      <c r="BE125" s="251">
        <f t="shared" si="53"/>
        <v>1</v>
      </c>
      <c r="BF125" s="252">
        <f t="shared" si="103"/>
        <v>33415.6944</v>
      </c>
      <c r="BH125" s="262">
        <f t="shared" si="109"/>
        <v>645.57550000000003</v>
      </c>
      <c r="BI125" s="262">
        <f t="shared" si="110"/>
        <v>0</v>
      </c>
      <c r="BJ125" s="262">
        <f t="shared" si="111"/>
        <v>0</v>
      </c>
      <c r="BK125" s="263">
        <f t="shared" si="112"/>
        <v>0</v>
      </c>
      <c r="BL125" s="269">
        <f t="shared" si="113"/>
        <v>0</v>
      </c>
      <c r="BM125" s="264">
        <f t="shared" si="55"/>
        <v>645.57550000000003</v>
      </c>
      <c r="BO125" s="732">
        <f t="shared" si="56"/>
        <v>19.319529687822378</v>
      </c>
    </row>
    <row r="126" spans="1:70" ht="15" customHeight="1" x14ac:dyDescent="0.25">
      <c r="A126" s="220"/>
      <c r="B126" s="162">
        <f t="shared" si="107"/>
        <v>28</v>
      </c>
      <c r="C126" s="187" t="s">
        <v>149</v>
      </c>
      <c r="D126" s="188"/>
      <c r="E126" s="221" t="s">
        <v>141</v>
      </c>
      <c r="G126" s="496">
        <f>'Cust Specific'!S387</f>
        <v>940.97</v>
      </c>
      <c r="H126" s="497">
        <f>'Cust Specific'!S390</f>
        <v>0</v>
      </c>
      <c r="I126" s="498"/>
      <c r="J126" s="498"/>
      <c r="K126" s="499"/>
      <c r="L126" s="498"/>
      <c r="M126" s="498"/>
      <c r="N126" s="498"/>
      <c r="O126" s="499"/>
      <c r="P126" s="498"/>
      <c r="Q126" s="498"/>
      <c r="R126" s="499"/>
      <c r="S126" s="497">
        <f>'Cust Specific'!S388</f>
        <v>0</v>
      </c>
      <c r="T126" s="500">
        <f>'Cust Specific'!S389</f>
        <v>0</v>
      </c>
      <c r="U126" s="503"/>
      <c r="V126" s="504"/>
      <c r="X126" s="190">
        <f>'Q (t)'!G126</f>
        <v>365</v>
      </c>
      <c r="Y126" s="197">
        <f>'Q (t)'!H126</f>
        <v>12000</v>
      </c>
      <c r="Z126" s="192">
        <f>'Q (t)'!I126</f>
        <v>0</v>
      </c>
      <c r="AA126" s="192">
        <f>'Q (t)'!J126</f>
        <v>0</v>
      </c>
      <c r="AB126" s="193">
        <f>'Q (t)'!K126</f>
        <v>0</v>
      </c>
      <c r="AC126" s="192">
        <f>'Q (t)'!L126</f>
        <v>0</v>
      </c>
      <c r="AD126" s="192">
        <f>'Q (t)'!M126</f>
        <v>0</v>
      </c>
      <c r="AE126" s="192">
        <f>'Q (t)'!N126</f>
        <v>0</v>
      </c>
      <c r="AF126" s="193">
        <f>'Q (t)'!O126</f>
        <v>0</v>
      </c>
      <c r="AG126" s="192">
        <f>'Q (t)'!P126</f>
        <v>0</v>
      </c>
      <c r="AH126" s="192">
        <f>'Q (t)'!Q126</f>
        <v>0</v>
      </c>
      <c r="AI126" s="193">
        <f>'Q (t)'!R126</f>
        <v>0</v>
      </c>
      <c r="AJ126" s="197">
        <f>'Q (t)'!S126</f>
        <v>2015820.54</v>
      </c>
      <c r="AK126" s="192">
        <f>'Q (t)'!T126</f>
        <v>2331851.0449999999</v>
      </c>
      <c r="AL126" s="197">
        <f>'Q (t)'!U126</f>
        <v>0</v>
      </c>
      <c r="AM126" s="193">
        <f>'Q (t)'!V126</f>
        <v>0</v>
      </c>
      <c r="AO126" s="190">
        <f t="shared" si="51"/>
        <v>343.45405</v>
      </c>
      <c r="AP126" s="197">
        <f t="shared" si="114"/>
        <v>0</v>
      </c>
      <c r="AQ126" s="192">
        <f t="shared" si="114"/>
        <v>0</v>
      </c>
      <c r="AR126" s="192">
        <f t="shared" si="114"/>
        <v>0</v>
      </c>
      <c r="AS126" s="193">
        <f t="shared" si="114"/>
        <v>0</v>
      </c>
      <c r="AT126" s="192">
        <f t="shared" si="114"/>
        <v>0</v>
      </c>
      <c r="AU126" s="192">
        <f t="shared" si="114"/>
        <v>0</v>
      </c>
      <c r="AV126" s="192">
        <f t="shared" si="114"/>
        <v>0</v>
      </c>
      <c r="AW126" s="193">
        <f t="shared" si="114"/>
        <v>0</v>
      </c>
      <c r="AX126" s="192">
        <f t="shared" si="106"/>
        <v>0</v>
      </c>
      <c r="AY126" s="192">
        <f t="shared" si="106"/>
        <v>0</v>
      </c>
      <c r="AZ126" s="193">
        <f t="shared" si="106"/>
        <v>0</v>
      </c>
      <c r="BA126" s="197">
        <f t="shared" si="106"/>
        <v>0</v>
      </c>
      <c r="BB126" s="192">
        <f t="shared" si="106"/>
        <v>0</v>
      </c>
      <c r="BC126" s="197">
        <f t="shared" si="106"/>
        <v>0</v>
      </c>
      <c r="BD126" s="193">
        <f t="shared" si="105"/>
        <v>0</v>
      </c>
      <c r="BE126" s="253">
        <f t="shared" si="53"/>
        <v>1</v>
      </c>
      <c r="BF126" s="254">
        <f t="shared" si="103"/>
        <v>12000</v>
      </c>
      <c r="BH126" s="265">
        <f t="shared" si="109"/>
        <v>343.45405</v>
      </c>
      <c r="BI126" s="265">
        <f t="shared" si="110"/>
        <v>0</v>
      </c>
      <c r="BJ126" s="265">
        <f t="shared" si="111"/>
        <v>0</v>
      </c>
      <c r="BK126" s="266">
        <f t="shared" si="112"/>
        <v>0</v>
      </c>
      <c r="BL126" s="270">
        <f t="shared" si="113"/>
        <v>0</v>
      </c>
      <c r="BM126" s="271">
        <f t="shared" si="55"/>
        <v>343.45405</v>
      </c>
      <c r="BO126" s="732">
        <f t="shared" si="56"/>
        <v>28.621170833333334</v>
      </c>
    </row>
    <row r="127" spans="1:70" x14ac:dyDescent="0.25">
      <c r="BE127" s="255"/>
      <c r="BF127" s="256"/>
    </row>
    <row r="128" spans="1:70" x14ac:dyDescent="0.25">
      <c r="C128" s="223" t="s">
        <v>150</v>
      </c>
      <c r="D128" s="224"/>
      <c r="E128" s="224"/>
      <c r="G128" s="224"/>
      <c r="H128" s="224"/>
      <c r="I128" s="224"/>
      <c r="J128" s="224"/>
      <c r="K128" s="224"/>
      <c r="L128" s="224"/>
      <c r="M128" s="224"/>
      <c r="N128" s="224"/>
      <c r="O128" s="224"/>
      <c r="P128" s="224"/>
      <c r="Q128" s="224"/>
      <c r="R128" s="224"/>
      <c r="S128" s="224"/>
      <c r="T128" s="224"/>
      <c r="U128" s="224"/>
      <c r="V128" s="224"/>
      <c r="X128" s="225">
        <f t="shared" ref="X128:AM128" si="115">SUM(X16:X25)</f>
        <v>291420380</v>
      </c>
      <c r="Y128" s="225">
        <f t="shared" si="115"/>
        <v>2657800</v>
      </c>
      <c r="Z128" s="225">
        <f t="shared" si="115"/>
        <v>354400</v>
      </c>
      <c r="AA128" s="225">
        <f t="shared" si="115"/>
        <v>69400</v>
      </c>
      <c r="AB128" s="225">
        <f t="shared" si="115"/>
        <v>105400</v>
      </c>
      <c r="AC128" s="225">
        <f t="shared" si="115"/>
        <v>361600</v>
      </c>
      <c r="AD128" s="225">
        <f t="shared" si="115"/>
        <v>0</v>
      </c>
      <c r="AE128" s="225">
        <f t="shared" si="115"/>
        <v>87500</v>
      </c>
      <c r="AF128" s="225">
        <f t="shared" si="115"/>
        <v>21900</v>
      </c>
      <c r="AG128" s="225">
        <f t="shared" si="115"/>
        <v>0</v>
      </c>
      <c r="AH128" s="225">
        <f t="shared" si="115"/>
        <v>0</v>
      </c>
      <c r="AI128" s="225">
        <f t="shared" si="115"/>
        <v>0</v>
      </c>
      <c r="AJ128" s="225">
        <f t="shared" si="115"/>
        <v>0</v>
      </c>
      <c r="AK128" s="225">
        <f t="shared" si="115"/>
        <v>0</v>
      </c>
      <c r="AL128" s="225">
        <f t="shared" si="115"/>
        <v>1752000</v>
      </c>
      <c r="AM128" s="225">
        <f t="shared" si="115"/>
        <v>0</v>
      </c>
      <c r="AO128" s="225">
        <f t="shared" ref="AO128:BD128" si="116">SUM(AO16:AO25)</f>
        <v>0</v>
      </c>
      <c r="AP128" s="225">
        <f t="shared" si="116"/>
        <v>90099.42</v>
      </c>
      <c r="AQ128" s="225">
        <f t="shared" si="116"/>
        <v>14995.96</v>
      </c>
      <c r="AR128" s="225">
        <f t="shared" si="116"/>
        <v>1168.24</v>
      </c>
      <c r="AS128" s="225">
        <f t="shared" si="116"/>
        <v>892.50000000000011</v>
      </c>
      <c r="AT128" s="225">
        <f t="shared" si="116"/>
        <v>6147.2000000000007</v>
      </c>
      <c r="AU128" s="225">
        <f t="shared" si="116"/>
        <v>0</v>
      </c>
      <c r="AV128" s="225">
        <f t="shared" si="116"/>
        <v>1487.5</v>
      </c>
      <c r="AW128" s="225">
        <f t="shared" si="116"/>
        <v>186.15</v>
      </c>
      <c r="AX128" s="225">
        <f t="shared" si="116"/>
        <v>0</v>
      </c>
      <c r="AY128" s="225">
        <f t="shared" si="116"/>
        <v>0</v>
      </c>
      <c r="AZ128" s="225">
        <f t="shared" si="116"/>
        <v>0</v>
      </c>
      <c r="BA128" s="225">
        <f t="shared" si="116"/>
        <v>0</v>
      </c>
      <c r="BB128" s="225">
        <f t="shared" si="116"/>
        <v>0</v>
      </c>
      <c r="BC128" s="225">
        <f t="shared" si="116"/>
        <v>330.60240000000005</v>
      </c>
      <c r="BD128" s="225">
        <f t="shared" si="116"/>
        <v>0</v>
      </c>
      <c r="BE128" s="251">
        <f>SUM(BE17:BE25)</f>
        <v>798412</v>
      </c>
      <c r="BF128" s="252">
        <f>SUM(BF17:BF25)</f>
        <v>3658000</v>
      </c>
      <c r="BH128" s="225">
        <f t="shared" ref="BH128:BM128" si="117">BH16</f>
        <v>0</v>
      </c>
      <c r="BI128" s="225">
        <f t="shared" si="117"/>
        <v>107156.12</v>
      </c>
      <c r="BJ128" s="225">
        <f t="shared" si="117"/>
        <v>7820.85</v>
      </c>
      <c r="BK128" s="225">
        <f t="shared" si="117"/>
        <v>0</v>
      </c>
      <c r="BL128" s="225">
        <f t="shared" si="117"/>
        <v>330.60240000000005</v>
      </c>
      <c r="BM128" s="225">
        <f t="shared" si="117"/>
        <v>115307.5724</v>
      </c>
      <c r="BN128" s="736">
        <f>BM128/$BM$133</f>
        <v>0.43813872893735667</v>
      </c>
      <c r="BO128" s="732">
        <f t="shared" ref="BO128:BO133" si="118">BM128*1000/BF128</f>
        <v>31.52202635319847</v>
      </c>
      <c r="BQ128" s="677">
        <f>'[14]TUOS (t)'!AR133</f>
        <v>30.427024091159371</v>
      </c>
      <c r="BR128" s="736">
        <f>BO128/BQ128-1</f>
        <v>3.5987819865606063E-2</v>
      </c>
    </row>
    <row r="129" spans="3:70" x14ac:dyDescent="0.25">
      <c r="C129" s="223" t="s">
        <v>151</v>
      </c>
      <c r="D129" s="224"/>
      <c r="E129" s="224"/>
      <c r="G129" s="224"/>
      <c r="H129" s="224"/>
      <c r="I129" s="224"/>
      <c r="J129" s="224"/>
      <c r="K129" s="224"/>
      <c r="L129" s="224"/>
      <c r="M129" s="224"/>
      <c r="N129" s="224"/>
      <c r="O129" s="224"/>
      <c r="P129" s="224"/>
      <c r="Q129" s="224"/>
      <c r="R129" s="224"/>
      <c r="S129" s="224"/>
      <c r="T129" s="224"/>
      <c r="U129" s="224"/>
      <c r="V129" s="224"/>
      <c r="X129" s="225">
        <f t="shared" ref="X129:AM129" si="119">SUM(X26:X39)</f>
        <v>33899740</v>
      </c>
      <c r="Y129" s="225">
        <f t="shared" si="119"/>
        <v>478700</v>
      </c>
      <c r="Z129" s="225">
        <f t="shared" si="119"/>
        <v>208600</v>
      </c>
      <c r="AA129" s="225">
        <f t="shared" si="119"/>
        <v>267600</v>
      </c>
      <c r="AB129" s="225">
        <f t="shared" si="119"/>
        <v>385400</v>
      </c>
      <c r="AC129" s="225">
        <f t="shared" si="119"/>
        <v>6000</v>
      </c>
      <c r="AD129" s="225">
        <f t="shared" si="119"/>
        <v>0</v>
      </c>
      <c r="AE129" s="225">
        <f t="shared" si="119"/>
        <v>0</v>
      </c>
      <c r="AF129" s="225">
        <f t="shared" si="119"/>
        <v>0</v>
      </c>
      <c r="AG129" s="225">
        <f t="shared" si="119"/>
        <v>0</v>
      </c>
      <c r="AH129" s="225">
        <f t="shared" si="119"/>
        <v>1825137</v>
      </c>
      <c r="AI129" s="225">
        <f t="shared" si="119"/>
        <v>4632215</v>
      </c>
      <c r="AJ129" s="225">
        <f t="shared" si="119"/>
        <v>0</v>
      </c>
      <c r="AK129" s="225">
        <f t="shared" si="119"/>
        <v>26073045</v>
      </c>
      <c r="AL129" s="225">
        <f t="shared" si="119"/>
        <v>0</v>
      </c>
      <c r="AM129" s="225">
        <f t="shared" si="119"/>
        <v>0</v>
      </c>
      <c r="AO129" s="225">
        <f t="shared" ref="AO129:BF129" si="120">SUM(AO26:AO39)</f>
        <v>0</v>
      </c>
      <c r="AP129" s="225">
        <f t="shared" si="120"/>
        <v>15994.16</v>
      </c>
      <c r="AQ129" s="225">
        <f t="shared" si="120"/>
        <v>9226.2200000000012</v>
      </c>
      <c r="AR129" s="225">
        <f t="shared" si="120"/>
        <v>10113.239999999998</v>
      </c>
      <c r="AS129" s="225">
        <f t="shared" si="120"/>
        <v>7985.4600000000009</v>
      </c>
      <c r="AT129" s="225">
        <f t="shared" si="120"/>
        <v>102.00000000000001</v>
      </c>
      <c r="AU129" s="225">
        <f t="shared" si="120"/>
        <v>0</v>
      </c>
      <c r="AV129" s="225">
        <f t="shared" si="120"/>
        <v>0</v>
      </c>
      <c r="AW129" s="225">
        <f t="shared" si="120"/>
        <v>0</v>
      </c>
      <c r="AX129" s="225">
        <f t="shared" si="120"/>
        <v>0</v>
      </c>
      <c r="AY129" s="225">
        <f t="shared" si="120"/>
        <v>158.42189160000001</v>
      </c>
      <c r="AZ129" s="225">
        <f t="shared" si="120"/>
        <v>198.72202350000001</v>
      </c>
      <c r="BA129" s="225">
        <f t="shared" si="120"/>
        <v>0</v>
      </c>
      <c r="BB129" s="225">
        <f t="shared" si="120"/>
        <v>0</v>
      </c>
      <c r="BC129" s="225">
        <f t="shared" si="120"/>
        <v>0</v>
      </c>
      <c r="BD129" s="225">
        <f t="shared" si="120"/>
        <v>0</v>
      </c>
      <c r="BE129" s="251">
        <f t="shared" si="120"/>
        <v>92876</v>
      </c>
      <c r="BF129" s="252">
        <f t="shared" si="120"/>
        <v>1346300</v>
      </c>
      <c r="BH129" s="225">
        <f t="shared" ref="BH129:BM129" si="121">BH26</f>
        <v>0</v>
      </c>
      <c r="BI129" s="225">
        <f t="shared" si="121"/>
        <v>43319.08</v>
      </c>
      <c r="BJ129" s="225">
        <f t="shared" si="121"/>
        <v>102.00000000000001</v>
      </c>
      <c r="BK129" s="225">
        <f t="shared" si="121"/>
        <v>357.14391510000002</v>
      </c>
      <c r="BL129" s="225">
        <f t="shared" si="121"/>
        <v>0</v>
      </c>
      <c r="BM129" s="225">
        <f t="shared" si="121"/>
        <v>43778.223915100003</v>
      </c>
      <c r="BN129" s="736">
        <f t="shared" ref="BN129:BN133" si="122">BM129/$BM$133</f>
        <v>0.16634584340010705</v>
      </c>
      <c r="BO129" s="732">
        <f t="shared" si="118"/>
        <v>32.517435872465278</v>
      </c>
      <c r="BQ129" s="677">
        <f>'[14]TUOS (t)'!AR134</f>
        <v>30.747795973207534</v>
      </c>
      <c r="BR129" s="736">
        <f t="shared" ref="BR129:BR136" si="123">BO129/BQ129-1</f>
        <v>5.7553390194202469E-2</v>
      </c>
    </row>
    <row r="130" spans="3:70" x14ac:dyDescent="0.25">
      <c r="C130" s="223" t="s">
        <v>152</v>
      </c>
      <c r="D130" s="224"/>
      <c r="E130" s="224"/>
      <c r="G130" s="224"/>
      <c r="H130" s="224"/>
      <c r="I130" s="224"/>
      <c r="J130" s="224"/>
      <c r="K130" s="224"/>
      <c r="L130" s="224"/>
      <c r="M130" s="224"/>
      <c r="N130" s="224"/>
      <c r="O130" s="224"/>
      <c r="P130" s="224"/>
      <c r="Q130" s="224"/>
      <c r="R130" s="224"/>
      <c r="S130" s="224"/>
      <c r="T130" s="224"/>
      <c r="U130" s="224"/>
      <c r="V130" s="224"/>
      <c r="X130" s="225">
        <f t="shared" ref="X130:AM130" si="124">SUM(X40:X67)</f>
        <v>1581050</v>
      </c>
      <c r="Y130" s="225">
        <f t="shared" si="124"/>
        <v>71100</v>
      </c>
      <c r="Z130" s="225">
        <f t="shared" si="124"/>
        <v>1376300</v>
      </c>
      <c r="AA130" s="225">
        <f t="shared" si="124"/>
        <v>0</v>
      </c>
      <c r="AB130" s="225">
        <f t="shared" si="124"/>
        <v>1303600</v>
      </c>
      <c r="AC130" s="225">
        <f t="shared" si="124"/>
        <v>0</v>
      </c>
      <c r="AD130" s="225">
        <f t="shared" si="124"/>
        <v>0</v>
      </c>
      <c r="AE130" s="225">
        <f t="shared" si="124"/>
        <v>0</v>
      </c>
      <c r="AF130" s="225">
        <f t="shared" si="124"/>
        <v>0</v>
      </c>
      <c r="AG130" s="225">
        <f t="shared" si="124"/>
        <v>3760806</v>
      </c>
      <c r="AH130" s="225">
        <f t="shared" si="124"/>
        <v>5382848</v>
      </c>
      <c r="AI130" s="225">
        <f t="shared" si="124"/>
        <v>11592765</v>
      </c>
      <c r="AJ130" s="225">
        <f t="shared" si="124"/>
        <v>238761465</v>
      </c>
      <c r="AK130" s="225">
        <f t="shared" si="124"/>
        <v>357781395</v>
      </c>
      <c r="AL130" s="225">
        <f t="shared" si="124"/>
        <v>0</v>
      </c>
      <c r="AM130" s="225">
        <f t="shared" si="124"/>
        <v>0</v>
      </c>
      <c r="AO130" s="225">
        <f t="shared" ref="AO130:BF130" si="125">SUM(AO40:AO67)</f>
        <v>0</v>
      </c>
      <c r="AP130" s="225">
        <f t="shared" si="125"/>
        <v>1445.77</v>
      </c>
      <c r="AQ130" s="225">
        <f t="shared" si="125"/>
        <v>24226.160000000003</v>
      </c>
      <c r="AR130" s="225">
        <f t="shared" si="125"/>
        <v>0</v>
      </c>
      <c r="AS130" s="225">
        <f t="shared" si="125"/>
        <v>14339.919999999998</v>
      </c>
      <c r="AT130" s="225">
        <f t="shared" si="125"/>
        <v>0</v>
      </c>
      <c r="AU130" s="225">
        <f t="shared" si="125"/>
        <v>0</v>
      </c>
      <c r="AV130" s="225">
        <f t="shared" si="125"/>
        <v>0</v>
      </c>
      <c r="AW130" s="225">
        <f t="shared" si="125"/>
        <v>0</v>
      </c>
      <c r="AX130" s="225">
        <f t="shared" si="125"/>
        <v>1476.4924355999999</v>
      </c>
      <c r="AY130" s="225">
        <f t="shared" si="125"/>
        <v>467.23120640000002</v>
      </c>
      <c r="AZ130" s="225">
        <f t="shared" si="125"/>
        <v>497.32961849999998</v>
      </c>
      <c r="BA130" s="225">
        <f t="shared" si="125"/>
        <v>25857.8666595</v>
      </c>
      <c r="BB130" s="225">
        <f t="shared" si="125"/>
        <v>0</v>
      </c>
      <c r="BC130" s="225">
        <f t="shared" si="125"/>
        <v>0</v>
      </c>
      <c r="BD130" s="225">
        <f t="shared" si="125"/>
        <v>0</v>
      </c>
      <c r="BE130" s="251">
        <f t="shared" si="125"/>
        <v>4331.6438356164381</v>
      </c>
      <c r="BF130" s="252">
        <f t="shared" si="125"/>
        <v>2751000</v>
      </c>
      <c r="BH130" s="225">
        <f t="shared" ref="BH130:BM130" si="126">BH40</f>
        <v>0</v>
      </c>
      <c r="BI130" s="225">
        <f t="shared" si="126"/>
        <v>40011.85</v>
      </c>
      <c r="BJ130" s="225">
        <f t="shared" si="126"/>
        <v>0</v>
      </c>
      <c r="BK130" s="225">
        <f t="shared" si="126"/>
        <v>28298.91992</v>
      </c>
      <c r="BL130" s="225">
        <f t="shared" si="126"/>
        <v>0</v>
      </c>
      <c r="BM130" s="225">
        <f t="shared" si="126"/>
        <v>68310.769919999992</v>
      </c>
      <c r="BN130" s="736">
        <f t="shared" si="122"/>
        <v>0.2595631256692818</v>
      </c>
      <c r="BO130" s="732">
        <f t="shared" si="118"/>
        <v>24.831250425299885</v>
      </c>
      <c r="BQ130" s="677">
        <f>'[14]TUOS (t)'!AR135</f>
        <v>21.809816272658697</v>
      </c>
      <c r="BR130" s="736">
        <f t="shared" si="123"/>
        <v>0.13853551606617298</v>
      </c>
    </row>
    <row r="131" spans="3:70" x14ac:dyDescent="0.25">
      <c r="C131" s="223" t="s">
        <v>153</v>
      </c>
      <c r="D131" s="224"/>
      <c r="E131" s="224"/>
      <c r="G131" s="224"/>
      <c r="H131" s="224"/>
      <c r="I131" s="224"/>
      <c r="J131" s="224"/>
      <c r="K131" s="224"/>
      <c r="L131" s="224"/>
      <c r="M131" s="224"/>
      <c r="N131" s="224"/>
      <c r="O131" s="224"/>
      <c r="P131" s="224"/>
      <c r="Q131" s="224"/>
      <c r="R131" s="224"/>
      <c r="S131" s="224"/>
      <c r="T131" s="224"/>
      <c r="U131" s="224"/>
      <c r="V131" s="224"/>
      <c r="X131" s="225">
        <f t="shared" ref="X131:AM131" si="127">SUM(X68:X91)</f>
        <v>69715</v>
      </c>
      <c r="Y131" s="225">
        <f t="shared" si="127"/>
        <v>12500</v>
      </c>
      <c r="Z131" s="225">
        <f t="shared" si="127"/>
        <v>353600</v>
      </c>
      <c r="AA131" s="225">
        <f t="shared" si="127"/>
        <v>0</v>
      </c>
      <c r="AB131" s="225">
        <f t="shared" si="127"/>
        <v>377600</v>
      </c>
      <c r="AC131" s="225">
        <f t="shared" si="127"/>
        <v>0</v>
      </c>
      <c r="AD131" s="225">
        <f t="shared" si="127"/>
        <v>0</v>
      </c>
      <c r="AE131" s="225">
        <f t="shared" si="127"/>
        <v>0</v>
      </c>
      <c r="AF131" s="225">
        <f t="shared" si="127"/>
        <v>0</v>
      </c>
      <c r="AG131" s="225">
        <f t="shared" si="127"/>
        <v>546922</v>
      </c>
      <c r="AH131" s="225">
        <f t="shared" si="127"/>
        <v>449678</v>
      </c>
      <c r="AI131" s="225">
        <f t="shared" si="127"/>
        <v>1623520</v>
      </c>
      <c r="AJ131" s="225">
        <f t="shared" si="127"/>
        <v>62775255</v>
      </c>
      <c r="AK131" s="225">
        <f t="shared" si="127"/>
        <v>85346125</v>
      </c>
      <c r="AL131" s="225">
        <f t="shared" si="127"/>
        <v>0</v>
      </c>
      <c r="AM131" s="225">
        <f t="shared" si="127"/>
        <v>0</v>
      </c>
      <c r="AO131" s="225">
        <f t="shared" ref="AO131:BF131" si="128">SUM(AO68:AO91)</f>
        <v>2412.0002999999997</v>
      </c>
      <c r="AP131" s="225">
        <f t="shared" si="128"/>
        <v>253.74999999999997</v>
      </c>
      <c r="AQ131" s="225">
        <f t="shared" si="128"/>
        <v>3845.7799999999997</v>
      </c>
      <c r="AR131" s="225">
        <f t="shared" si="128"/>
        <v>0</v>
      </c>
      <c r="AS131" s="225">
        <f t="shared" si="128"/>
        <v>2673.72</v>
      </c>
      <c r="AT131" s="225">
        <f t="shared" si="128"/>
        <v>0</v>
      </c>
      <c r="AU131" s="225">
        <f t="shared" si="128"/>
        <v>0</v>
      </c>
      <c r="AV131" s="225">
        <f t="shared" si="128"/>
        <v>0</v>
      </c>
      <c r="AW131" s="225">
        <f t="shared" si="128"/>
        <v>0</v>
      </c>
      <c r="AX131" s="225">
        <f t="shared" si="128"/>
        <v>214.72157720000001</v>
      </c>
      <c r="AY131" s="225">
        <f t="shared" si="128"/>
        <v>39.032050400000003</v>
      </c>
      <c r="AZ131" s="225">
        <f t="shared" si="128"/>
        <v>69.649007999999995</v>
      </c>
      <c r="BA131" s="225">
        <f t="shared" si="128"/>
        <v>5707.4668574999996</v>
      </c>
      <c r="BB131" s="225">
        <f t="shared" si="128"/>
        <v>0</v>
      </c>
      <c r="BC131" s="225">
        <f t="shared" si="128"/>
        <v>0</v>
      </c>
      <c r="BD131" s="225">
        <f t="shared" si="128"/>
        <v>0</v>
      </c>
      <c r="BE131" s="251">
        <f t="shared" si="128"/>
        <v>191</v>
      </c>
      <c r="BF131" s="252">
        <f t="shared" si="128"/>
        <v>743700</v>
      </c>
      <c r="BH131" s="225">
        <f t="shared" ref="BH131:BM131" si="129">BH68</f>
        <v>2412.0002999999997</v>
      </c>
      <c r="BI131" s="225">
        <f t="shared" si="129"/>
        <v>6773.25</v>
      </c>
      <c r="BJ131" s="225">
        <f t="shared" si="129"/>
        <v>0</v>
      </c>
      <c r="BK131" s="225">
        <f t="shared" si="129"/>
        <v>6030.8694931</v>
      </c>
      <c r="BL131" s="225">
        <f t="shared" si="129"/>
        <v>0</v>
      </c>
      <c r="BM131" s="225">
        <f t="shared" si="129"/>
        <v>15216.119793099999</v>
      </c>
      <c r="BN131" s="736">
        <f t="shared" si="122"/>
        <v>5.781729028498208E-2</v>
      </c>
      <c r="BO131" s="732">
        <f t="shared" si="118"/>
        <v>20.460023925104206</v>
      </c>
      <c r="BQ131" s="677">
        <f>'[14]TUOS (t)'!AR136</f>
        <v>20.541325697455999</v>
      </c>
      <c r="BR131" s="736">
        <f t="shared" si="123"/>
        <v>-3.9579613092772803E-3</v>
      </c>
    </row>
    <row r="132" spans="3:70" x14ac:dyDescent="0.25">
      <c r="C132" s="223" t="s">
        <v>154</v>
      </c>
      <c r="D132" s="224"/>
      <c r="E132" s="224"/>
      <c r="G132" s="224"/>
      <c r="H132" s="224"/>
      <c r="I132" s="224"/>
      <c r="J132" s="224"/>
      <c r="K132" s="224"/>
      <c r="L132" s="224"/>
      <c r="M132" s="224"/>
      <c r="N132" s="224"/>
      <c r="O132" s="224"/>
      <c r="P132" s="224"/>
      <c r="Q132" s="224"/>
      <c r="R132" s="224"/>
      <c r="S132" s="224"/>
      <c r="T132" s="224"/>
      <c r="U132" s="224"/>
      <c r="V132" s="224"/>
      <c r="X132" s="225">
        <f t="shared" ref="X132:AM132" si="130">SUM(X92:X126)</f>
        <v>9855</v>
      </c>
      <c r="Y132" s="225">
        <f t="shared" si="130"/>
        <v>1194167.5054229998</v>
      </c>
      <c r="Z132" s="225">
        <f t="shared" si="130"/>
        <v>0</v>
      </c>
      <c r="AA132" s="225">
        <f t="shared" si="130"/>
        <v>0</v>
      </c>
      <c r="AB132" s="225">
        <f t="shared" si="130"/>
        <v>0</v>
      </c>
      <c r="AC132" s="225">
        <f t="shared" si="130"/>
        <v>0</v>
      </c>
      <c r="AD132" s="225">
        <f t="shared" si="130"/>
        <v>0</v>
      </c>
      <c r="AE132" s="225">
        <f t="shared" si="130"/>
        <v>0</v>
      </c>
      <c r="AF132" s="225">
        <f t="shared" si="130"/>
        <v>0</v>
      </c>
      <c r="AG132" s="225">
        <f t="shared" si="130"/>
        <v>0</v>
      </c>
      <c r="AH132" s="225">
        <f t="shared" si="130"/>
        <v>0</v>
      </c>
      <c r="AI132" s="225">
        <f t="shared" si="130"/>
        <v>0</v>
      </c>
      <c r="AJ132" s="225">
        <f t="shared" si="130"/>
        <v>90514331.184999987</v>
      </c>
      <c r="AK132" s="225">
        <f t="shared" si="130"/>
        <v>118491241.00499998</v>
      </c>
      <c r="AL132" s="225">
        <f t="shared" si="130"/>
        <v>0</v>
      </c>
      <c r="AM132" s="225">
        <f t="shared" si="130"/>
        <v>0</v>
      </c>
      <c r="AO132" s="225">
        <f t="shared" ref="AO132:BF132" si="131">SUM(AO92:AO126)</f>
        <v>10335.121000000001</v>
      </c>
      <c r="AP132" s="225">
        <f t="shared" si="131"/>
        <v>932.02258793020007</v>
      </c>
      <c r="AQ132" s="225">
        <f t="shared" si="131"/>
        <v>0</v>
      </c>
      <c r="AR132" s="225">
        <f t="shared" si="131"/>
        <v>0</v>
      </c>
      <c r="AS132" s="225">
        <f t="shared" si="131"/>
        <v>0</v>
      </c>
      <c r="AT132" s="225">
        <f t="shared" si="131"/>
        <v>0</v>
      </c>
      <c r="AU132" s="225">
        <f t="shared" si="131"/>
        <v>0</v>
      </c>
      <c r="AV132" s="225">
        <f t="shared" si="131"/>
        <v>0</v>
      </c>
      <c r="AW132" s="225">
        <f t="shared" si="131"/>
        <v>0</v>
      </c>
      <c r="AX132" s="225">
        <f t="shared" si="131"/>
        <v>0</v>
      </c>
      <c r="AY132" s="225">
        <f t="shared" si="131"/>
        <v>0</v>
      </c>
      <c r="AZ132" s="225">
        <f t="shared" si="131"/>
        <v>0</v>
      </c>
      <c r="BA132" s="225">
        <f t="shared" si="131"/>
        <v>9296.1116654409998</v>
      </c>
      <c r="BB132" s="225">
        <f t="shared" si="131"/>
        <v>0</v>
      </c>
      <c r="BC132" s="225">
        <f t="shared" si="131"/>
        <v>0</v>
      </c>
      <c r="BD132" s="225">
        <f t="shared" si="131"/>
        <v>0</v>
      </c>
      <c r="BE132" s="251">
        <f t="shared" si="131"/>
        <v>27</v>
      </c>
      <c r="BF132" s="252">
        <f t="shared" si="131"/>
        <v>1194167.5054229998</v>
      </c>
      <c r="BH132" s="225">
        <f t="shared" ref="BH132:BM132" si="132">BH92</f>
        <v>10335.121000000001</v>
      </c>
      <c r="BI132" s="225">
        <f t="shared" si="132"/>
        <v>932.02258793020007</v>
      </c>
      <c r="BJ132" s="225">
        <f t="shared" si="132"/>
        <v>0</v>
      </c>
      <c r="BK132" s="225">
        <f t="shared" si="132"/>
        <v>9296.1116654409998</v>
      </c>
      <c r="BL132" s="225">
        <f t="shared" si="132"/>
        <v>0</v>
      </c>
      <c r="BM132" s="225">
        <f t="shared" si="132"/>
        <v>20563.255253371201</v>
      </c>
      <c r="BN132" s="736">
        <f t="shared" si="122"/>
        <v>7.81350117082725E-2</v>
      </c>
      <c r="BO132" s="732">
        <f t="shared" si="118"/>
        <v>17.219741083213659</v>
      </c>
      <c r="BQ132" s="677">
        <f>'[14]TUOS (t)'!AR137</f>
        <v>15.70517570579875</v>
      </c>
      <c r="BR132" s="736">
        <f t="shared" si="123"/>
        <v>9.6437340516712267E-2</v>
      </c>
    </row>
    <row r="133" spans="3:70" s="126" customFormat="1" ht="15.75" thickBot="1" x14ac:dyDescent="0.3">
      <c r="C133" s="226" t="s">
        <v>155</v>
      </c>
      <c r="D133" s="227"/>
      <c r="E133" s="227"/>
      <c r="G133" s="227"/>
      <c r="H133" s="227"/>
      <c r="I133" s="227"/>
      <c r="J133" s="227"/>
      <c r="K133" s="227"/>
      <c r="L133" s="227"/>
      <c r="M133" s="227"/>
      <c r="N133" s="227"/>
      <c r="O133" s="227"/>
      <c r="P133" s="227"/>
      <c r="Q133" s="227"/>
      <c r="R133" s="227"/>
      <c r="S133" s="227"/>
      <c r="T133" s="227"/>
      <c r="U133" s="227"/>
      <c r="V133" s="227"/>
      <c r="X133" s="228">
        <f t="shared" ref="X133:AL133" si="133">SUM(X128:X132)</f>
        <v>326980740</v>
      </c>
      <c r="Y133" s="228">
        <f t="shared" si="133"/>
        <v>4414267.5054230001</v>
      </c>
      <c r="Z133" s="228">
        <f t="shared" si="133"/>
        <v>2292900</v>
      </c>
      <c r="AA133" s="228">
        <f t="shared" si="133"/>
        <v>337000</v>
      </c>
      <c r="AB133" s="228">
        <f t="shared" si="133"/>
        <v>2172000</v>
      </c>
      <c r="AC133" s="228">
        <f t="shared" si="133"/>
        <v>367600</v>
      </c>
      <c r="AD133" s="228">
        <f t="shared" si="133"/>
        <v>0</v>
      </c>
      <c r="AE133" s="228">
        <f t="shared" si="133"/>
        <v>87500</v>
      </c>
      <c r="AF133" s="228">
        <f t="shared" si="133"/>
        <v>21900</v>
      </c>
      <c r="AG133" s="228">
        <f t="shared" si="133"/>
        <v>4307728</v>
      </c>
      <c r="AH133" s="228">
        <f t="shared" si="133"/>
        <v>7657663</v>
      </c>
      <c r="AI133" s="228">
        <f t="shared" si="133"/>
        <v>17848500</v>
      </c>
      <c r="AJ133" s="228">
        <f t="shared" si="133"/>
        <v>392051051.185</v>
      </c>
      <c r="AK133" s="228">
        <f t="shared" si="133"/>
        <v>587691806.005</v>
      </c>
      <c r="AL133" s="228">
        <f t="shared" si="133"/>
        <v>1752000</v>
      </c>
      <c r="AM133" s="228">
        <f>SUM(AM128:AM132)</f>
        <v>0</v>
      </c>
      <c r="AO133" s="228">
        <f>SUM(AO128:AO132)</f>
        <v>12747.121300000001</v>
      </c>
      <c r="AP133" s="228">
        <f t="shared" ref="AP133:BD133" si="134">SUM(AP128:AP132)</f>
        <v>108725.12258793021</v>
      </c>
      <c r="AQ133" s="228">
        <f t="shared" si="134"/>
        <v>52294.12</v>
      </c>
      <c r="AR133" s="228">
        <f t="shared" si="134"/>
        <v>11281.479999999998</v>
      </c>
      <c r="AS133" s="228">
        <f t="shared" si="134"/>
        <v>25891.599999999999</v>
      </c>
      <c r="AT133" s="228">
        <f t="shared" si="134"/>
        <v>6249.2000000000007</v>
      </c>
      <c r="AU133" s="228">
        <f t="shared" si="134"/>
        <v>0</v>
      </c>
      <c r="AV133" s="228">
        <f t="shared" si="134"/>
        <v>1487.5</v>
      </c>
      <c r="AW133" s="228">
        <f t="shared" si="134"/>
        <v>186.15</v>
      </c>
      <c r="AX133" s="228">
        <f t="shared" si="134"/>
        <v>1691.2140127999999</v>
      </c>
      <c r="AY133" s="228">
        <f t="shared" si="134"/>
        <v>664.6851484</v>
      </c>
      <c r="AZ133" s="228">
        <f t="shared" si="134"/>
        <v>765.70065</v>
      </c>
      <c r="BA133" s="228">
        <f t="shared" si="134"/>
        <v>40861.445182440999</v>
      </c>
      <c r="BB133" s="228">
        <f t="shared" si="134"/>
        <v>0</v>
      </c>
      <c r="BC133" s="228">
        <f t="shared" si="134"/>
        <v>330.60240000000005</v>
      </c>
      <c r="BD133" s="228">
        <f t="shared" si="134"/>
        <v>0</v>
      </c>
      <c r="BE133" s="245">
        <f>SUM(BE128:BE132)</f>
        <v>895837.64383561641</v>
      </c>
      <c r="BF133" s="246">
        <f>SUM(BF128:BF132)</f>
        <v>9693167.5054230001</v>
      </c>
      <c r="BH133" s="228">
        <f>SUM(BH128:BH132)</f>
        <v>12747.121300000001</v>
      </c>
      <c r="BI133" s="228">
        <f t="shared" ref="BI133:BM133" si="135">SUM(BI128:BI132)</f>
        <v>198192.32258793022</v>
      </c>
      <c r="BJ133" s="228">
        <f t="shared" si="135"/>
        <v>7922.85</v>
      </c>
      <c r="BK133" s="228">
        <f t="shared" si="135"/>
        <v>43983.044993641</v>
      </c>
      <c r="BL133" s="228">
        <f t="shared" si="135"/>
        <v>330.60240000000005</v>
      </c>
      <c r="BM133" s="228">
        <f t="shared" si="135"/>
        <v>263175.94128157117</v>
      </c>
      <c r="BN133" s="736">
        <f t="shared" si="122"/>
        <v>1</v>
      </c>
      <c r="BO133" s="733">
        <f t="shared" si="118"/>
        <v>27.150664747548532</v>
      </c>
      <c r="BQ133" s="677">
        <f>'[14]TUOS (t)'!AR138</f>
        <v>25.442574921469358</v>
      </c>
      <c r="BR133" s="736">
        <f t="shared" si="123"/>
        <v>6.713510056868599E-2</v>
      </c>
    </row>
    <row r="134" spans="3:70" x14ac:dyDescent="0.25">
      <c r="C134" s="222"/>
      <c r="D134" s="222"/>
      <c r="K134" s="136"/>
      <c r="L134" s="136"/>
      <c r="M134" s="136"/>
      <c r="N134" s="136"/>
      <c r="O134" s="136"/>
      <c r="P134" s="136"/>
      <c r="Q134" s="136"/>
      <c r="R134" s="136"/>
      <c r="S134" s="136"/>
      <c r="T134" s="136"/>
      <c r="U134" s="136"/>
      <c r="V134" s="136"/>
      <c r="AB134" s="136"/>
      <c r="AC134" s="136"/>
      <c r="AD134" s="136"/>
      <c r="AE134" s="136"/>
      <c r="AF134" s="136"/>
      <c r="AG134" s="136"/>
      <c r="AH134" s="136"/>
      <c r="AI134" s="136"/>
      <c r="AJ134" s="136"/>
      <c r="AK134" s="136"/>
      <c r="AL134" s="136"/>
      <c r="AM134" s="136"/>
      <c r="AS134" s="136"/>
      <c r="AT134" s="136"/>
      <c r="AU134" s="136"/>
      <c r="AV134" s="136"/>
      <c r="AW134" s="136"/>
      <c r="AX134" s="136"/>
      <c r="AY134" s="136"/>
      <c r="AZ134" s="136"/>
      <c r="BA134" s="136"/>
      <c r="BB134" s="136"/>
      <c r="BC134" s="136"/>
      <c r="BD134" s="136"/>
      <c r="BE134" s="257"/>
      <c r="BF134" s="257"/>
      <c r="BN134" s="736"/>
      <c r="BO134" s="731"/>
      <c r="BR134" s="736"/>
    </row>
    <row r="135" spans="3:70" x14ac:dyDescent="0.25">
      <c r="C135" s="223" t="s">
        <v>617</v>
      </c>
      <c r="D135" s="224"/>
      <c r="J135" s="136"/>
      <c r="K135" s="136"/>
      <c r="L135" s="136"/>
      <c r="M135" s="136"/>
      <c r="N135" s="136"/>
      <c r="O135" s="136"/>
      <c r="P135" s="136"/>
      <c r="Q135" s="136"/>
      <c r="R135" s="136"/>
      <c r="S135" s="136"/>
      <c r="T135" s="136"/>
      <c r="U135" s="136"/>
      <c r="AB135" s="136"/>
      <c r="AC135" s="136"/>
      <c r="AD135" s="136"/>
      <c r="AE135" s="136"/>
      <c r="AF135" s="136"/>
      <c r="AG135" s="136"/>
      <c r="AH135" s="136"/>
      <c r="AI135" s="136"/>
      <c r="AJ135" s="136"/>
      <c r="AK135" s="136"/>
      <c r="AL135" s="136"/>
      <c r="AS135" s="136"/>
      <c r="AT135" s="136"/>
      <c r="AU135" s="136"/>
      <c r="AV135" s="136"/>
      <c r="AW135" s="136"/>
      <c r="AX135" s="136"/>
      <c r="AY135" s="136"/>
      <c r="AZ135" s="136"/>
      <c r="BA135" s="136"/>
      <c r="BB135" s="136"/>
      <c r="BC135" s="136"/>
      <c r="BD135" s="136"/>
      <c r="BE135" s="257"/>
      <c r="BF135" s="252">
        <f>BF128-BF136</f>
        <v>3187000</v>
      </c>
      <c r="BH135" s="225">
        <f>BH128</f>
        <v>0</v>
      </c>
      <c r="BI135" s="225">
        <f>BI128</f>
        <v>107156.12</v>
      </c>
      <c r="BJ135" s="225"/>
      <c r="BK135" s="225">
        <f>BK128</f>
        <v>0</v>
      </c>
      <c r="BL135" s="225">
        <f>BL128</f>
        <v>330.60240000000005</v>
      </c>
      <c r="BM135" s="225">
        <f>SUM(BH135:BL135)</f>
        <v>107486.7224</v>
      </c>
      <c r="BN135" s="736">
        <f t="shared" ref="BN135:BN136" si="136">BM135/$BM$133</f>
        <v>0.40842153684937432</v>
      </c>
      <c r="BO135" s="732">
        <f>BM135*1000/BF135</f>
        <v>33.726615123941009</v>
      </c>
      <c r="BQ135" s="677">
        <f>'[14]TUOS (t)'!AR131</f>
        <v>32.500056930511271</v>
      </c>
      <c r="BR135" s="736">
        <f t="shared" si="123"/>
        <v>3.7740185995743136E-2</v>
      </c>
    </row>
    <row r="136" spans="3:70" x14ac:dyDescent="0.25">
      <c r="C136" s="223" t="s">
        <v>616</v>
      </c>
      <c r="D136" s="224"/>
      <c r="J136" s="136"/>
      <c r="K136" s="136"/>
      <c r="L136" s="136"/>
      <c r="M136" s="136"/>
      <c r="N136" s="136"/>
      <c r="O136" s="136"/>
      <c r="P136" s="136"/>
      <c r="Q136" s="136"/>
      <c r="R136" s="136"/>
      <c r="S136" s="136"/>
      <c r="T136" s="136"/>
      <c r="U136" s="136"/>
      <c r="AB136" s="136"/>
      <c r="AC136" s="136"/>
      <c r="AD136" s="136"/>
      <c r="AE136" s="136"/>
      <c r="AF136" s="136"/>
      <c r="AG136" s="136"/>
      <c r="AH136" s="136"/>
      <c r="AI136" s="136"/>
      <c r="AJ136" s="136"/>
      <c r="AK136" s="136"/>
      <c r="AL136" s="136"/>
      <c r="AS136" s="136"/>
      <c r="AT136" s="136"/>
      <c r="AU136" s="136"/>
      <c r="AV136" s="136"/>
      <c r="AW136" s="136"/>
      <c r="AX136" s="136"/>
      <c r="AY136" s="136"/>
      <c r="AZ136" s="136"/>
      <c r="BA136" s="136"/>
      <c r="BB136" s="136"/>
      <c r="BC136" s="136"/>
      <c r="BD136" s="136"/>
      <c r="BE136" s="257"/>
      <c r="BF136" s="252">
        <f>SUM(AC16:AF25)</f>
        <v>471000</v>
      </c>
      <c r="BH136" s="225"/>
      <c r="BI136" s="225"/>
      <c r="BJ136" s="225">
        <f>BJ128</f>
        <v>7820.85</v>
      </c>
      <c r="BK136" s="225"/>
      <c r="BL136" s="225"/>
      <c r="BM136" s="225">
        <f>SUM(BH136:BL136)</f>
        <v>7820.85</v>
      </c>
      <c r="BN136" s="736">
        <f t="shared" si="136"/>
        <v>2.9717192087982298E-2</v>
      </c>
      <c r="BO136" s="732">
        <f>BM136*1000/BF136</f>
        <v>16.604777070063694</v>
      </c>
      <c r="BQ136" s="677">
        <f>'[14]TUOS (t)'!AR132</f>
        <v>16.599999999999998</v>
      </c>
      <c r="BR136" s="736">
        <f t="shared" si="123"/>
        <v>2.8777530504187077E-4</v>
      </c>
    </row>
    <row r="137" spans="3:70" x14ac:dyDescent="0.25">
      <c r="J137" s="136"/>
      <c r="K137" s="136"/>
      <c r="L137" s="136"/>
      <c r="M137" s="136"/>
      <c r="N137" s="136"/>
      <c r="O137" s="136"/>
      <c r="P137" s="136"/>
      <c r="Q137" s="136"/>
      <c r="R137" s="136"/>
      <c r="S137" s="136"/>
      <c r="T137" s="136"/>
      <c r="U137" s="136"/>
      <c r="AB137" s="136"/>
      <c r="AC137" s="136"/>
      <c r="AD137" s="136"/>
      <c r="AE137" s="136"/>
      <c r="AF137" s="136"/>
      <c r="AG137" s="136"/>
      <c r="AH137" s="136"/>
      <c r="AI137" s="136"/>
      <c r="AJ137" s="136"/>
      <c r="AK137" s="136"/>
      <c r="AL137" s="136"/>
      <c r="AS137" s="136"/>
      <c r="AT137" s="136"/>
      <c r="AU137" s="136"/>
      <c r="AV137" s="136"/>
      <c r="AW137" s="136"/>
      <c r="AX137" s="136"/>
      <c r="AY137" s="136"/>
      <c r="AZ137" s="136"/>
      <c r="BA137" s="136"/>
      <c r="BB137" s="136"/>
      <c r="BC137" s="136"/>
      <c r="BD137" s="136"/>
      <c r="BE137" s="257"/>
      <c r="BF137" s="734"/>
      <c r="BH137" s="225"/>
      <c r="BI137" s="225"/>
      <c r="BJ137" s="225"/>
      <c r="BK137" s="225"/>
      <c r="BL137" s="225"/>
      <c r="BM137" s="225"/>
      <c r="BN137" s="736"/>
      <c r="BO137" s="732"/>
    </row>
    <row r="138" spans="3:70" x14ac:dyDescent="0.25">
      <c r="J138" s="136"/>
      <c r="K138" s="136"/>
      <c r="L138" s="136"/>
      <c r="M138" s="136"/>
      <c r="N138" s="136"/>
      <c r="O138" s="136"/>
      <c r="P138" s="136"/>
      <c r="Q138" s="136"/>
      <c r="R138" s="136"/>
      <c r="S138" s="136"/>
      <c r="T138" s="136"/>
      <c r="U138" s="136"/>
      <c r="AB138" s="136"/>
      <c r="AC138" s="136"/>
      <c r="AD138" s="136"/>
      <c r="AE138" s="136"/>
      <c r="AF138" s="136"/>
      <c r="AG138" s="136"/>
      <c r="AH138" s="136"/>
      <c r="AI138" s="136"/>
      <c r="AJ138" s="136"/>
      <c r="AK138" s="136"/>
      <c r="AL138" s="136"/>
      <c r="AS138" s="136"/>
      <c r="AT138" s="136"/>
      <c r="AU138" s="136"/>
      <c r="AV138" s="136"/>
      <c r="AW138" s="136"/>
      <c r="AX138" s="136"/>
      <c r="AY138" s="136"/>
      <c r="AZ138" s="136"/>
      <c r="BA138" s="136"/>
      <c r="BB138" s="136"/>
      <c r="BC138" s="136"/>
      <c r="BD138" s="136"/>
      <c r="BE138" s="257"/>
    </row>
    <row r="139" spans="3:70" x14ac:dyDescent="0.25">
      <c r="E139" s="229" t="s">
        <v>197</v>
      </c>
      <c r="F139" s="229"/>
      <c r="G139" s="230" t="s">
        <v>156</v>
      </c>
      <c r="H139" s="230" t="s">
        <v>157</v>
      </c>
      <c r="I139" s="230" t="s">
        <v>155</v>
      </c>
      <c r="J139" s="136"/>
      <c r="K139" s="136"/>
      <c r="L139" s="136"/>
      <c r="M139" s="136"/>
      <c r="N139" s="136"/>
      <c r="O139" s="136"/>
      <c r="P139" s="136"/>
      <c r="Q139" s="136"/>
      <c r="R139" s="136"/>
      <c r="S139" s="136"/>
      <c r="T139" s="136"/>
      <c r="U139" s="136"/>
      <c r="AB139" s="136"/>
      <c r="AC139" s="136"/>
      <c r="AD139" s="136"/>
      <c r="AE139" s="136"/>
      <c r="AF139" s="136"/>
      <c r="AG139" s="136"/>
      <c r="AH139" s="136"/>
      <c r="AI139" s="136"/>
      <c r="AJ139" s="136"/>
      <c r="AK139" s="136"/>
      <c r="AL139" s="136"/>
      <c r="AS139" s="136"/>
      <c r="AT139" s="136"/>
      <c r="AU139" s="136"/>
      <c r="AV139" s="136"/>
      <c r="AW139" s="136"/>
      <c r="AX139" s="136"/>
      <c r="AY139" s="136"/>
      <c r="AZ139" s="136"/>
      <c r="BA139" s="136"/>
      <c r="BB139" s="136"/>
      <c r="BC139" s="136"/>
      <c r="BD139" s="136"/>
      <c r="BE139" s="257"/>
    </row>
    <row r="140" spans="3:70" x14ac:dyDescent="0.25">
      <c r="E140" s="231"/>
      <c r="F140" s="231"/>
      <c r="G140" s="231"/>
      <c r="H140" s="231"/>
      <c r="I140" s="231"/>
      <c r="J140" s="136"/>
      <c r="K140" s="136"/>
      <c r="L140" s="136"/>
      <c r="M140" s="136"/>
      <c r="N140" s="136"/>
      <c r="O140" s="136"/>
      <c r="P140" s="136"/>
      <c r="Q140" s="136"/>
      <c r="R140" s="136"/>
      <c r="S140" s="136"/>
      <c r="T140" s="136"/>
      <c r="U140" s="136"/>
      <c r="AB140" s="136"/>
      <c r="AC140" s="136"/>
      <c r="AD140" s="136"/>
      <c r="AE140" s="136"/>
      <c r="AF140" s="136"/>
      <c r="AG140" s="136"/>
      <c r="AH140" s="136"/>
      <c r="AI140" s="136"/>
      <c r="AJ140" s="136"/>
      <c r="AK140" s="136"/>
      <c r="AL140" s="136"/>
      <c r="AS140" s="136"/>
      <c r="AT140" s="136"/>
      <c r="AU140" s="136"/>
      <c r="AV140" s="136"/>
      <c r="AW140" s="136"/>
      <c r="AX140" s="136"/>
      <c r="AY140" s="136"/>
      <c r="AZ140" s="136"/>
      <c r="BA140" s="136"/>
      <c r="BB140" s="136"/>
      <c r="BC140" s="136"/>
      <c r="BD140" s="136"/>
      <c r="BE140" s="257"/>
    </row>
    <row r="141" spans="3:70" x14ac:dyDescent="0.25">
      <c r="E141" s="231" t="s">
        <v>45</v>
      </c>
      <c r="F141" s="231"/>
      <c r="G141" s="232">
        <f>SUM(AO18:AO19,AX18:BD19)</f>
        <v>0</v>
      </c>
      <c r="H141" s="232">
        <f>SUM(AP18:AS19)</f>
        <v>90099.42</v>
      </c>
      <c r="I141" s="232">
        <f>SUM(G141:H141)</f>
        <v>90099.42</v>
      </c>
      <c r="J141" s="136"/>
      <c r="K141" s="136"/>
      <c r="L141" s="136"/>
      <c r="M141" s="136"/>
      <c r="N141" s="136"/>
      <c r="O141" s="136"/>
      <c r="P141" s="136"/>
      <c r="Q141" s="136"/>
      <c r="R141" s="136"/>
      <c r="S141" s="136"/>
      <c r="T141" s="136"/>
      <c r="U141" s="136"/>
      <c r="AB141" s="136"/>
      <c r="AC141" s="136"/>
      <c r="AD141" s="136"/>
      <c r="AE141" s="136"/>
      <c r="AF141" s="136"/>
      <c r="AG141" s="136"/>
      <c r="AH141" s="136"/>
      <c r="AI141" s="136"/>
      <c r="AJ141" s="136"/>
      <c r="AK141" s="136"/>
      <c r="AL141" s="136"/>
      <c r="AS141" s="136"/>
      <c r="AT141" s="136"/>
      <c r="AU141" s="136"/>
      <c r="AV141" s="136"/>
      <c r="AW141" s="136"/>
      <c r="AX141" s="136"/>
      <c r="AY141" s="136"/>
      <c r="AZ141" s="136"/>
      <c r="BA141" s="136"/>
      <c r="BB141" s="136"/>
      <c r="BC141" s="136"/>
      <c r="BD141" s="136"/>
      <c r="BE141" s="257"/>
    </row>
    <row r="142" spans="3:70" x14ac:dyDescent="0.25">
      <c r="E142" s="231" t="s">
        <v>158</v>
      </c>
      <c r="F142" s="231"/>
      <c r="G142" s="232">
        <f>SUM(AO22:AO23,AX22:BD23)</f>
        <v>0</v>
      </c>
      <c r="H142" s="232">
        <f>SUM(AP22:AS23)</f>
        <v>16988.54</v>
      </c>
      <c r="I142" s="232">
        <f t="shared" ref="I142:I160" si="137">SUM(G142:H142)</f>
        <v>16988.54</v>
      </c>
      <c r="J142" s="136"/>
      <c r="K142" s="136"/>
      <c r="L142" s="136"/>
      <c r="M142" s="136"/>
      <c r="N142" s="136"/>
      <c r="O142" s="136"/>
      <c r="P142" s="136"/>
      <c r="Q142" s="136"/>
      <c r="R142" s="136"/>
      <c r="S142" s="136"/>
      <c r="T142" s="136"/>
      <c r="U142" s="136"/>
      <c r="AB142" s="136"/>
      <c r="AC142" s="136"/>
      <c r="AD142" s="136"/>
      <c r="AE142" s="136"/>
      <c r="AF142" s="136"/>
      <c r="AG142" s="136"/>
      <c r="AH142" s="136"/>
      <c r="AI142" s="136"/>
      <c r="AJ142" s="136"/>
      <c r="AK142" s="136"/>
      <c r="AL142" s="136"/>
      <c r="AS142" s="136"/>
      <c r="AT142" s="136"/>
      <c r="AU142" s="136"/>
      <c r="AV142" s="136"/>
      <c r="AW142" s="136"/>
      <c r="AX142" s="136"/>
      <c r="AY142" s="136"/>
      <c r="AZ142" s="136"/>
      <c r="BA142" s="136"/>
      <c r="BB142" s="136"/>
      <c r="BC142" s="136"/>
      <c r="BD142" s="136"/>
      <c r="BE142" s="257"/>
    </row>
    <row r="143" spans="3:70" x14ac:dyDescent="0.25">
      <c r="E143" s="231" t="s">
        <v>54</v>
      </c>
      <c r="F143" s="231"/>
      <c r="G143" s="232">
        <f>SUM(AO24:AO25,AX24:BD25)</f>
        <v>330.60240000000005</v>
      </c>
      <c r="H143" s="232">
        <f>SUM(AP24:AS25)</f>
        <v>68.16</v>
      </c>
      <c r="I143" s="232">
        <f t="shared" si="137"/>
        <v>398.76240000000007</v>
      </c>
      <c r="J143" s="136"/>
      <c r="K143" s="136"/>
      <c r="L143" s="136"/>
      <c r="M143" s="136"/>
      <c r="N143" s="136"/>
      <c r="O143" s="136"/>
      <c r="P143" s="136"/>
      <c r="Q143" s="136"/>
      <c r="R143" s="136"/>
      <c r="S143" s="136"/>
      <c r="T143" s="136"/>
      <c r="U143" s="136"/>
      <c r="AB143" s="136"/>
      <c r="AC143" s="136"/>
      <c r="AD143" s="136"/>
      <c r="AE143" s="136"/>
      <c r="AF143" s="136"/>
      <c r="AG143" s="136"/>
      <c r="AH143" s="136"/>
      <c r="AI143" s="136"/>
      <c r="AJ143" s="136"/>
      <c r="AK143" s="136"/>
      <c r="AL143" s="136"/>
      <c r="AS143" s="136"/>
      <c r="AT143" s="136"/>
      <c r="AU143" s="136"/>
      <c r="AV143" s="136"/>
      <c r="AW143" s="136"/>
      <c r="AX143" s="136"/>
      <c r="AY143" s="136"/>
      <c r="AZ143" s="136"/>
      <c r="BA143" s="136"/>
      <c r="BB143" s="136"/>
      <c r="BC143" s="136"/>
      <c r="BD143" s="136"/>
      <c r="BE143" s="257"/>
    </row>
    <row r="144" spans="3:70" x14ac:dyDescent="0.25">
      <c r="E144" s="231" t="s">
        <v>159</v>
      </c>
      <c r="F144" s="231"/>
      <c r="G144" s="232"/>
      <c r="H144" s="232">
        <f>SUM(AT16:AW126)-H145</f>
        <v>6249.2000000000007</v>
      </c>
      <c r="I144" s="232">
        <f t="shared" si="137"/>
        <v>6249.2000000000007</v>
      </c>
      <c r="J144" s="136"/>
      <c r="K144" s="136"/>
      <c r="L144" s="136"/>
      <c r="M144" s="136"/>
      <c r="N144" s="136"/>
      <c r="O144" s="136"/>
      <c r="P144" s="136"/>
      <c r="Q144" s="136"/>
      <c r="R144" s="136"/>
      <c r="S144" s="136"/>
      <c r="T144" s="136"/>
      <c r="U144" s="136"/>
      <c r="AB144" s="136"/>
      <c r="AC144" s="136"/>
      <c r="AD144" s="136"/>
      <c r="AE144" s="136"/>
      <c r="AF144" s="136"/>
      <c r="AG144" s="136"/>
      <c r="AH144" s="136"/>
      <c r="AI144" s="136"/>
      <c r="AJ144" s="136"/>
      <c r="AK144" s="136"/>
      <c r="AL144" s="136"/>
      <c r="AS144" s="136"/>
      <c r="AT144" s="136"/>
      <c r="AU144" s="136"/>
      <c r="AV144" s="136"/>
      <c r="AW144" s="136"/>
      <c r="AX144" s="136"/>
      <c r="AY144" s="136"/>
      <c r="AZ144" s="136"/>
      <c r="BA144" s="136"/>
      <c r="BB144" s="136"/>
      <c r="BC144" s="136"/>
      <c r="BD144" s="136"/>
      <c r="BE144" s="257"/>
    </row>
    <row r="145" spans="3:57" x14ac:dyDescent="0.25">
      <c r="E145" s="231" t="s">
        <v>160</v>
      </c>
      <c r="F145" s="231"/>
      <c r="G145" s="232"/>
      <c r="H145" s="232">
        <f>SUM(AT22:AW25,AT37:AW38,AT47:AW51)</f>
        <v>1673.65</v>
      </c>
      <c r="I145" s="232">
        <f t="shared" si="137"/>
        <v>1673.65</v>
      </c>
      <c r="J145" s="136"/>
      <c r="K145" s="136"/>
      <c r="L145" s="136"/>
      <c r="M145" s="136"/>
      <c r="N145" s="136"/>
      <c r="O145" s="136"/>
      <c r="P145" s="136"/>
      <c r="Q145" s="136"/>
      <c r="R145" s="136"/>
      <c r="S145" s="136"/>
      <c r="T145" s="136"/>
      <c r="U145" s="136"/>
      <c r="AB145" s="136"/>
      <c r="AC145" s="136"/>
      <c r="AD145" s="136"/>
      <c r="AE145" s="136"/>
      <c r="AF145" s="136"/>
      <c r="AG145" s="136"/>
      <c r="AH145" s="136"/>
      <c r="AI145" s="136"/>
      <c r="AJ145" s="136"/>
      <c r="AK145" s="136"/>
      <c r="AL145" s="136"/>
      <c r="AS145" s="136"/>
      <c r="AT145" s="136"/>
      <c r="AU145" s="136"/>
      <c r="AV145" s="136"/>
      <c r="AW145" s="136"/>
      <c r="AX145" s="136"/>
      <c r="AY145" s="136"/>
      <c r="AZ145" s="136"/>
      <c r="BA145" s="136"/>
      <c r="BB145" s="136"/>
      <c r="BC145" s="136"/>
      <c r="BD145" s="136"/>
      <c r="BE145" s="257"/>
    </row>
    <row r="146" spans="3:57" x14ac:dyDescent="0.25">
      <c r="E146" s="231" t="s">
        <v>161</v>
      </c>
      <c r="F146" s="231"/>
      <c r="G146" s="232">
        <f>SUM(AO28:AO29,AX28:BD29)</f>
        <v>0</v>
      </c>
      <c r="H146" s="232">
        <f>SUM(AP28:AS29)</f>
        <v>2772</v>
      </c>
      <c r="I146" s="232">
        <f t="shared" si="137"/>
        <v>2772</v>
      </c>
      <c r="J146" s="136"/>
      <c r="K146" s="136"/>
      <c r="L146" s="136"/>
      <c r="M146" s="136"/>
      <c r="N146" s="136"/>
      <c r="O146" s="136"/>
      <c r="P146" s="136"/>
      <c r="Q146" s="136"/>
      <c r="R146" s="136"/>
      <c r="S146" s="136"/>
      <c r="T146" s="136"/>
      <c r="U146" s="136"/>
      <c r="AB146" s="136"/>
      <c r="AC146" s="136"/>
      <c r="AD146" s="136"/>
      <c r="AE146" s="136"/>
      <c r="AF146" s="136"/>
      <c r="AG146" s="136"/>
      <c r="AH146" s="136"/>
      <c r="AI146" s="136"/>
      <c r="AJ146" s="136"/>
      <c r="AK146" s="136"/>
      <c r="AL146" s="136"/>
      <c r="AS146" s="136"/>
      <c r="AT146" s="136"/>
      <c r="AU146" s="136"/>
      <c r="AV146" s="136"/>
      <c r="AW146" s="136"/>
      <c r="AX146" s="136"/>
      <c r="AY146" s="136"/>
      <c r="AZ146" s="136"/>
      <c r="BA146" s="136"/>
      <c r="BB146" s="136"/>
      <c r="BC146" s="136"/>
      <c r="BD146" s="136"/>
      <c r="BE146" s="257"/>
    </row>
    <row r="147" spans="3:57" x14ac:dyDescent="0.25">
      <c r="E147" s="231" t="s">
        <v>162</v>
      </c>
      <c r="F147" s="231"/>
      <c r="G147" s="232">
        <f>SUM(AO31:AO35,AO42:AO45,AX31:BD35,AX42:BD45)</f>
        <v>0</v>
      </c>
      <c r="H147" s="232">
        <f>SUM(AP31:AS35,AP42:AS45)</f>
        <v>23095.23</v>
      </c>
      <c r="I147" s="232">
        <f t="shared" si="137"/>
        <v>23095.23</v>
      </c>
      <c r="J147" s="136"/>
      <c r="K147" s="136"/>
      <c r="L147" s="136"/>
      <c r="M147" s="136"/>
      <c r="N147" s="136"/>
      <c r="O147" s="136"/>
      <c r="P147" s="136"/>
      <c r="Q147" s="136"/>
      <c r="R147" s="136"/>
      <c r="S147" s="136"/>
      <c r="T147" s="136"/>
      <c r="U147" s="136"/>
      <c r="AB147" s="136"/>
      <c r="AC147" s="136"/>
      <c r="AD147" s="136"/>
      <c r="AE147" s="136"/>
      <c r="AF147" s="136"/>
      <c r="AG147" s="136"/>
      <c r="AH147" s="136"/>
      <c r="AI147" s="136"/>
      <c r="AJ147" s="136"/>
      <c r="AK147" s="136"/>
      <c r="AL147" s="136"/>
      <c r="AS147" s="136"/>
      <c r="AT147" s="136"/>
      <c r="AU147" s="136"/>
      <c r="AV147" s="136"/>
      <c r="AW147" s="136"/>
      <c r="AX147" s="136"/>
      <c r="AY147" s="136"/>
      <c r="AZ147" s="136"/>
      <c r="BA147" s="136"/>
      <c r="BB147" s="136"/>
      <c r="BC147" s="136"/>
      <c r="BD147" s="136"/>
      <c r="BE147" s="257"/>
    </row>
    <row r="148" spans="3:57" x14ac:dyDescent="0.25">
      <c r="E148" s="231" t="s">
        <v>163</v>
      </c>
      <c r="F148" s="231"/>
      <c r="G148" s="232">
        <f>SUM(AO37:AO37,AX37:BD37)</f>
        <v>0</v>
      </c>
      <c r="H148" s="232">
        <f>SUM(AP37:AS37)</f>
        <v>15060.88</v>
      </c>
      <c r="I148" s="232">
        <f t="shared" si="137"/>
        <v>15060.88</v>
      </c>
      <c r="J148" s="136"/>
      <c r="K148" s="136"/>
      <c r="L148" s="136"/>
      <c r="M148" s="136"/>
      <c r="N148" s="136"/>
      <c r="O148" s="136"/>
      <c r="P148" s="136"/>
      <c r="Q148" s="136"/>
      <c r="R148" s="136"/>
      <c r="S148" s="136"/>
      <c r="T148" s="136"/>
      <c r="U148" s="136"/>
      <c r="AB148" s="136"/>
      <c r="AC148" s="136"/>
      <c r="AD148" s="136"/>
      <c r="AE148" s="136"/>
      <c r="AF148" s="136"/>
      <c r="AG148" s="136"/>
      <c r="AH148" s="136"/>
      <c r="AI148" s="136"/>
      <c r="AJ148" s="136"/>
      <c r="AK148" s="136"/>
      <c r="AL148" s="136"/>
      <c r="AS148" s="136"/>
      <c r="AT148" s="136"/>
      <c r="AU148" s="136"/>
      <c r="AV148" s="136"/>
      <c r="AW148" s="136"/>
      <c r="AX148" s="136"/>
      <c r="AY148" s="136"/>
      <c r="AZ148" s="136"/>
      <c r="BA148" s="136"/>
      <c r="BB148" s="136"/>
      <c r="BC148" s="136"/>
      <c r="BD148" s="136"/>
      <c r="BE148" s="257"/>
    </row>
    <row r="149" spans="3:57" x14ac:dyDescent="0.25">
      <c r="E149" s="231" t="s">
        <v>164</v>
      </c>
      <c r="F149" s="231"/>
      <c r="G149" s="232">
        <f>SUM(AO38:AO38,AX38:BD38)</f>
        <v>0</v>
      </c>
      <c r="H149" s="232">
        <f>SUM(AP38:AS38)</f>
        <v>1810.24</v>
      </c>
      <c r="I149" s="232">
        <f t="shared" si="137"/>
        <v>1810.24</v>
      </c>
      <c r="J149" s="136"/>
      <c r="K149" s="136"/>
      <c r="L149" s="136"/>
      <c r="M149" s="136"/>
      <c r="N149" s="136"/>
      <c r="O149" s="136"/>
      <c r="P149" s="136"/>
      <c r="Q149" s="136"/>
      <c r="R149" s="136"/>
      <c r="S149" s="136"/>
      <c r="T149" s="136"/>
      <c r="U149" s="136"/>
      <c r="AB149" s="136"/>
      <c r="AC149" s="136"/>
      <c r="AD149" s="136"/>
      <c r="AE149" s="136"/>
      <c r="AF149" s="136"/>
      <c r="AG149" s="136"/>
      <c r="AH149" s="136"/>
      <c r="AI149" s="136"/>
      <c r="AJ149" s="136"/>
      <c r="AK149" s="136"/>
      <c r="AL149" s="136"/>
      <c r="AS149" s="136"/>
      <c r="AT149" s="136"/>
      <c r="AU149" s="136"/>
      <c r="AV149" s="136"/>
      <c r="AW149" s="136"/>
      <c r="AX149" s="136"/>
      <c r="AY149" s="136"/>
      <c r="AZ149" s="136"/>
      <c r="BA149" s="136"/>
      <c r="BB149" s="136"/>
      <c r="BC149" s="136"/>
      <c r="BD149" s="136"/>
      <c r="BE149" s="257"/>
    </row>
    <row r="150" spans="3:57" x14ac:dyDescent="0.25">
      <c r="E150" s="231" t="s">
        <v>165</v>
      </c>
      <c r="F150" s="231"/>
      <c r="G150" s="232">
        <f>SUM(AO39:AO39,AX39:BD39)</f>
        <v>357.14391510000002</v>
      </c>
      <c r="H150" s="232">
        <f>SUM(AP39:AS39)</f>
        <v>592.76</v>
      </c>
      <c r="I150" s="232">
        <f t="shared" si="137"/>
        <v>949.90391509999995</v>
      </c>
      <c r="J150" s="136"/>
      <c r="K150" s="136"/>
      <c r="L150" s="136"/>
      <c r="M150" s="136"/>
      <c r="N150" s="136"/>
      <c r="O150" s="136"/>
      <c r="P150" s="136"/>
      <c r="Q150" s="136"/>
      <c r="R150" s="136"/>
      <c r="S150" s="136"/>
      <c r="T150" s="136"/>
      <c r="U150" s="136"/>
      <c r="AB150" s="136"/>
      <c r="AC150" s="136"/>
      <c r="AD150" s="136"/>
      <c r="AE150" s="136"/>
      <c r="AF150" s="136"/>
      <c r="AG150" s="136"/>
      <c r="AH150" s="136"/>
      <c r="AI150" s="136"/>
      <c r="AJ150" s="136"/>
      <c r="AK150" s="136"/>
      <c r="AL150" s="136"/>
      <c r="AS150" s="136"/>
      <c r="AT150" s="136"/>
      <c r="AU150" s="136"/>
      <c r="AV150" s="136"/>
      <c r="AW150" s="136"/>
      <c r="AX150" s="136"/>
      <c r="AY150" s="136"/>
      <c r="AZ150" s="136"/>
      <c r="BA150" s="136"/>
      <c r="BB150" s="136"/>
      <c r="BC150" s="136"/>
      <c r="BD150" s="136"/>
      <c r="BE150" s="257"/>
    </row>
    <row r="151" spans="3:57" x14ac:dyDescent="0.25">
      <c r="E151" s="231" t="s">
        <v>166</v>
      </c>
      <c r="F151" s="231"/>
      <c r="G151" s="232">
        <f>SUM(AO47:AO47,AO53:AO64,AX47:BD47,AX53:BD64)</f>
        <v>25900.8465445</v>
      </c>
      <c r="H151" s="232">
        <f>SUM(AP47:AS47,AP53:AS64)</f>
        <v>36565.320000000007</v>
      </c>
      <c r="I151" s="232">
        <f t="shared" si="137"/>
        <v>62466.166544500011</v>
      </c>
      <c r="J151" s="136"/>
      <c r="K151" s="136"/>
      <c r="L151" s="136"/>
      <c r="M151" s="136"/>
      <c r="N151" s="136"/>
      <c r="O151" s="136"/>
      <c r="P151" s="136"/>
      <c r="Q151" s="136"/>
      <c r="R151" s="136"/>
      <c r="S151" s="136"/>
      <c r="T151" s="136"/>
      <c r="U151" s="136"/>
      <c r="AB151" s="136"/>
      <c r="AC151" s="136"/>
      <c r="AD151" s="136"/>
      <c r="AE151" s="136"/>
      <c r="AF151" s="136"/>
      <c r="AG151" s="136"/>
      <c r="AH151" s="136"/>
      <c r="AI151" s="136"/>
      <c r="AJ151" s="136"/>
      <c r="AK151" s="136"/>
      <c r="AL151" s="136"/>
      <c r="AS151" s="136"/>
      <c r="AT151" s="136"/>
      <c r="AU151" s="136"/>
      <c r="AV151" s="136"/>
      <c r="AW151" s="136"/>
      <c r="AX151" s="136"/>
      <c r="AY151" s="136"/>
      <c r="AZ151" s="136"/>
      <c r="BA151" s="136"/>
      <c r="BB151" s="136"/>
      <c r="BC151" s="136"/>
      <c r="BD151" s="136"/>
      <c r="BE151" s="257"/>
    </row>
    <row r="152" spans="3:57" x14ac:dyDescent="0.25">
      <c r="E152" s="231" t="s">
        <v>167</v>
      </c>
      <c r="F152" s="231"/>
      <c r="G152" s="232">
        <f>SUM(AO48:AO49,AX48:BD49)</f>
        <v>1433.5125505999999</v>
      </c>
      <c r="H152" s="232">
        <f>SUM(AP48:AS49)</f>
        <v>1993.2</v>
      </c>
      <c r="I152" s="232">
        <f t="shared" si="137"/>
        <v>3426.7125506000002</v>
      </c>
      <c r="J152" s="136"/>
      <c r="K152" s="136"/>
      <c r="L152" s="136"/>
      <c r="M152" s="136"/>
      <c r="N152" s="136"/>
      <c r="O152" s="136"/>
      <c r="P152" s="136"/>
      <c r="Q152" s="136"/>
      <c r="R152" s="136"/>
      <c r="S152" s="136"/>
      <c r="T152" s="136"/>
      <c r="U152" s="136"/>
      <c r="AB152" s="136"/>
      <c r="AC152" s="136"/>
      <c r="AD152" s="136"/>
      <c r="AE152" s="136"/>
      <c r="AF152" s="136"/>
      <c r="AG152" s="136"/>
      <c r="AH152" s="136"/>
      <c r="AI152" s="136"/>
      <c r="AJ152" s="136"/>
      <c r="AK152" s="136"/>
      <c r="AL152" s="136"/>
      <c r="AS152" s="136"/>
      <c r="AT152" s="136"/>
      <c r="AU152" s="136"/>
      <c r="AV152" s="136"/>
      <c r="AW152" s="136"/>
      <c r="AX152" s="136"/>
      <c r="AY152" s="136"/>
      <c r="AZ152" s="136"/>
      <c r="BA152" s="136"/>
      <c r="BB152" s="136"/>
      <c r="BC152" s="136"/>
      <c r="BD152" s="136"/>
      <c r="BE152" s="257"/>
    </row>
    <row r="153" spans="3:57" x14ac:dyDescent="0.25">
      <c r="E153" s="231" t="s">
        <v>168</v>
      </c>
      <c r="F153" s="231"/>
      <c r="G153" s="232">
        <f>SUM(AO50:AO51,AX50:BD51)</f>
        <v>964.56082489999994</v>
      </c>
      <c r="H153" s="232">
        <f>SUM(AP50:AS51)</f>
        <v>1441.3</v>
      </c>
      <c r="I153" s="232">
        <f t="shared" si="137"/>
        <v>2405.8608248999999</v>
      </c>
      <c r="J153" s="136"/>
      <c r="K153" s="136"/>
      <c r="L153" s="136"/>
      <c r="M153" s="136"/>
      <c r="N153" s="136"/>
      <c r="O153" s="136"/>
      <c r="P153" s="136"/>
      <c r="Q153" s="136"/>
      <c r="R153" s="136"/>
      <c r="S153" s="136"/>
      <c r="T153" s="136"/>
      <c r="U153" s="136"/>
      <c r="AB153" s="136"/>
      <c r="AC153" s="136"/>
      <c r="AD153" s="136"/>
      <c r="AE153" s="136"/>
      <c r="AF153" s="136"/>
      <c r="AG153" s="136"/>
      <c r="AH153" s="136"/>
      <c r="AI153" s="136"/>
      <c r="AJ153" s="136"/>
      <c r="AK153" s="136"/>
      <c r="AL153" s="136"/>
      <c r="AS153" s="136"/>
      <c r="AT153" s="136"/>
      <c r="AU153" s="136"/>
      <c r="AV153" s="136"/>
      <c r="AW153" s="136"/>
      <c r="AX153" s="136"/>
      <c r="AY153" s="136"/>
      <c r="AZ153" s="136"/>
      <c r="BA153" s="136"/>
      <c r="BB153" s="136"/>
      <c r="BC153" s="136"/>
      <c r="BD153" s="136"/>
      <c r="BE153" s="257"/>
    </row>
    <row r="154" spans="3:57" x14ac:dyDescent="0.25">
      <c r="E154" s="231" t="s">
        <v>169</v>
      </c>
      <c r="F154" s="231"/>
      <c r="G154" s="232">
        <f>SUM(AO70:AO70,AO74,AO77:AO85,AX70:BD70,AX74:BD74,AX77:BD85)</f>
        <v>8119.4671574999993</v>
      </c>
      <c r="H154" s="232">
        <f>SUM(AP70:AS70,AP74:AS74,AP77:AS85)</f>
        <v>6331.38</v>
      </c>
      <c r="I154" s="232">
        <f t="shared" si="137"/>
        <v>14450.8471575</v>
      </c>
      <c r="J154" s="136"/>
      <c r="K154" s="136"/>
      <c r="L154" s="136"/>
      <c r="M154" s="136"/>
      <c r="N154" s="136"/>
      <c r="O154" s="136"/>
      <c r="P154" s="136"/>
      <c r="Q154" s="136"/>
      <c r="R154" s="136"/>
      <c r="S154" s="136"/>
      <c r="T154" s="136"/>
      <c r="U154" s="136"/>
      <c r="AB154" s="136"/>
      <c r="AC154" s="136"/>
      <c r="AD154" s="136"/>
      <c r="AE154" s="136"/>
      <c r="AF154" s="136"/>
      <c r="AG154" s="136"/>
      <c r="AH154" s="136"/>
      <c r="AI154" s="136"/>
      <c r="AJ154" s="136"/>
      <c r="AK154" s="136"/>
      <c r="AL154" s="136"/>
      <c r="AS154" s="136"/>
      <c r="AT154" s="136"/>
      <c r="AU154" s="136"/>
      <c r="AV154" s="136"/>
      <c r="AW154" s="136"/>
      <c r="AX154" s="136"/>
      <c r="AY154" s="136"/>
      <c r="AZ154" s="136"/>
      <c r="BA154" s="136"/>
      <c r="BB154" s="136"/>
      <c r="BC154" s="136"/>
      <c r="BD154" s="136"/>
      <c r="BE154" s="257"/>
    </row>
    <row r="155" spans="3:57" x14ac:dyDescent="0.25">
      <c r="E155" s="231" t="s">
        <v>170</v>
      </c>
      <c r="F155" s="231"/>
      <c r="G155" s="232">
        <f>SUM(AO71:AO72,AX71:BD72)</f>
        <v>214.72157720000001</v>
      </c>
      <c r="H155" s="232">
        <f>SUM(AP71:AS72)</f>
        <v>188.12</v>
      </c>
      <c r="I155" s="232">
        <f t="shared" si="137"/>
        <v>402.84157720000002</v>
      </c>
      <c r="J155" s="136"/>
      <c r="K155" s="136"/>
      <c r="L155" s="136"/>
      <c r="M155" s="136"/>
      <c r="N155" s="136"/>
      <c r="O155" s="136"/>
      <c r="P155" s="136"/>
      <c r="Q155" s="136"/>
      <c r="R155" s="136"/>
      <c r="S155" s="136"/>
      <c r="T155" s="136"/>
      <c r="U155" s="136"/>
      <c r="AB155" s="136"/>
      <c r="AC155" s="136"/>
      <c r="AD155" s="136"/>
      <c r="AE155" s="136"/>
      <c r="AF155" s="136"/>
      <c r="AG155" s="136"/>
      <c r="AH155" s="136"/>
      <c r="AI155" s="136"/>
      <c r="AJ155" s="136"/>
      <c r="AK155" s="136"/>
      <c r="AL155" s="136"/>
      <c r="AS155" s="136"/>
      <c r="AT155" s="136"/>
      <c r="AU155" s="136"/>
      <c r="AV155" s="136"/>
      <c r="AW155" s="136"/>
      <c r="AX155" s="136"/>
      <c r="AY155" s="136"/>
      <c r="AZ155" s="136"/>
      <c r="BA155" s="136"/>
      <c r="BB155" s="136"/>
      <c r="BC155" s="136"/>
      <c r="BD155" s="136"/>
      <c r="BE155" s="257"/>
    </row>
    <row r="156" spans="3:57" x14ac:dyDescent="0.25">
      <c r="E156" s="231" t="s">
        <v>171</v>
      </c>
      <c r="F156" s="231"/>
      <c r="G156" s="232">
        <f>SUM(AO73,AO75:AO75,AX73:BD73,AX75:BD75)</f>
        <v>108.6810584</v>
      </c>
      <c r="H156" s="232">
        <f>SUM(AP73:AS73,AP75:AS75)</f>
        <v>253.74999999999997</v>
      </c>
      <c r="I156" s="232">
        <f t="shared" si="137"/>
        <v>362.43105839999998</v>
      </c>
      <c r="J156" s="136"/>
      <c r="K156" s="136"/>
      <c r="L156" s="136"/>
      <c r="M156" s="136"/>
      <c r="N156" s="136"/>
      <c r="O156" s="136"/>
      <c r="P156" s="136"/>
      <c r="Q156" s="136"/>
      <c r="R156" s="136"/>
      <c r="S156" s="136"/>
      <c r="T156" s="136"/>
      <c r="U156" s="136"/>
      <c r="AB156" s="136"/>
      <c r="AC156" s="136"/>
      <c r="AD156" s="136"/>
      <c r="AE156" s="136"/>
      <c r="AF156" s="136"/>
      <c r="AG156" s="136"/>
      <c r="AH156" s="136"/>
      <c r="AI156" s="136"/>
      <c r="AJ156" s="136"/>
      <c r="AK156" s="136"/>
      <c r="AL156" s="136"/>
      <c r="AS156" s="136"/>
      <c r="AT156" s="136"/>
      <c r="AU156" s="136"/>
      <c r="AV156" s="136"/>
      <c r="AW156" s="136"/>
      <c r="AX156" s="136"/>
      <c r="AY156" s="136"/>
      <c r="AZ156" s="136"/>
      <c r="BA156" s="136"/>
      <c r="BB156" s="136"/>
      <c r="BC156" s="136"/>
      <c r="BD156" s="136"/>
      <c r="BE156" s="257"/>
    </row>
    <row r="157" spans="3:57" x14ac:dyDescent="0.25">
      <c r="E157" s="231" t="s">
        <v>172</v>
      </c>
      <c r="F157" s="231"/>
      <c r="G157" s="232">
        <f>SUM(AO94:AO100,AX94:BD100)</f>
        <v>1312.9731859785002</v>
      </c>
      <c r="H157" s="232">
        <f>SUM(AP94:AS100)</f>
        <v>587.4043961064001</v>
      </c>
      <c r="I157" s="232">
        <f t="shared" si="137"/>
        <v>1900.3775820849003</v>
      </c>
      <c r="J157" s="136"/>
      <c r="K157" s="136"/>
      <c r="L157" s="136"/>
      <c r="M157" s="136"/>
      <c r="N157" s="136"/>
      <c r="O157" s="136"/>
      <c r="P157" s="136"/>
      <c r="Q157" s="136"/>
      <c r="R157" s="136"/>
      <c r="S157" s="136"/>
      <c r="T157" s="136"/>
      <c r="U157" s="136"/>
      <c r="AB157" s="136"/>
      <c r="AC157" s="136"/>
      <c r="AD157" s="136"/>
      <c r="AE157" s="136"/>
      <c r="AF157" s="136"/>
      <c r="AG157" s="136"/>
      <c r="AH157" s="136"/>
      <c r="AI157" s="136"/>
      <c r="AJ157" s="136"/>
      <c r="AK157" s="136"/>
      <c r="AL157" s="136"/>
      <c r="AS157" s="136"/>
      <c r="AT157" s="136"/>
      <c r="AU157" s="136"/>
      <c r="AV157" s="136"/>
      <c r="AW157" s="136"/>
      <c r="AX157" s="136"/>
      <c r="AY157" s="136"/>
      <c r="AZ157" s="136"/>
      <c r="BA157" s="136"/>
      <c r="BB157" s="136"/>
      <c r="BC157" s="136"/>
      <c r="BD157" s="136"/>
      <c r="BE157" s="257"/>
    </row>
    <row r="158" spans="3:57" x14ac:dyDescent="0.25">
      <c r="C158" s="222"/>
      <c r="D158" s="222"/>
      <c r="E158" s="231" t="s">
        <v>173</v>
      </c>
      <c r="F158" s="231"/>
      <c r="G158" s="232">
        <f>SUM(AO102:AO110,AX102:BD110)</f>
        <v>5935.7462365859992</v>
      </c>
      <c r="H158" s="232">
        <f>SUM(AP102:AS110)</f>
        <v>173.84</v>
      </c>
      <c r="I158" s="232">
        <f t="shared" si="137"/>
        <v>6109.5862365859994</v>
      </c>
      <c r="J158" s="136"/>
      <c r="K158" s="136"/>
      <c r="L158" s="136"/>
      <c r="M158" s="136"/>
      <c r="N158" s="136"/>
      <c r="O158" s="136"/>
      <c r="P158" s="136"/>
      <c r="Q158" s="136"/>
      <c r="R158" s="136"/>
      <c r="S158" s="136"/>
      <c r="T158" s="136"/>
      <c r="U158" s="136"/>
      <c r="AB158" s="136"/>
      <c r="AC158" s="136"/>
      <c r="AD158" s="136"/>
      <c r="AE158" s="136"/>
      <c r="AF158" s="136"/>
      <c r="AG158" s="136"/>
      <c r="AH158" s="136"/>
      <c r="AI158" s="136"/>
      <c r="AJ158" s="136"/>
      <c r="AK158" s="136"/>
      <c r="AL158" s="136"/>
      <c r="AS158" s="136"/>
      <c r="AT158" s="136"/>
      <c r="AU158" s="136"/>
      <c r="AV158" s="136"/>
      <c r="AW158" s="136"/>
      <c r="AX158" s="136"/>
      <c r="AY158" s="136"/>
      <c r="AZ158" s="136"/>
      <c r="BA158" s="136"/>
      <c r="BB158" s="136"/>
      <c r="BC158" s="136"/>
      <c r="BD158" s="136"/>
      <c r="BE158" s="257"/>
    </row>
    <row r="159" spans="3:57" x14ac:dyDescent="0.25">
      <c r="C159" s="222"/>
      <c r="D159" s="222"/>
      <c r="E159" s="231" t="s">
        <v>174</v>
      </c>
      <c r="F159" s="231"/>
      <c r="G159" s="232">
        <f>SUM(AO113:AO116,AX113:BD116)</f>
        <v>302.62132866900004</v>
      </c>
      <c r="H159" s="232">
        <f>SUM(AP113:AS116)</f>
        <v>170.77819182380003</v>
      </c>
      <c r="I159" s="232">
        <f t="shared" si="137"/>
        <v>473.39952049280009</v>
      </c>
      <c r="J159" s="136"/>
      <c r="K159" s="136"/>
      <c r="L159" s="136"/>
      <c r="M159" s="136"/>
      <c r="N159" s="136"/>
      <c r="O159" s="136"/>
      <c r="P159" s="136"/>
      <c r="Q159" s="136"/>
      <c r="R159" s="136"/>
      <c r="S159" s="136"/>
      <c r="T159" s="136"/>
      <c r="U159" s="136"/>
      <c r="AB159" s="136"/>
      <c r="AC159" s="136"/>
      <c r="AD159" s="136"/>
      <c r="AE159" s="136"/>
      <c r="AF159" s="136"/>
      <c r="AG159" s="136"/>
      <c r="AH159" s="136"/>
      <c r="AI159" s="136"/>
      <c r="AJ159" s="136"/>
      <c r="AK159" s="136"/>
      <c r="AL159" s="136"/>
      <c r="AS159" s="136"/>
      <c r="AT159" s="136"/>
      <c r="AU159" s="136"/>
      <c r="AV159" s="136"/>
      <c r="AW159" s="136"/>
      <c r="AX159" s="136"/>
      <c r="AY159" s="136"/>
      <c r="AZ159" s="136"/>
      <c r="BA159" s="136"/>
      <c r="BB159" s="136"/>
      <c r="BC159" s="136"/>
      <c r="BD159" s="136"/>
      <c r="BE159" s="257"/>
    </row>
    <row r="160" spans="3:57" x14ac:dyDescent="0.25">
      <c r="C160" s="222"/>
      <c r="D160" s="222"/>
      <c r="E160" s="231" t="s">
        <v>175</v>
      </c>
      <c r="F160" s="231"/>
      <c r="G160" s="232">
        <f>SUM(AO118:AO126,AX118:BD126)</f>
        <v>12079.891914207501</v>
      </c>
      <c r="H160" s="232">
        <f>SUM(AP118:AS126)</f>
        <v>0</v>
      </c>
      <c r="I160" s="232">
        <f t="shared" si="137"/>
        <v>12079.891914207501</v>
      </c>
      <c r="J160" s="136"/>
      <c r="K160" s="136"/>
      <c r="L160" s="136"/>
      <c r="M160" s="136"/>
      <c r="N160" s="136"/>
      <c r="O160" s="136"/>
      <c r="P160" s="136"/>
      <c r="Q160" s="136"/>
      <c r="R160" s="136"/>
      <c r="S160" s="136"/>
      <c r="T160" s="136"/>
      <c r="U160" s="136"/>
      <c r="AB160" s="136"/>
      <c r="AC160" s="136"/>
      <c r="AD160" s="136"/>
      <c r="AE160" s="136"/>
      <c r="AF160" s="136"/>
      <c r="AG160" s="136"/>
      <c r="AH160" s="136"/>
      <c r="AI160" s="136"/>
      <c r="AJ160" s="136"/>
      <c r="AK160" s="136"/>
      <c r="AL160" s="136"/>
      <c r="AS160" s="136"/>
      <c r="AT160" s="136"/>
      <c r="AU160" s="136"/>
      <c r="AV160" s="136"/>
      <c r="AW160" s="136"/>
      <c r="AX160" s="136"/>
      <c r="AY160" s="136"/>
      <c r="AZ160" s="136"/>
      <c r="BA160" s="136"/>
      <c r="BB160" s="136"/>
      <c r="BC160" s="136"/>
      <c r="BD160" s="136"/>
      <c r="BE160" s="257"/>
    </row>
    <row r="161" spans="5:42" ht="15.75" thickBot="1" x14ac:dyDescent="0.3">
      <c r="E161" s="231"/>
      <c r="F161" s="231"/>
      <c r="G161" s="233">
        <f>SUM(G141:G160)</f>
        <v>57060.768693641003</v>
      </c>
      <c r="H161" s="233">
        <f>SUM(H141:H160)</f>
        <v>206115.1725879302</v>
      </c>
      <c r="I161" s="233">
        <f>SUM(I141:I160)</f>
        <v>263175.94128157123</v>
      </c>
    </row>
    <row r="162" spans="5:42" x14ac:dyDescent="0.25">
      <c r="E162" s="229" t="s">
        <v>176</v>
      </c>
      <c r="F162" s="229"/>
      <c r="G162" s="234"/>
      <c r="H162" s="234"/>
      <c r="I162" s="235">
        <f>SUM(BM133)</f>
        <v>263175.94128157117</v>
      </c>
    </row>
    <row r="163" spans="5:42" x14ac:dyDescent="0.25">
      <c r="E163" s="229" t="s">
        <v>177</v>
      </c>
      <c r="F163" s="229"/>
      <c r="G163" s="235"/>
      <c r="H163" s="235"/>
      <c r="I163" s="235">
        <f>I162-I161</f>
        <v>0</v>
      </c>
    </row>
    <row r="164" spans="5:42" x14ac:dyDescent="0.25">
      <c r="Y164" s="137"/>
      <c r="AP164" s="137"/>
    </row>
    <row r="165" spans="5:42" x14ac:dyDescent="0.25">
      <c r="Y165" s="137"/>
      <c r="AP165" s="137"/>
    </row>
    <row r="166" spans="5:42" x14ac:dyDescent="0.25">
      <c r="Y166" s="137"/>
      <c r="AP166" s="137"/>
    </row>
    <row r="167" spans="5:42" x14ac:dyDescent="0.25">
      <c r="H167" s="137"/>
      <c r="Y167" s="137"/>
      <c r="AP167" s="137"/>
    </row>
    <row r="168" spans="5:42" x14ac:dyDescent="0.25">
      <c r="H168" s="137"/>
      <c r="Y168" s="137"/>
      <c r="AP168" s="137"/>
    </row>
    <row r="169" spans="5:42" x14ac:dyDescent="0.25">
      <c r="H169" s="137"/>
      <c r="Y169" s="137"/>
      <c r="AP169" s="137"/>
    </row>
    <row r="170" spans="5:42" x14ac:dyDescent="0.25">
      <c r="H170" s="137"/>
      <c r="Y170" s="137"/>
      <c r="AP170" s="137"/>
    </row>
    <row r="171" spans="5:42" x14ac:dyDescent="0.25">
      <c r="H171" s="137"/>
      <c r="Y171" s="137"/>
      <c r="AP171" s="137"/>
    </row>
    <row r="172" spans="5:42" x14ac:dyDescent="0.25">
      <c r="H172" s="137"/>
      <c r="Y172" s="137"/>
      <c r="AP172" s="137"/>
    </row>
    <row r="173" spans="5:42" x14ac:dyDescent="0.25">
      <c r="H173" s="137"/>
      <c r="Y173" s="137"/>
      <c r="AP173" s="137"/>
    </row>
    <row r="174" spans="5:42" x14ac:dyDescent="0.25">
      <c r="H174" s="137"/>
      <c r="Y174" s="137"/>
      <c r="AP174" s="137"/>
    </row>
    <row r="175" spans="5:42" x14ac:dyDescent="0.25">
      <c r="H175" s="137"/>
      <c r="Y175" s="137"/>
      <c r="AP175" s="137"/>
    </row>
    <row r="176" spans="5:42" x14ac:dyDescent="0.25">
      <c r="H176" s="137"/>
      <c r="Y176" s="137"/>
      <c r="AP176" s="137"/>
    </row>
    <row r="177" spans="3:45" x14ac:dyDescent="0.25">
      <c r="H177" s="137"/>
      <c r="Y177" s="137"/>
      <c r="AP177" s="137"/>
    </row>
    <row r="178" spans="3:45" x14ac:dyDescent="0.25">
      <c r="H178" s="137"/>
      <c r="Y178" s="137"/>
      <c r="AP178" s="137"/>
    </row>
    <row r="179" spans="3:45" x14ac:dyDescent="0.25">
      <c r="H179" s="137"/>
      <c r="Y179" s="137"/>
      <c r="AP179" s="137"/>
    </row>
    <row r="180" spans="3:45" x14ac:dyDescent="0.25">
      <c r="H180" s="137"/>
      <c r="Y180" s="137"/>
      <c r="AP180" s="137"/>
    </row>
    <row r="181" spans="3:45" x14ac:dyDescent="0.25">
      <c r="H181" s="137"/>
      <c r="Y181" s="137"/>
      <c r="AP181" s="137"/>
    </row>
    <row r="182" spans="3:45" x14ac:dyDescent="0.25">
      <c r="H182" s="137"/>
      <c r="Y182" s="137"/>
      <c r="AP182" s="137"/>
    </row>
    <row r="183" spans="3:45" x14ac:dyDescent="0.25">
      <c r="C183" s="135"/>
      <c r="D183" s="135"/>
      <c r="H183" s="137"/>
      <c r="Y183" s="137"/>
      <c r="AP183" s="137"/>
    </row>
    <row r="184" spans="3:45" x14ac:dyDescent="0.25">
      <c r="C184" s="135"/>
      <c r="D184" s="135"/>
      <c r="H184" s="137"/>
      <c r="Y184" s="137"/>
      <c r="AP184" s="137"/>
    </row>
    <row r="185" spans="3:45" x14ac:dyDescent="0.25">
      <c r="C185" s="135"/>
      <c r="D185" s="135"/>
      <c r="H185" s="137"/>
      <c r="Y185" s="137"/>
      <c r="Z185" s="137"/>
      <c r="AP185" s="137"/>
      <c r="AQ185" s="137"/>
    </row>
    <row r="186" spans="3:45" x14ac:dyDescent="0.25">
      <c r="C186" s="135"/>
      <c r="D186" s="135"/>
      <c r="H186" s="137"/>
      <c r="K186" s="137"/>
      <c r="Y186" s="137"/>
      <c r="Z186" s="137"/>
      <c r="AB186" s="137"/>
      <c r="AP186" s="137"/>
      <c r="AQ186" s="137"/>
      <c r="AS186" s="137"/>
    </row>
    <row r="187" spans="3:45" x14ac:dyDescent="0.25">
      <c r="C187" s="135"/>
      <c r="D187" s="135"/>
      <c r="E187" s="126"/>
      <c r="F187" s="126"/>
      <c r="H187" s="137"/>
      <c r="K187" s="137"/>
      <c r="Y187" s="137"/>
      <c r="Z187" s="137"/>
      <c r="AB187" s="137"/>
      <c r="AP187" s="137"/>
      <c r="AQ187" s="137"/>
      <c r="AS187" s="137"/>
    </row>
    <row r="188" spans="3:45" x14ac:dyDescent="0.25">
      <c r="C188" s="135"/>
      <c r="D188" s="135"/>
      <c r="H188" s="137"/>
      <c r="I188" s="137"/>
      <c r="K188" s="137"/>
      <c r="Y188" s="137"/>
      <c r="Z188" s="137"/>
      <c r="AB188" s="137"/>
      <c r="AP188" s="137"/>
      <c r="AQ188" s="137"/>
      <c r="AS188" s="137"/>
    </row>
    <row r="189" spans="3:45" x14ac:dyDescent="0.25">
      <c r="C189" s="135"/>
      <c r="D189" s="135"/>
      <c r="H189" s="137"/>
      <c r="I189" s="137"/>
      <c r="K189" s="137"/>
      <c r="Y189" s="137"/>
      <c r="Z189" s="137"/>
      <c r="AB189" s="137"/>
      <c r="AP189" s="137"/>
      <c r="AQ189" s="137"/>
      <c r="AS189" s="137"/>
    </row>
    <row r="190" spans="3:45" x14ac:dyDescent="0.25">
      <c r="C190" s="135"/>
      <c r="D190" s="135"/>
      <c r="H190" s="137"/>
      <c r="I190" s="137"/>
      <c r="K190" s="137"/>
      <c r="Y190" s="137"/>
      <c r="Z190" s="137"/>
      <c r="AB190" s="137"/>
      <c r="AP190" s="137"/>
      <c r="AQ190" s="137"/>
      <c r="AS190" s="137"/>
    </row>
    <row r="191" spans="3:45" x14ac:dyDescent="0.25">
      <c r="C191" s="135"/>
      <c r="D191" s="135"/>
      <c r="H191" s="137"/>
      <c r="I191" s="137"/>
      <c r="K191" s="137"/>
      <c r="Y191" s="137"/>
      <c r="Z191" s="137"/>
      <c r="AB191" s="137"/>
      <c r="AP191" s="137"/>
      <c r="AQ191" s="137"/>
      <c r="AS191" s="137"/>
    </row>
    <row r="192" spans="3:45" x14ac:dyDescent="0.25">
      <c r="C192" s="135"/>
      <c r="D192" s="135"/>
      <c r="H192" s="137"/>
      <c r="I192" s="137"/>
      <c r="K192" s="137"/>
      <c r="Y192" s="137"/>
      <c r="Z192" s="137"/>
      <c r="AB192" s="137"/>
      <c r="AP192" s="137"/>
      <c r="AQ192" s="137"/>
      <c r="AS192" s="137"/>
    </row>
    <row r="193" spans="3:45" x14ac:dyDescent="0.25">
      <c r="C193" s="135"/>
      <c r="D193" s="135"/>
      <c r="H193" s="137"/>
      <c r="I193" s="137"/>
      <c r="K193" s="137"/>
      <c r="Y193" s="137"/>
      <c r="Z193" s="137"/>
      <c r="AB193" s="137"/>
      <c r="AP193" s="137"/>
      <c r="AQ193" s="137"/>
      <c r="AS193" s="137"/>
    </row>
    <row r="194" spans="3:45" x14ac:dyDescent="0.25">
      <c r="C194" s="135"/>
      <c r="D194" s="135"/>
      <c r="H194" s="137"/>
      <c r="I194" s="137"/>
      <c r="Y194" s="137"/>
      <c r="AP194" s="137"/>
    </row>
    <row r="195" spans="3:45" x14ac:dyDescent="0.25">
      <c r="C195" s="135"/>
      <c r="D195" s="135"/>
      <c r="H195" s="137"/>
      <c r="I195" s="137"/>
      <c r="Y195" s="137"/>
      <c r="AP195" s="137"/>
    </row>
    <row r="196" spans="3:45" x14ac:dyDescent="0.25">
      <c r="C196" s="135"/>
      <c r="D196" s="135"/>
      <c r="H196" s="137"/>
      <c r="I196" s="137"/>
      <c r="Y196" s="137"/>
      <c r="Z196" s="137"/>
      <c r="AP196" s="137"/>
      <c r="AQ196" s="137"/>
    </row>
    <row r="197" spans="3:45" x14ac:dyDescent="0.25">
      <c r="C197" s="135"/>
      <c r="D197" s="135"/>
      <c r="H197" s="137"/>
      <c r="K197" s="137"/>
      <c r="Y197" s="137"/>
      <c r="Z197" s="137"/>
      <c r="AB197" s="137"/>
      <c r="AP197" s="137"/>
      <c r="AQ197" s="137"/>
      <c r="AS197" s="137"/>
    </row>
    <row r="198" spans="3:45" x14ac:dyDescent="0.25">
      <c r="C198" s="135"/>
      <c r="D198" s="135"/>
      <c r="H198" s="137"/>
      <c r="K198" s="137"/>
      <c r="Y198" s="137"/>
      <c r="AB198" s="137"/>
      <c r="AP198" s="137"/>
      <c r="AS198" s="137"/>
    </row>
    <row r="199" spans="3:45" x14ac:dyDescent="0.25">
      <c r="C199" s="135"/>
      <c r="D199" s="135"/>
      <c r="H199" s="137"/>
      <c r="I199" s="137"/>
      <c r="Y199" s="137"/>
      <c r="AP199" s="137"/>
    </row>
    <row r="200" spans="3:45" x14ac:dyDescent="0.25">
      <c r="C200" s="135"/>
      <c r="D200" s="135"/>
      <c r="H200" s="137"/>
      <c r="I200" s="137"/>
      <c r="Y200" s="137"/>
      <c r="AP200" s="137"/>
    </row>
    <row r="201" spans="3:45" x14ac:dyDescent="0.25">
      <c r="C201" s="135"/>
      <c r="D201" s="135"/>
      <c r="H201" s="137"/>
      <c r="Y201" s="137"/>
      <c r="Z201" s="137"/>
      <c r="AP201" s="137"/>
      <c r="AQ201" s="137"/>
    </row>
    <row r="202" spans="3:45" x14ac:dyDescent="0.25">
      <c r="C202" s="135"/>
      <c r="D202" s="135"/>
      <c r="H202" s="137"/>
      <c r="K202" s="137"/>
      <c r="Y202" s="137"/>
      <c r="Z202" s="137"/>
      <c r="AB202" s="137"/>
      <c r="AP202" s="137"/>
      <c r="AQ202" s="137"/>
      <c r="AS202" s="137"/>
    </row>
    <row r="203" spans="3:45" x14ac:dyDescent="0.25">
      <c r="C203" s="135"/>
      <c r="D203" s="135"/>
      <c r="H203" s="137"/>
      <c r="K203" s="137"/>
      <c r="Y203" s="137"/>
      <c r="Z203" s="137"/>
      <c r="AB203" s="137"/>
      <c r="AP203" s="137"/>
      <c r="AQ203" s="137"/>
      <c r="AS203" s="137"/>
    </row>
    <row r="204" spans="3:45" x14ac:dyDescent="0.25">
      <c r="C204" s="135"/>
      <c r="D204" s="135"/>
      <c r="H204" s="137"/>
      <c r="I204" s="137"/>
      <c r="K204" s="137"/>
      <c r="Y204" s="137"/>
      <c r="AB204" s="137"/>
      <c r="AP204" s="137"/>
      <c r="AS204" s="137"/>
    </row>
    <row r="205" spans="3:45" x14ac:dyDescent="0.25">
      <c r="C205" s="135"/>
      <c r="D205" s="135"/>
      <c r="H205" s="137"/>
      <c r="I205" s="137"/>
      <c r="Y205" s="137"/>
      <c r="Z205" s="137"/>
      <c r="AP205" s="137"/>
      <c r="AQ205" s="137"/>
    </row>
    <row r="206" spans="3:45" x14ac:dyDescent="0.25">
      <c r="C206" s="135"/>
      <c r="D206" s="135"/>
      <c r="H206" s="137"/>
      <c r="I206" s="137"/>
      <c r="K206" s="137"/>
      <c r="Y206" s="137"/>
      <c r="Z206" s="137"/>
      <c r="AB206" s="137"/>
      <c r="AP206" s="137"/>
      <c r="AQ206" s="137"/>
      <c r="AS206" s="137"/>
    </row>
    <row r="207" spans="3:45" x14ac:dyDescent="0.25">
      <c r="C207" s="135"/>
      <c r="D207" s="135"/>
      <c r="H207" s="137"/>
      <c r="K207" s="137"/>
      <c r="Y207" s="137"/>
      <c r="Z207" s="137"/>
      <c r="AB207" s="137"/>
      <c r="AP207" s="137"/>
      <c r="AQ207" s="137"/>
      <c r="AS207" s="137"/>
    </row>
    <row r="208" spans="3:45" x14ac:dyDescent="0.25">
      <c r="C208" s="135"/>
      <c r="D208" s="135"/>
      <c r="H208" s="137"/>
      <c r="I208" s="137"/>
      <c r="K208" s="137"/>
      <c r="Y208" s="137"/>
      <c r="Z208" s="137"/>
      <c r="AB208" s="137"/>
      <c r="AP208" s="137"/>
      <c r="AQ208" s="137"/>
      <c r="AS208" s="137"/>
    </row>
    <row r="209" spans="3:45" x14ac:dyDescent="0.25">
      <c r="C209" s="135"/>
      <c r="D209" s="135"/>
      <c r="H209" s="137"/>
      <c r="I209" s="137"/>
      <c r="K209" s="137"/>
      <c r="Y209" s="137"/>
      <c r="AB209" s="137"/>
      <c r="AP209" s="137"/>
      <c r="AS209" s="137"/>
    </row>
    <row r="210" spans="3:45" x14ac:dyDescent="0.25">
      <c r="C210" s="135"/>
      <c r="D210" s="135"/>
      <c r="H210" s="137"/>
      <c r="I210" s="137"/>
      <c r="Y210" s="137"/>
      <c r="AP210" s="137"/>
    </row>
    <row r="211" spans="3:45" x14ac:dyDescent="0.25">
      <c r="C211" s="135"/>
      <c r="D211" s="135"/>
      <c r="H211" s="137"/>
      <c r="I211" s="137"/>
      <c r="Y211" s="137"/>
      <c r="Z211" s="137"/>
      <c r="AP211" s="137"/>
      <c r="AQ211" s="137"/>
    </row>
    <row r="212" spans="3:45" x14ac:dyDescent="0.25">
      <c r="C212" s="135"/>
      <c r="D212" s="135"/>
      <c r="H212" s="137"/>
      <c r="K212" s="137"/>
      <c r="Y212" s="137"/>
      <c r="Z212" s="137"/>
      <c r="AB212" s="137"/>
      <c r="AP212" s="137"/>
      <c r="AQ212" s="137"/>
      <c r="AS212" s="137"/>
    </row>
    <row r="213" spans="3:45" x14ac:dyDescent="0.25">
      <c r="H213" s="137"/>
      <c r="K213" s="137"/>
      <c r="Y213" s="137"/>
      <c r="AB213" s="137"/>
      <c r="AP213" s="137"/>
      <c r="AS213" s="137"/>
    </row>
    <row r="214" spans="3:45" x14ac:dyDescent="0.25">
      <c r="H214" s="137"/>
      <c r="I214" s="137"/>
      <c r="Y214" s="137"/>
      <c r="AP214" s="137"/>
    </row>
    <row r="215" spans="3:45" x14ac:dyDescent="0.25">
      <c r="H215" s="137"/>
      <c r="I215" s="137"/>
      <c r="Y215" s="137"/>
      <c r="AP215" s="137"/>
    </row>
    <row r="216" spans="3:45" x14ac:dyDescent="0.25">
      <c r="H216" s="137"/>
      <c r="Y216" s="137"/>
      <c r="AP216" s="137"/>
    </row>
    <row r="217" spans="3:45" x14ac:dyDescent="0.25">
      <c r="C217" s="236"/>
      <c r="D217" s="236"/>
      <c r="H217" s="137"/>
      <c r="Y217" s="137"/>
      <c r="AP217" s="137"/>
    </row>
    <row r="218" spans="3:45" x14ac:dyDescent="0.25">
      <c r="H218" s="137"/>
      <c r="Y218" s="137"/>
      <c r="AP218" s="137"/>
    </row>
    <row r="219" spans="3:45" x14ac:dyDescent="0.25">
      <c r="H219" s="137"/>
      <c r="Y219" s="137"/>
      <c r="AP219" s="137"/>
    </row>
    <row r="220" spans="3:45" x14ac:dyDescent="0.25">
      <c r="H220" s="137"/>
      <c r="Y220" s="137"/>
      <c r="AP220" s="137"/>
    </row>
    <row r="221" spans="3:45" x14ac:dyDescent="0.25">
      <c r="E221" s="126"/>
      <c r="F221" s="126"/>
      <c r="H221" s="137"/>
      <c r="Y221" s="137"/>
      <c r="AP221" s="137"/>
    </row>
    <row r="222" spans="3:45" x14ac:dyDescent="0.25">
      <c r="H222" s="137"/>
      <c r="Y222" s="137"/>
      <c r="AP222" s="137"/>
    </row>
    <row r="223" spans="3:45" x14ac:dyDescent="0.25">
      <c r="H223" s="137"/>
      <c r="Y223" s="137"/>
      <c r="AP223" s="137"/>
    </row>
    <row r="224" spans="3:45" x14ac:dyDescent="0.25">
      <c r="H224" s="137"/>
      <c r="Y224" s="137"/>
      <c r="AP224" s="137"/>
    </row>
    <row r="225" spans="5:42" x14ac:dyDescent="0.25">
      <c r="H225" s="137"/>
      <c r="Y225" s="137"/>
      <c r="AP225" s="137"/>
    </row>
    <row r="226" spans="5:42" x14ac:dyDescent="0.25">
      <c r="H226" s="137"/>
      <c r="Y226" s="137"/>
      <c r="AP226" s="137"/>
    </row>
    <row r="227" spans="5:42" x14ac:dyDescent="0.25">
      <c r="H227" s="137"/>
      <c r="Y227" s="137"/>
      <c r="AP227" s="137"/>
    </row>
    <row r="228" spans="5:42" x14ac:dyDescent="0.25">
      <c r="H228" s="137"/>
      <c r="Y228" s="137"/>
      <c r="AP228" s="137"/>
    </row>
    <row r="229" spans="5:42" x14ac:dyDescent="0.25">
      <c r="H229" s="137"/>
      <c r="Y229" s="137"/>
      <c r="AP229" s="137"/>
    </row>
    <row r="230" spans="5:42" x14ac:dyDescent="0.25">
      <c r="H230" s="137"/>
      <c r="Y230" s="137"/>
      <c r="AP230" s="137"/>
    </row>
    <row r="231" spans="5:42" x14ac:dyDescent="0.25">
      <c r="H231" s="137"/>
      <c r="Y231" s="137"/>
      <c r="AP231" s="137"/>
    </row>
    <row r="232" spans="5:42" x14ac:dyDescent="0.25">
      <c r="E232" s="126"/>
      <c r="F232" s="126"/>
      <c r="H232" s="137"/>
      <c r="Y232" s="137"/>
      <c r="AP232" s="137"/>
    </row>
    <row r="233" spans="5:42" x14ac:dyDescent="0.25">
      <c r="H233" s="137"/>
      <c r="Y233" s="137"/>
      <c r="AP233" s="137"/>
    </row>
    <row r="234" spans="5:42" x14ac:dyDescent="0.25">
      <c r="H234" s="137"/>
      <c r="Y234" s="137"/>
      <c r="AP234" s="137"/>
    </row>
    <row r="235" spans="5:42" x14ac:dyDescent="0.25">
      <c r="H235" s="137"/>
      <c r="Y235" s="137"/>
      <c r="AP235" s="137"/>
    </row>
    <row r="236" spans="5:42" x14ac:dyDescent="0.25">
      <c r="H236" s="137"/>
      <c r="Y236" s="137"/>
      <c r="AP236" s="137"/>
    </row>
    <row r="237" spans="5:42" x14ac:dyDescent="0.25">
      <c r="H237" s="137"/>
      <c r="Y237" s="137"/>
      <c r="AP237" s="137"/>
    </row>
    <row r="238" spans="5:42" x14ac:dyDescent="0.25">
      <c r="H238" s="137"/>
      <c r="Y238" s="137"/>
      <c r="AP238" s="137"/>
    </row>
    <row r="239" spans="5:42" x14ac:dyDescent="0.25">
      <c r="H239" s="137"/>
      <c r="Y239" s="137"/>
      <c r="AP239" s="137"/>
    </row>
    <row r="240" spans="5:42" x14ac:dyDescent="0.25">
      <c r="H240" s="137"/>
      <c r="Y240" s="137"/>
      <c r="AP240" s="137"/>
    </row>
    <row r="241" spans="8:42" x14ac:dyDescent="0.25">
      <c r="H241" s="137"/>
      <c r="Y241" s="137"/>
      <c r="AP241" s="137"/>
    </row>
    <row r="242" spans="8:42" x14ac:dyDescent="0.25">
      <c r="H242" s="137"/>
      <c r="Y242" s="137"/>
      <c r="AP242" s="137"/>
    </row>
    <row r="243" spans="8:42" x14ac:dyDescent="0.25">
      <c r="H243" s="137"/>
      <c r="Y243" s="137"/>
      <c r="AP243" s="137"/>
    </row>
    <row r="244" spans="8:42" x14ac:dyDescent="0.25">
      <c r="H244" s="137"/>
      <c r="Y244" s="137"/>
      <c r="AP244" s="137"/>
    </row>
    <row r="245" spans="8:42" x14ac:dyDescent="0.25">
      <c r="H245" s="137"/>
      <c r="Y245" s="137"/>
      <c r="AP245" s="137"/>
    </row>
    <row r="246" spans="8:42" x14ac:dyDescent="0.25">
      <c r="H246" s="137"/>
      <c r="Y246" s="137"/>
      <c r="AP246" s="137"/>
    </row>
    <row r="247" spans="8:42" x14ac:dyDescent="0.25">
      <c r="H247" s="137"/>
      <c r="Y247" s="137"/>
      <c r="AP247" s="137"/>
    </row>
    <row r="248" spans="8:42" x14ac:dyDescent="0.25">
      <c r="H248" s="137"/>
      <c r="Y248" s="137"/>
      <c r="AP248" s="137"/>
    </row>
    <row r="249" spans="8:42" x14ac:dyDescent="0.25">
      <c r="H249" s="137"/>
      <c r="Y249" s="137"/>
      <c r="AP249" s="137"/>
    </row>
    <row r="250" spans="8:42" x14ac:dyDescent="0.25">
      <c r="H250" s="137"/>
      <c r="Y250" s="137"/>
      <c r="AP250" s="137"/>
    </row>
    <row r="251" spans="8:42" x14ac:dyDescent="0.25">
      <c r="H251" s="137"/>
      <c r="Y251" s="137"/>
      <c r="AP251" s="137"/>
    </row>
    <row r="252" spans="8:42" x14ac:dyDescent="0.25">
      <c r="H252" s="137"/>
      <c r="Y252" s="137"/>
      <c r="AP252" s="137"/>
    </row>
    <row r="253" spans="8:42" x14ac:dyDescent="0.25">
      <c r="H253" s="137"/>
      <c r="Y253" s="137"/>
      <c r="AP253" s="137"/>
    </row>
    <row r="254" spans="8:42" x14ac:dyDescent="0.25">
      <c r="H254" s="137"/>
      <c r="Y254" s="137"/>
      <c r="AP254" s="137"/>
    </row>
    <row r="255" spans="8:42" x14ac:dyDescent="0.25">
      <c r="H255" s="137"/>
      <c r="Y255" s="137"/>
      <c r="AP255" s="137"/>
    </row>
    <row r="256" spans="8:42" x14ac:dyDescent="0.25">
      <c r="H256" s="137"/>
      <c r="Y256" s="137"/>
      <c r="AP256" s="137"/>
    </row>
    <row r="257" spans="8:42" x14ac:dyDescent="0.25">
      <c r="H257" s="137"/>
      <c r="Y257" s="137"/>
      <c r="AP257" s="137"/>
    </row>
    <row r="258" spans="8:42" x14ac:dyDescent="0.25">
      <c r="H258" s="137"/>
      <c r="Y258" s="137"/>
      <c r="AP258" s="137"/>
    </row>
    <row r="259" spans="8:42" x14ac:dyDescent="0.25">
      <c r="H259" s="137"/>
      <c r="Y259" s="137"/>
      <c r="AP259" s="137"/>
    </row>
    <row r="260" spans="8:42" x14ac:dyDescent="0.25">
      <c r="H260" s="137"/>
      <c r="Y260" s="137"/>
      <c r="AP260" s="137"/>
    </row>
    <row r="261" spans="8:42" x14ac:dyDescent="0.25">
      <c r="H261" s="137"/>
      <c r="Y261" s="137"/>
      <c r="AP261" s="137"/>
    </row>
    <row r="262" spans="8:42" x14ac:dyDescent="0.25">
      <c r="H262" s="137"/>
      <c r="Y262" s="137"/>
      <c r="AP262" s="137"/>
    </row>
    <row r="263" spans="8:42" x14ac:dyDescent="0.25">
      <c r="H263" s="137"/>
      <c r="Y263" s="137"/>
      <c r="AP263" s="137"/>
    </row>
    <row r="264" spans="8:42" x14ac:dyDescent="0.25">
      <c r="H264" s="137"/>
      <c r="Y264" s="137"/>
      <c r="AP264" s="137"/>
    </row>
    <row r="265" spans="8:42" x14ac:dyDescent="0.25">
      <c r="H265" s="137"/>
      <c r="Y265" s="137"/>
      <c r="AP265" s="137"/>
    </row>
    <row r="266" spans="8:42" x14ac:dyDescent="0.25">
      <c r="H266" s="137"/>
      <c r="Y266" s="137"/>
      <c r="AP266" s="137"/>
    </row>
    <row r="267" spans="8:42" x14ac:dyDescent="0.25">
      <c r="H267" s="137"/>
      <c r="Y267" s="137"/>
      <c r="AP267" s="137"/>
    </row>
    <row r="268" spans="8:42" x14ac:dyDescent="0.25">
      <c r="H268" s="137"/>
      <c r="Y268" s="137"/>
      <c r="AP268" s="137"/>
    </row>
    <row r="269" spans="8:42" x14ac:dyDescent="0.25">
      <c r="H269" s="137"/>
      <c r="Y269" s="137"/>
      <c r="AP269" s="137"/>
    </row>
    <row r="270" spans="8:42" x14ac:dyDescent="0.25">
      <c r="H270" s="137"/>
      <c r="Y270" s="137"/>
      <c r="AP270" s="137"/>
    </row>
    <row r="271" spans="8:42" x14ac:dyDescent="0.25">
      <c r="H271" s="137"/>
      <c r="Y271" s="137"/>
      <c r="AP271" s="137"/>
    </row>
    <row r="272" spans="8:42" x14ac:dyDescent="0.25">
      <c r="H272" s="137"/>
      <c r="Y272" s="137"/>
      <c r="AP272" s="137"/>
    </row>
    <row r="273" spans="8:42" x14ac:dyDescent="0.25">
      <c r="H273" s="137"/>
      <c r="Y273" s="137"/>
      <c r="AP273" s="137"/>
    </row>
    <row r="274" spans="8:42" x14ac:dyDescent="0.25">
      <c r="H274" s="137"/>
      <c r="Y274" s="137"/>
      <c r="AP274" s="137"/>
    </row>
    <row r="275" spans="8:42" x14ac:dyDescent="0.25">
      <c r="H275" s="137"/>
      <c r="Y275" s="137"/>
      <c r="AP275" s="137"/>
    </row>
    <row r="276" spans="8:42" x14ac:dyDescent="0.25">
      <c r="H276" s="137"/>
      <c r="Y276" s="137"/>
      <c r="AP276" s="137"/>
    </row>
    <row r="277" spans="8:42" x14ac:dyDescent="0.25">
      <c r="H277" s="137"/>
      <c r="Y277" s="137"/>
      <c r="AP277" s="137"/>
    </row>
    <row r="278" spans="8:42" x14ac:dyDescent="0.25">
      <c r="H278" s="137"/>
      <c r="Y278" s="137"/>
      <c r="AP278" s="137"/>
    </row>
    <row r="279" spans="8:42" x14ac:dyDescent="0.25">
      <c r="H279" s="137"/>
      <c r="Y279" s="137"/>
      <c r="AP279" s="137"/>
    </row>
    <row r="280" spans="8:42" x14ac:dyDescent="0.25">
      <c r="H280" s="137"/>
      <c r="Y280" s="137"/>
      <c r="AP280" s="137"/>
    </row>
    <row r="281" spans="8:42" x14ac:dyDescent="0.25">
      <c r="H281" s="137"/>
      <c r="Y281" s="137"/>
      <c r="AP281" s="137"/>
    </row>
    <row r="282" spans="8:42" x14ac:dyDescent="0.25">
      <c r="H282" s="137"/>
      <c r="Y282" s="137"/>
      <c r="AP282" s="137"/>
    </row>
    <row r="283" spans="8:42" x14ac:dyDescent="0.25">
      <c r="H283" s="137"/>
      <c r="Y283" s="137"/>
      <c r="AP283" s="137"/>
    </row>
    <row r="284" spans="8:42" x14ac:dyDescent="0.25">
      <c r="H284" s="137"/>
      <c r="Y284" s="137"/>
      <c r="AP284" s="137"/>
    </row>
    <row r="285" spans="8:42" x14ac:dyDescent="0.25">
      <c r="H285" s="137"/>
      <c r="Y285" s="137"/>
      <c r="AP285" s="137"/>
    </row>
    <row r="286" spans="8:42" x14ac:dyDescent="0.25">
      <c r="H286" s="137"/>
      <c r="Y286" s="137"/>
      <c r="AP286" s="137"/>
    </row>
    <row r="287" spans="8:42" x14ac:dyDescent="0.25">
      <c r="H287" s="137"/>
      <c r="Y287" s="137"/>
      <c r="AP287" s="137"/>
    </row>
    <row r="288" spans="8:42" x14ac:dyDescent="0.25">
      <c r="H288" s="137"/>
      <c r="Y288" s="137"/>
      <c r="AP288" s="137"/>
    </row>
    <row r="289" spans="8:42" x14ac:dyDescent="0.25">
      <c r="H289" s="137"/>
      <c r="Y289" s="137"/>
      <c r="AP289" s="137"/>
    </row>
    <row r="290" spans="8:42" x14ac:dyDescent="0.25">
      <c r="H290" s="137"/>
      <c r="Y290" s="137"/>
      <c r="AP290" s="137"/>
    </row>
    <row r="291" spans="8:42" x14ac:dyDescent="0.25">
      <c r="H291" s="137"/>
      <c r="Y291" s="137"/>
      <c r="AP291" s="137"/>
    </row>
    <row r="292" spans="8:42" x14ac:dyDescent="0.25">
      <c r="H292" s="137"/>
      <c r="Y292" s="137"/>
      <c r="AP292" s="137"/>
    </row>
    <row r="293" spans="8:42" x14ac:dyDescent="0.25">
      <c r="H293" s="137"/>
      <c r="Y293" s="137"/>
      <c r="AP293" s="137"/>
    </row>
    <row r="294" spans="8:42" x14ac:dyDescent="0.25">
      <c r="H294" s="137"/>
      <c r="Y294" s="137"/>
      <c r="AP294" s="137"/>
    </row>
    <row r="295" spans="8:42" x14ac:dyDescent="0.25">
      <c r="H295" s="137"/>
      <c r="Y295" s="137"/>
      <c r="AP295" s="137"/>
    </row>
    <row r="296" spans="8:42" x14ac:dyDescent="0.25">
      <c r="H296" s="137"/>
      <c r="Y296" s="137"/>
      <c r="AP296" s="137"/>
    </row>
    <row r="297" spans="8:42" x14ac:dyDescent="0.25">
      <c r="H297" s="137"/>
      <c r="Y297" s="137"/>
      <c r="AP297" s="137"/>
    </row>
    <row r="298" spans="8:42" x14ac:dyDescent="0.25">
      <c r="H298" s="137"/>
      <c r="Y298" s="137"/>
      <c r="AP298" s="137"/>
    </row>
    <row r="299" spans="8:42" x14ac:dyDescent="0.25">
      <c r="H299" s="137"/>
      <c r="Y299" s="137"/>
      <c r="AP299" s="137"/>
    </row>
    <row r="300" spans="8:42" x14ac:dyDescent="0.25">
      <c r="H300" s="137"/>
      <c r="Y300" s="137"/>
      <c r="AP300" s="137"/>
    </row>
    <row r="301" spans="8:42" x14ac:dyDescent="0.25">
      <c r="H301" s="137"/>
      <c r="Y301" s="137"/>
      <c r="AP301" s="137"/>
    </row>
    <row r="302" spans="8:42" x14ac:dyDescent="0.25">
      <c r="H302" s="137"/>
      <c r="Y302" s="137"/>
      <c r="AP302" s="137"/>
    </row>
    <row r="303" spans="8:42" x14ac:dyDescent="0.25">
      <c r="H303" s="137"/>
      <c r="Y303" s="137"/>
      <c r="AP303" s="137"/>
    </row>
    <row r="304" spans="8:42" x14ac:dyDescent="0.25">
      <c r="H304" s="137"/>
      <c r="Y304" s="137"/>
      <c r="AP304" s="137"/>
    </row>
    <row r="305" spans="8:42" x14ac:dyDescent="0.25">
      <c r="H305" s="137"/>
      <c r="Y305" s="137"/>
      <c r="AP305" s="137"/>
    </row>
    <row r="306" spans="8:42" x14ac:dyDescent="0.25">
      <c r="H306" s="137"/>
      <c r="Y306" s="137"/>
      <c r="AP306" s="137"/>
    </row>
    <row r="307" spans="8:42" x14ac:dyDescent="0.25">
      <c r="H307" s="137"/>
      <c r="Y307" s="137"/>
      <c r="AP307" s="137"/>
    </row>
    <row r="308" spans="8:42" x14ac:dyDescent="0.25">
      <c r="H308" s="137"/>
      <c r="Y308" s="137"/>
      <c r="AP308" s="137"/>
    </row>
    <row r="309" spans="8:42" x14ac:dyDescent="0.25">
      <c r="H309" s="137"/>
      <c r="Y309" s="137"/>
      <c r="AP309" s="137"/>
    </row>
    <row r="310" spans="8:42" x14ac:dyDescent="0.25">
      <c r="H310" s="137"/>
      <c r="Y310" s="137"/>
      <c r="AP310" s="137"/>
    </row>
    <row r="311" spans="8:42" x14ac:dyDescent="0.25">
      <c r="H311" s="137"/>
      <c r="Y311" s="137"/>
      <c r="AP311" s="137"/>
    </row>
    <row r="312" spans="8:42" x14ac:dyDescent="0.25">
      <c r="H312" s="137"/>
      <c r="Y312" s="137"/>
      <c r="AP312" s="137"/>
    </row>
    <row r="313" spans="8:42" x14ac:dyDescent="0.25">
      <c r="H313" s="137"/>
      <c r="Y313" s="137"/>
      <c r="AP313" s="137"/>
    </row>
    <row r="314" spans="8:42" x14ac:dyDescent="0.25">
      <c r="H314" s="137"/>
      <c r="Y314" s="137"/>
      <c r="AP314" s="137"/>
    </row>
    <row r="315" spans="8:42" x14ac:dyDescent="0.25">
      <c r="H315" s="137"/>
      <c r="Y315" s="137"/>
      <c r="AP315" s="137"/>
    </row>
    <row r="316" spans="8:42" x14ac:dyDescent="0.25">
      <c r="H316" s="137"/>
      <c r="Y316" s="137"/>
      <c r="AP316" s="137"/>
    </row>
    <row r="317" spans="8:42" x14ac:dyDescent="0.25">
      <c r="H317" s="137"/>
      <c r="Y317" s="137"/>
      <c r="AP317" s="137"/>
    </row>
    <row r="318" spans="8:42" x14ac:dyDescent="0.25">
      <c r="H318" s="137"/>
      <c r="Y318" s="137"/>
      <c r="AP318" s="137"/>
    </row>
    <row r="319" spans="8:42" x14ac:dyDescent="0.25">
      <c r="H319" s="137"/>
      <c r="Y319" s="137"/>
      <c r="AP319" s="137"/>
    </row>
    <row r="320" spans="8:42" x14ac:dyDescent="0.25">
      <c r="H320" s="137"/>
      <c r="Y320" s="137"/>
      <c r="AP320" s="137"/>
    </row>
    <row r="321" spans="8:42" x14ac:dyDescent="0.25">
      <c r="H321" s="137"/>
      <c r="Y321" s="137"/>
      <c r="AP321" s="137"/>
    </row>
    <row r="322" spans="8:42" x14ac:dyDescent="0.25">
      <c r="H322" s="137"/>
      <c r="Y322" s="137"/>
      <c r="AP322" s="137"/>
    </row>
    <row r="323" spans="8:42" x14ac:dyDescent="0.25">
      <c r="H323" s="137"/>
      <c r="Y323" s="137"/>
      <c r="AP323" s="137"/>
    </row>
    <row r="324" spans="8:42" x14ac:dyDescent="0.25">
      <c r="H324" s="137"/>
      <c r="Y324" s="137"/>
      <c r="AP324" s="137"/>
    </row>
    <row r="325" spans="8:42" x14ac:dyDescent="0.25">
      <c r="H325" s="137"/>
      <c r="Y325" s="137"/>
      <c r="AP325" s="137"/>
    </row>
    <row r="326" spans="8:42" x14ac:dyDescent="0.25">
      <c r="H326" s="137"/>
      <c r="Y326" s="137"/>
      <c r="AP326" s="137"/>
    </row>
    <row r="327" spans="8:42" x14ac:dyDescent="0.25">
      <c r="H327" s="137"/>
      <c r="Y327" s="137"/>
      <c r="AP327" s="137"/>
    </row>
    <row r="328" spans="8:42" x14ac:dyDescent="0.25">
      <c r="H328" s="137"/>
      <c r="Y328" s="137"/>
      <c r="AP328" s="137"/>
    </row>
    <row r="329" spans="8:42" x14ac:dyDescent="0.25">
      <c r="H329" s="137"/>
      <c r="Y329" s="137"/>
      <c r="AP329" s="137"/>
    </row>
    <row r="330" spans="8:42" x14ac:dyDescent="0.25">
      <c r="H330" s="137"/>
      <c r="Y330" s="137"/>
      <c r="AP330" s="137"/>
    </row>
    <row r="331" spans="8:42" x14ac:dyDescent="0.25">
      <c r="H331" s="137"/>
      <c r="Y331" s="137"/>
      <c r="AP331" s="137"/>
    </row>
    <row r="332" spans="8:42" x14ac:dyDescent="0.25">
      <c r="H332" s="137"/>
      <c r="Y332" s="137"/>
      <c r="AP332" s="137"/>
    </row>
    <row r="333" spans="8:42" x14ac:dyDescent="0.25">
      <c r="H333" s="137"/>
      <c r="Y333" s="137"/>
      <c r="AP333" s="137"/>
    </row>
    <row r="334" spans="8:42" x14ac:dyDescent="0.25">
      <c r="H334" s="137"/>
      <c r="Y334" s="137"/>
      <c r="AP334" s="137"/>
    </row>
    <row r="335" spans="8:42" x14ac:dyDescent="0.25">
      <c r="H335" s="137"/>
      <c r="Y335" s="137"/>
      <c r="AP335" s="137"/>
    </row>
    <row r="336" spans="8:42" x14ac:dyDescent="0.25">
      <c r="H336" s="137"/>
      <c r="Y336" s="137"/>
      <c r="AP336" s="137"/>
    </row>
    <row r="337" spans="8:42" x14ac:dyDescent="0.25">
      <c r="H337" s="137"/>
      <c r="Y337" s="137"/>
      <c r="AP337" s="137"/>
    </row>
    <row r="338" spans="8:42" x14ac:dyDescent="0.25">
      <c r="H338" s="137"/>
      <c r="Y338" s="137"/>
      <c r="AP338" s="137"/>
    </row>
    <row r="339" spans="8:42" x14ac:dyDescent="0.25">
      <c r="H339" s="137"/>
      <c r="Y339" s="137"/>
      <c r="AP339" s="137"/>
    </row>
    <row r="340" spans="8:42" x14ac:dyDescent="0.25">
      <c r="H340" s="137"/>
      <c r="Y340" s="137"/>
      <c r="AP340" s="137"/>
    </row>
    <row r="341" spans="8:42" x14ac:dyDescent="0.25">
      <c r="H341" s="137"/>
      <c r="Y341" s="137"/>
      <c r="AP341" s="137"/>
    </row>
    <row r="342" spans="8:42" x14ac:dyDescent="0.25">
      <c r="H342" s="137"/>
      <c r="Y342" s="137"/>
      <c r="AP342" s="137"/>
    </row>
    <row r="343" spans="8:42" x14ac:dyDescent="0.25">
      <c r="H343" s="137"/>
      <c r="Y343" s="137"/>
      <c r="AP343" s="137"/>
    </row>
    <row r="344" spans="8:42" x14ac:dyDescent="0.25">
      <c r="H344" s="137"/>
      <c r="Y344" s="137"/>
      <c r="AP344" s="137"/>
    </row>
    <row r="345" spans="8:42" x14ac:dyDescent="0.25">
      <c r="H345" s="137"/>
      <c r="Y345" s="137"/>
      <c r="AP345" s="137"/>
    </row>
    <row r="346" spans="8:42" x14ac:dyDescent="0.25">
      <c r="H346" s="137"/>
      <c r="Y346" s="137"/>
      <c r="AP346" s="137"/>
    </row>
    <row r="347" spans="8:42" x14ac:dyDescent="0.25">
      <c r="H347" s="137"/>
      <c r="Y347" s="137"/>
      <c r="AP347" s="137"/>
    </row>
    <row r="348" spans="8:42" x14ac:dyDescent="0.25">
      <c r="H348" s="137"/>
      <c r="Y348" s="137"/>
      <c r="AP348" s="137"/>
    </row>
    <row r="349" spans="8:42" x14ac:dyDescent="0.25">
      <c r="H349" s="137"/>
      <c r="Y349" s="137"/>
      <c r="AP349" s="137"/>
    </row>
    <row r="350" spans="8:42" x14ac:dyDescent="0.25">
      <c r="H350" s="137"/>
      <c r="Y350" s="137"/>
      <c r="AP350" s="137"/>
    </row>
    <row r="351" spans="8:42" x14ac:dyDescent="0.25">
      <c r="H351" s="137"/>
      <c r="Y351" s="137"/>
      <c r="AP351" s="137"/>
    </row>
    <row r="352" spans="8:42" x14ac:dyDescent="0.25">
      <c r="H352" s="137"/>
      <c r="Y352" s="137"/>
      <c r="AP352" s="137"/>
    </row>
    <row r="353" spans="8:42" x14ac:dyDescent="0.25">
      <c r="H353" s="137"/>
      <c r="Y353" s="137"/>
      <c r="AP353" s="137"/>
    </row>
    <row r="354" spans="8:42" x14ac:dyDescent="0.25">
      <c r="H354" s="137"/>
      <c r="Y354" s="137"/>
      <c r="AP354" s="137"/>
    </row>
    <row r="355" spans="8:42" x14ac:dyDescent="0.25">
      <c r="H355" s="137"/>
      <c r="Y355" s="137"/>
      <c r="AP355" s="137"/>
    </row>
    <row r="356" spans="8:42" x14ac:dyDescent="0.25">
      <c r="H356" s="137"/>
      <c r="Y356" s="137"/>
      <c r="AP356" s="137"/>
    </row>
    <row r="357" spans="8:42" x14ac:dyDescent="0.25">
      <c r="H357" s="137"/>
      <c r="Y357" s="137"/>
      <c r="AP357" s="137"/>
    </row>
    <row r="358" spans="8:42" x14ac:dyDescent="0.25">
      <c r="H358" s="137"/>
      <c r="Y358" s="137"/>
      <c r="AP358" s="137"/>
    </row>
    <row r="359" spans="8:42" x14ac:dyDescent="0.25">
      <c r="H359" s="137"/>
      <c r="Y359" s="137"/>
      <c r="AP359" s="137"/>
    </row>
    <row r="360" spans="8:42" x14ac:dyDescent="0.25">
      <c r="H360" s="137"/>
      <c r="Y360" s="137"/>
      <c r="AP360" s="137"/>
    </row>
    <row r="361" spans="8:42" x14ac:dyDescent="0.25">
      <c r="H361" s="137"/>
      <c r="Y361" s="137"/>
      <c r="AP361" s="137"/>
    </row>
    <row r="362" spans="8:42" x14ac:dyDescent="0.25">
      <c r="H362" s="137"/>
      <c r="Y362" s="137"/>
      <c r="AP362" s="137"/>
    </row>
    <row r="363" spans="8:42" x14ac:dyDescent="0.25">
      <c r="H363" s="137"/>
      <c r="Y363" s="137"/>
      <c r="AP363" s="137"/>
    </row>
    <row r="364" spans="8:42" x14ac:dyDescent="0.25">
      <c r="H364" s="137"/>
      <c r="Y364" s="137"/>
      <c r="AP364" s="137"/>
    </row>
    <row r="365" spans="8:42" x14ac:dyDescent="0.25">
      <c r="H365" s="137"/>
      <c r="Y365" s="137"/>
      <c r="AP365" s="137"/>
    </row>
    <row r="366" spans="8:42" x14ac:dyDescent="0.25">
      <c r="H366" s="137"/>
      <c r="Y366" s="137"/>
      <c r="AP366" s="137"/>
    </row>
    <row r="367" spans="8:42" x14ac:dyDescent="0.25">
      <c r="H367" s="137"/>
      <c r="Y367" s="137"/>
      <c r="AP367" s="137"/>
    </row>
    <row r="368" spans="8:42" x14ac:dyDescent="0.25">
      <c r="H368" s="137"/>
      <c r="Y368" s="137"/>
      <c r="AP368" s="137"/>
    </row>
    <row r="369" spans="8:42" x14ac:dyDescent="0.25">
      <c r="H369" s="137"/>
      <c r="Y369" s="137"/>
      <c r="AP369" s="137"/>
    </row>
    <row r="370" spans="8:42" x14ac:dyDescent="0.25">
      <c r="H370" s="137"/>
      <c r="Y370" s="137"/>
      <c r="AP370" s="137"/>
    </row>
    <row r="371" spans="8:42" x14ac:dyDescent="0.25">
      <c r="H371" s="137"/>
      <c r="Y371" s="137"/>
      <c r="AP371" s="137"/>
    </row>
    <row r="372" spans="8:42" x14ac:dyDescent="0.25">
      <c r="H372" s="137"/>
      <c r="Y372" s="137"/>
      <c r="AP372" s="137"/>
    </row>
    <row r="373" spans="8:42" x14ac:dyDescent="0.25">
      <c r="H373" s="137"/>
      <c r="Y373" s="137"/>
      <c r="AP373" s="137"/>
    </row>
    <row r="374" spans="8:42" x14ac:dyDescent="0.25">
      <c r="H374" s="137"/>
      <c r="Y374" s="137"/>
      <c r="AP374" s="137"/>
    </row>
    <row r="375" spans="8:42" x14ac:dyDescent="0.25">
      <c r="H375" s="137"/>
      <c r="Y375" s="137"/>
      <c r="AP375" s="137"/>
    </row>
    <row r="376" spans="8:42" x14ac:dyDescent="0.25">
      <c r="H376" s="137"/>
      <c r="Y376" s="137"/>
      <c r="AP376" s="137"/>
    </row>
    <row r="377" spans="8:42" x14ac:dyDescent="0.25">
      <c r="H377" s="137"/>
      <c r="Y377" s="137"/>
      <c r="AP377" s="137"/>
    </row>
    <row r="378" spans="8:42" x14ac:dyDescent="0.25">
      <c r="H378" s="137"/>
      <c r="Y378" s="137"/>
      <c r="AP378" s="137"/>
    </row>
    <row r="379" spans="8:42" x14ac:dyDescent="0.25">
      <c r="H379" s="137"/>
      <c r="Y379" s="137"/>
      <c r="AP379" s="137"/>
    </row>
    <row r="380" spans="8:42" x14ac:dyDescent="0.25">
      <c r="H380" s="137"/>
      <c r="Y380" s="137"/>
      <c r="AP380" s="137"/>
    </row>
    <row r="381" spans="8:42" x14ac:dyDescent="0.25">
      <c r="H381" s="137"/>
      <c r="Y381" s="137"/>
      <c r="AP381" s="137"/>
    </row>
    <row r="382" spans="8:42" x14ac:dyDescent="0.25">
      <c r="H382" s="137"/>
      <c r="Y382" s="137"/>
      <c r="AP382" s="137"/>
    </row>
    <row r="383" spans="8:42" x14ac:dyDescent="0.25">
      <c r="H383" s="137"/>
      <c r="Y383" s="137"/>
      <c r="AP383" s="137"/>
    </row>
    <row r="384" spans="8:42" x14ac:dyDescent="0.25">
      <c r="H384" s="137"/>
      <c r="Y384" s="137"/>
      <c r="AP384" s="137"/>
    </row>
    <row r="385" spans="8:42" x14ac:dyDescent="0.25">
      <c r="H385" s="137"/>
      <c r="Y385" s="137"/>
      <c r="AP385" s="137"/>
    </row>
    <row r="386" spans="8:42" x14ac:dyDescent="0.25">
      <c r="H386" s="137"/>
      <c r="Y386" s="137"/>
      <c r="AP386" s="137"/>
    </row>
    <row r="387" spans="8:42" x14ac:dyDescent="0.25">
      <c r="H387" s="137"/>
      <c r="Y387" s="137"/>
      <c r="AP387" s="137"/>
    </row>
    <row r="388" spans="8:42" x14ac:dyDescent="0.25">
      <c r="H388" s="137"/>
      <c r="Y388" s="137"/>
      <c r="AP388" s="137"/>
    </row>
    <row r="389" spans="8:42" x14ac:dyDescent="0.25">
      <c r="H389" s="137"/>
      <c r="Y389" s="137"/>
      <c r="AP389" s="137"/>
    </row>
    <row r="390" spans="8:42" x14ac:dyDescent="0.25">
      <c r="H390" s="137"/>
      <c r="Y390" s="137"/>
      <c r="AP390" s="137"/>
    </row>
    <row r="391" spans="8:42" x14ac:dyDescent="0.25">
      <c r="H391" s="137"/>
      <c r="Y391" s="137"/>
      <c r="AP391" s="137"/>
    </row>
    <row r="392" spans="8:42" x14ac:dyDescent="0.25">
      <c r="H392" s="137"/>
      <c r="Y392" s="137"/>
      <c r="AP392" s="137"/>
    </row>
    <row r="393" spans="8:42" x14ac:dyDescent="0.25">
      <c r="H393" s="137"/>
      <c r="Y393" s="137"/>
      <c r="AP393" s="137"/>
    </row>
    <row r="394" spans="8:42" x14ac:dyDescent="0.25">
      <c r="H394" s="137"/>
      <c r="Y394" s="137"/>
      <c r="AP394" s="137"/>
    </row>
    <row r="395" spans="8:42" x14ac:dyDescent="0.25">
      <c r="H395" s="137"/>
      <c r="Y395" s="137"/>
      <c r="AP395" s="137"/>
    </row>
    <row r="396" spans="8:42" x14ac:dyDescent="0.25">
      <c r="H396" s="137"/>
      <c r="Y396" s="137"/>
      <c r="AP396" s="137"/>
    </row>
    <row r="397" spans="8:42" x14ac:dyDescent="0.25">
      <c r="H397" s="137"/>
      <c r="Y397" s="137"/>
      <c r="AP397" s="137"/>
    </row>
    <row r="398" spans="8:42" x14ac:dyDescent="0.25">
      <c r="H398" s="137"/>
      <c r="Y398" s="137"/>
      <c r="AP398" s="137"/>
    </row>
    <row r="399" spans="8:42" x14ac:dyDescent="0.25">
      <c r="H399" s="137"/>
      <c r="Y399" s="137"/>
      <c r="AP399" s="137"/>
    </row>
    <row r="400" spans="8:42" x14ac:dyDescent="0.25">
      <c r="H400" s="137"/>
      <c r="Y400" s="137"/>
      <c r="AP400" s="137"/>
    </row>
    <row r="401" spans="8:42" x14ac:dyDescent="0.25">
      <c r="H401" s="137"/>
      <c r="Y401" s="137"/>
      <c r="AP401" s="137"/>
    </row>
    <row r="402" spans="8:42" x14ac:dyDescent="0.25">
      <c r="H402" s="137"/>
      <c r="Y402" s="137"/>
      <c r="AP402" s="137"/>
    </row>
    <row r="403" spans="8:42" x14ac:dyDescent="0.25">
      <c r="H403" s="137"/>
      <c r="Y403" s="137"/>
      <c r="AP403" s="137"/>
    </row>
    <row r="404" spans="8:42" x14ac:dyDescent="0.25">
      <c r="H404" s="137"/>
      <c r="Y404" s="137"/>
      <c r="AP404" s="137"/>
    </row>
    <row r="405" spans="8:42" x14ac:dyDescent="0.25">
      <c r="H405" s="137"/>
      <c r="Y405" s="137"/>
      <c r="AP405" s="137"/>
    </row>
    <row r="406" spans="8:42" x14ac:dyDescent="0.25">
      <c r="H406" s="137"/>
      <c r="Y406" s="137"/>
      <c r="AP406" s="137"/>
    </row>
    <row r="407" spans="8:42" x14ac:dyDescent="0.25">
      <c r="H407" s="137"/>
      <c r="Y407" s="137"/>
      <c r="AP407" s="137"/>
    </row>
    <row r="408" spans="8:42" x14ac:dyDescent="0.25">
      <c r="H408" s="137"/>
      <c r="Y408" s="137"/>
      <c r="AP408" s="137"/>
    </row>
    <row r="409" spans="8:42" x14ac:dyDescent="0.25">
      <c r="H409" s="137"/>
      <c r="Y409" s="137"/>
      <c r="AP409" s="137"/>
    </row>
    <row r="410" spans="8:42" x14ac:dyDescent="0.25">
      <c r="H410" s="137"/>
      <c r="Y410" s="137"/>
      <c r="AP410" s="137"/>
    </row>
    <row r="411" spans="8:42" x14ac:dyDescent="0.25">
      <c r="H411" s="137"/>
      <c r="Y411" s="137"/>
      <c r="AP411" s="137"/>
    </row>
    <row r="412" spans="8:42" x14ac:dyDescent="0.25">
      <c r="H412" s="137"/>
      <c r="Y412" s="137"/>
      <c r="AP412" s="137"/>
    </row>
    <row r="413" spans="8:42" x14ac:dyDescent="0.25">
      <c r="H413" s="137"/>
      <c r="Y413" s="137"/>
      <c r="AP413" s="137"/>
    </row>
    <row r="414" spans="8:42" x14ac:dyDescent="0.25">
      <c r="H414" s="137"/>
      <c r="Y414" s="137"/>
      <c r="AP414" s="137"/>
    </row>
    <row r="415" spans="8:42" x14ac:dyDescent="0.25">
      <c r="H415" s="137"/>
      <c r="Y415" s="137"/>
      <c r="AP415" s="137"/>
    </row>
    <row r="416" spans="8:42" x14ac:dyDescent="0.25">
      <c r="H416" s="137"/>
      <c r="Y416" s="137"/>
      <c r="AP416" s="137"/>
    </row>
    <row r="417" spans="8:42" x14ac:dyDescent="0.25">
      <c r="H417" s="137"/>
      <c r="Y417" s="137"/>
      <c r="AP417" s="137"/>
    </row>
    <row r="418" spans="8:42" x14ac:dyDescent="0.25">
      <c r="H418" s="137"/>
      <c r="Y418" s="137"/>
      <c r="AP418" s="137"/>
    </row>
    <row r="419" spans="8:42" x14ac:dyDescent="0.25">
      <c r="H419" s="137"/>
      <c r="Y419" s="137"/>
      <c r="AP419" s="137"/>
    </row>
    <row r="420" spans="8:42" x14ac:dyDescent="0.25">
      <c r="H420" s="137"/>
      <c r="Y420" s="137"/>
      <c r="AP420" s="137"/>
    </row>
    <row r="421" spans="8:42" x14ac:dyDescent="0.25">
      <c r="H421" s="137"/>
      <c r="Y421" s="137"/>
      <c r="AP421" s="137"/>
    </row>
    <row r="422" spans="8:42" x14ac:dyDescent="0.25">
      <c r="H422" s="137"/>
      <c r="Y422" s="137"/>
      <c r="AP422" s="137"/>
    </row>
    <row r="423" spans="8:42" x14ac:dyDescent="0.25">
      <c r="H423" s="137"/>
      <c r="Y423" s="137"/>
      <c r="AP423" s="137"/>
    </row>
    <row r="424" spans="8:42" x14ac:dyDescent="0.25">
      <c r="H424" s="137"/>
      <c r="Y424" s="137"/>
      <c r="AP424" s="137"/>
    </row>
    <row r="425" spans="8:42" x14ac:dyDescent="0.25">
      <c r="H425" s="137"/>
      <c r="Y425" s="137"/>
      <c r="AP425" s="137"/>
    </row>
    <row r="426" spans="8:42" x14ac:dyDescent="0.25">
      <c r="H426" s="137"/>
      <c r="Y426" s="137"/>
      <c r="AP426" s="137"/>
    </row>
    <row r="427" spans="8:42" x14ac:dyDescent="0.25">
      <c r="H427" s="137"/>
      <c r="Y427" s="137"/>
      <c r="AP427" s="137"/>
    </row>
    <row r="428" spans="8:42" x14ac:dyDescent="0.25">
      <c r="H428" s="137"/>
      <c r="Y428" s="137"/>
      <c r="AP428" s="137"/>
    </row>
    <row r="429" spans="8:42" x14ac:dyDescent="0.25">
      <c r="H429" s="137"/>
      <c r="Y429" s="137"/>
      <c r="AP429" s="137"/>
    </row>
    <row r="430" spans="8:42" x14ac:dyDescent="0.25">
      <c r="H430" s="137"/>
      <c r="Y430" s="137"/>
      <c r="AP430" s="137"/>
    </row>
    <row r="431" spans="8:42" x14ac:dyDescent="0.25">
      <c r="H431" s="137"/>
      <c r="Y431" s="137"/>
      <c r="AP431" s="137"/>
    </row>
    <row r="432" spans="8:42" x14ac:dyDescent="0.25">
      <c r="H432" s="137"/>
      <c r="Y432" s="137"/>
      <c r="AP432" s="137"/>
    </row>
    <row r="433" spans="8:42" x14ac:dyDescent="0.25">
      <c r="H433" s="137"/>
      <c r="Y433" s="137"/>
      <c r="AP433" s="137"/>
    </row>
    <row r="434" spans="8:42" x14ac:dyDescent="0.25">
      <c r="H434" s="137"/>
      <c r="Y434" s="137"/>
      <c r="AP434" s="137"/>
    </row>
    <row r="435" spans="8:42" x14ac:dyDescent="0.25">
      <c r="H435" s="137"/>
      <c r="Y435" s="137"/>
      <c r="AP435" s="137"/>
    </row>
    <row r="436" spans="8:42" x14ac:dyDescent="0.25">
      <c r="H436" s="137"/>
      <c r="Y436" s="137"/>
      <c r="AP436" s="137"/>
    </row>
    <row r="437" spans="8:42" x14ac:dyDescent="0.25">
      <c r="H437" s="137"/>
      <c r="Y437" s="137"/>
      <c r="AP437" s="137"/>
    </row>
    <row r="438" spans="8:42" x14ac:dyDescent="0.25">
      <c r="H438" s="137"/>
      <c r="Y438" s="137"/>
      <c r="AP438" s="137"/>
    </row>
    <row r="439" spans="8:42" x14ac:dyDescent="0.25">
      <c r="H439" s="137"/>
      <c r="Y439" s="137"/>
      <c r="AP439" s="137"/>
    </row>
    <row r="440" spans="8:42" x14ac:dyDescent="0.25">
      <c r="H440" s="137"/>
      <c r="Y440" s="137"/>
      <c r="AP440" s="137"/>
    </row>
    <row r="441" spans="8:42" x14ac:dyDescent="0.25">
      <c r="H441" s="137"/>
      <c r="Y441" s="137"/>
      <c r="AP441" s="137"/>
    </row>
    <row r="442" spans="8:42" x14ac:dyDescent="0.25">
      <c r="H442" s="137"/>
      <c r="Y442" s="137"/>
      <c r="AP442" s="137"/>
    </row>
    <row r="443" spans="8:42" x14ac:dyDescent="0.25">
      <c r="H443" s="137"/>
      <c r="Y443" s="137"/>
      <c r="AP443" s="137"/>
    </row>
    <row r="444" spans="8:42" x14ac:dyDescent="0.25">
      <c r="H444" s="137"/>
      <c r="Y444" s="137"/>
      <c r="AP444" s="137"/>
    </row>
    <row r="445" spans="8:42" x14ac:dyDescent="0.25">
      <c r="H445" s="137"/>
      <c r="Y445" s="137"/>
      <c r="AP445" s="137"/>
    </row>
    <row r="446" spans="8:42" x14ac:dyDescent="0.25">
      <c r="H446" s="137"/>
      <c r="Y446" s="137"/>
      <c r="AP446" s="137"/>
    </row>
    <row r="447" spans="8:42" x14ac:dyDescent="0.25">
      <c r="H447" s="137"/>
      <c r="Y447" s="137"/>
      <c r="AP447" s="137"/>
    </row>
    <row r="448" spans="8:42" x14ac:dyDescent="0.25">
      <c r="H448" s="137"/>
    </row>
    <row r="449" spans="8:8" x14ac:dyDescent="0.25">
      <c r="H449" s="137"/>
    </row>
    <row r="450" spans="8:8" x14ac:dyDescent="0.25">
      <c r="H450" s="137"/>
    </row>
  </sheetData>
  <mergeCells count="14">
    <mergeCell ref="G9:V9"/>
    <mergeCell ref="X9:AM9"/>
    <mergeCell ref="AO9:BF9"/>
    <mergeCell ref="BE11:BF11"/>
    <mergeCell ref="BH11:BM11"/>
    <mergeCell ref="AL12:AM12"/>
    <mergeCell ref="AX12:AZ12"/>
    <mergeCell ref="BA12:BB12"/>
    <mergeCell ref="BC12:BD12"/>
    <mergeCell ref="P12:R12"/>
    <mergeCell ref="S12:T12"/>
    <mergeCell ref="U12:V12"/>
    <mergeCell ref="AG12:AI12"/>
    <mergeCell ref="AJ12:AK12"/>
  </mergeCells>
  <printOptions horizontalCentered="1"/>
  <pageMargins left="0.39370078740157483" right="0.23622047244094491" top="0.35433070866141736" bottom="0.39370078740157483" header="0.23622047244094491" footer="0.19685039370078741"/>
  <pageSetup paperSize="8" scale="23" pageOrder="overThenDown" orientation="landscape" r:id="rId1"/>
  <headerFooter alignWithMargins="0">
    <oddFooter>&amp;L&amp;D&amp;T&amp;C&amp;F&amp;R&amp;A&amp;P</oddFooter>
  </headerFooter>
  <rowBreaks count="1" manualBreakCount="1">
    <brk id="67" min="1" max="64" man="1"/>
  </rowBreaks>
  <colBreaks count="2" manualBreakCount="2">
    <brk id="23" max="131" man="1"/>
    <brk id="40" max="131" man="1"/>
  </colBreaks>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70F7-4DD8-453C-B020-BACD6815DF33}">
  <dimension ref="A1:BW450"/>
  <sheetViews>
    <sheetView showGridLines="0" zoomScale="90" zoomScaleNormal="90" workbookViewId="0">
      <pane xSplit="4" ySplit="15" topLeftCell="E16" activePane="bottomRight" state="frozenSplit"/>
      <selection activeCell="L139" sqref="L139"/>
      <selection pane="topRight" activeCell="L139" sqref="L139"/>
      <selection pane="bottomLeft" activeCell="L139" sqref="L139"/>
      <selection pane="bottomRight" activeCell="L32" sqref="L32"/>
    </sheetView>
  </sheetViews>
  <sheetFormatPr defaultRowHeight="15" x14ac:dyDescent="0.25"/>
  <cols>
    <col min="1" max="1" width="1.5703125" style="128" customWidth="1"/>
    <col min="2" max="2" width="6.85546875" style="128" customWidth="1"/>
    <col min="3" max="3" width="10.7109375" style="128" customWidth="1"/>
    <col min="4" max="4" width="11.7109375" style="128" customWidth="1"/>
    <col min="5" max="5" width="48.42578125" style="128" bestFit="1" customWidth="1"/>
    <col min="6" max="6" width="3.7109375" style="128" customWidth="1"/>
    <col min="7" max="22" width="13.140625" style="128" customWidth="1"/>
    <col min="23" max="23" width="9.140625" style="128"/>
    <col min="24" max="39" width="13.140625" style="128" customWidth="1"/>
    <col min="40" max="40" width="3.85546875" style="128" customWidth="1"/>
    <col min="41" max="56" width="13.140625" style="128" customWidth="1"/>
    <col min="57" max="58" width="13.140625" style="126" customWidth="1"/>
    <col min="59" max="73" width="9.140625" style="128"/>
    <col min="74" max="74" width="9.7109375" style="128" customWidth="1"/>
    <col min="75" max="16384" width="9.140625" style="128"/>
  </cols>
  <sheetData>
    <row r="1" spans="2:69" ht="24" customHeight="1" x14ac:dyDescent="0.35">
      <c r="B1" s="1" t="str">
        <f>'Model Update'!D5</f>
        <v>SA Power Networks</v>
      </c>
      <c r="C1" s="141"/>
      <c r="D1" s="141"/>
      <c r="G1" s="1" t="s">
        <v>11</v>
      </c>
      <c r="X1" s="140"/>
      <c r="AO1" s="140"/>
    </row>
    <row r="2" spans="2:69" ht="21.75" customHeight="1" x14ac:dyDescent="0.3">
      <c r="B2" s="123" t="s">
        <v>214</v>
      </c>
      <c r="C2" s="141"/>
      <c r="D2" s="141"/>
      <c r="H2" s="142" t="s">
        <v>13</v>
      </c>
      <c r="I2" s="142"/>
      <c r="J2" s="142"/>
      <c r="K2" s="142"/>
      <c r="Y2" s="142"/>
      <c r="Z2" s="142"/>
      <c r="AA2" s="142"/>
      <c r="AB2" s="142"/>
      <c r="AP2" s="142"/>
      <c r="AQ2" s="142"/>
      <c r="AR2" s="142"/>
      <c r="AS2" s="142"/>
    </row>
    <row r="3" spans="2:69" ht="18" hidden="1" customHeight="1" x14ac:dyDescent="0.25">
      <c r="B3" s="143"/>
      <c r="C3" s="141"/>
      <c r="D3" s="141"/>
      <c r="H3" s="142"/>
      <c r="I3" s="142"/>
      <c r="J3" s="142"/>
      <c r="K3" s="142"/>
      <c r="Y3" s="142"/>
      <c r="Z3" s="142"/>
      <c r="AA3" s="142"/>
      <c r="AB3" s="142"/>
      <c r="AP3" s="142"/>
      <c r="AQ3" s="142"/>
      <c r="AR3" s="142"/>
      <c r="AS3" s="142"/>
    </row>
    <row r="4" spans="2:69" ht="18" hidden="1" customHeight="1" x14ac:dyDescent="0.25">
      <c r="B4" s="143"/>
      <c r="C4" s="141"/>
      <c r="D4" s="141"/>
      <c r="H4" s="142"/>
      <c r="I4" s="142"/>
      <c r="J4" s="142"/>
      <c r="K4" s="142"/>
      <c r="Y4" s="142"/>
      <c r="Z4" s="142"/>
      <c r="AA4" s="142"/>
      <c r="AB4" s="142"/>
      <c r="AP4" s="142"/>
      <c r="AQ4" s="142"/>
      <c r="AR4" s="142"/>
      <c r="AS4" s="142"/>
    </row>
    <row r="5" spans="2:69" ht="12.75" customHeight="1" x14ac:dyDescent="0.25">
      <c r="B5" s="143"/>
      <c r="C5" s="141"/>
      <c r="D5" s="141"/>
      <c r="H5" s="142"/>
      <c r="I5" s="142"/>
      <c r="J5" s="142"/>
      <c r="K5" s="142"/>
      <c r="Y5" s="142"/>
      <c r="Z5" s="142"/>
      <c r="AA5" s="142"/>
      <c r="AB5" s="142"/>
      <c r="AP5" s="142"/>
      <c r="AQ5" s="142"/>
      <c r="AR5" s="142"/>
      <c r="AS5" s="142"/>
    </row>
    <row r="6" spans="2:69" ht="12.75" customHeight="1" x14ac:dyDescent="0.25">
      <c r="B6" s="143"/>
      <c r="C6" s="141"/>
      <c r="D6" s="141"/>
      <c r="I6" s="142"/>
      <c r="J6" s="142"/>
      <c r="K6" s="142"/>
      <c r="Z6" s="142"/>
      <c r="AA6" s="142"/>
      <c r="AB6" s="142"/>
      <c r="AQ6" s="142"/>
      <c r="AR6" s="142"/>
      <c r="AS6" s="142"/>
    </row>
    <row r="7" spans="2:69" ht="18.75" x14ac:dyDescent="0.3">
      <c r="B7" s="7" t="str">
        <f>"Information for financial year ending 30 June "&amp;'Model Update'!C12</f>
        <v>Information for financial year ending 30 June 2021</v>
      </c>
      <c r="C7" s="141"/>
      <c r="D7" s="141"/>
      <c r="H7" s="828"/>
      <c r="I7" s="142"/>
      <c r="J7" s="142"/>
      <c r="K7" s="142"/>
      <c r="Y7" s="142"/>
      <c r="Z7" s="142"/>
      <c r="AA7" s="142"/>
      <c r="AB7" s="142"/>
      <c r="AP7" s="142"/>
      <c r="AQ7" s="142"/>
      <c r="AR7" s="142"/>
      <c r="AS7" s="142"/>
      <c r="BE7" s="258">
        <f>Days_Year</f>
        <v>365</v>
      </c>
    </row>
    <row r="8" spans="2:69" x14ac:dyDescent="0.25">
      <c r="B8" s="143"/>
      <c r="C8" s="141"/>
      <c r="D8" s="141"/>
    </row>
    <row r="9" spans="2:69" x14ac:dyDescent="0.25">
      <c r="B9" s="143"/>
      <c r="C9" s="141"/>
      <c r="D9" s="141"/>
      <c r="G9" s="850" t="s">
        <v>14</v>
      </c>
      <c r="H9" s="850"/>
      <c r="I9" s="850"/>
      <c r="J9" s="850"/>
      <c r="K9" s="850"/>
      <c r="L9" s="850"/>
      <c r="M9" s="850"/>
      <c r="N9" s="850"/>
      <c r="O9" s="850"/>
      <c r="P9" s="850"/>
      <c r="Q9" s="850"/>
      <c r="R9" s="850"/>
      <c r="S9" s="850"/>
      <c r="T9" s="850"/>
      <c r="U9" s="850"/>
      <c r="V9" s="861"/>
      <c r="X9" s="862" t="s">
        <v>15</v>
      </c>
      <c r="Y9" s="862"/>
      <c r="Z9" s="862"/>
      <c r="AA9" s="862"/>
      <c r="AB9" s="862"/>
      <c r="AC9" s="862"/>
      <c r="AD9" s="862"/>
      <c r="AE9" s="862"/>
      <c r="AF9" s="862"/>
      <c r="AG9" s="862"/>
      <c r="AH9" s="862"/>
      <c r="AI9" s="862"/>
      <c r="AJ9" s="862"/>
      <c r="AK9" s="862"/>
      <c r="AL9" s="862"/>
      <c r="AM9" s="863"/>
      <c r="AO9" s="850" t="s">
        <v>619</v>
      </c>
      <c r="AP9" s="850"/>
      <c r="AQ9" s="850"/>
      <c r="AR9" s="850"/>
      <c r="AS9" s="850"/>
      <c r="AT9" s="850"/>
      <c r="AU9" s="850"/>
      <c r="AV9" s="850"/>
      <c r="AW9" s="850"/>
      <c r="AX9" s="850"/>
      <c r="AY9" s="850"/>
      <c r="AZ9" s="850"/>
      <c r="BA9" s="850"/>
      <c r="BB9" s="850"/>
      <c r="BC9" s="850"/>
      <c r="BD9" s="850"/>
      <c r="BE9" s="850"/>
      <c r="BF9" s="850"/>
    </row>
    <row r="10" spans="2:69" x14ac:dyDescent="0.25">
      <c r="E10" s="144"/>
      <c r="V10" s="145"/>
      <c r="AM10" s="145"/>
    </row>
    <row r="11" spans="2:69" x14ac:dyDescent="0.25">
      <c r="B11" s="146" t="s">
        <v>16</v>
      </c>
      <c r="C11" s="147"/>
      <c r="D11" s="147"/>
      <c r="E11" s="148"/>
      <c r="G11" s="149">
        <f>'Model Update'!C12</f>
        <v>2021</v>
      </c>
      <c r="H11" s="150">
        <f>$G$11</f>
        <v>2021</v>
      </c>
      <c r="I11" s="147"/>
      <c r="J11" s="151"/>
      <c r="K11" s="152"/>
      <c r="L11" s="150">
        <f>$G$11</f>
        <v>2021</v>
      </c>
      <c r="M11" s="153"/>
      <c r="N11" s="153"/>
      <c r="O11" s="152"/>
      <c r="P11" s="150">
        <f>$G$11</f>
        <v>2021</v>
      </c>
      <c r="Q11" s="147"/>
      <c r="R11" s="151"/>
      <c r="S11" s="150">
        <f>$G$11</f>
        <v>2021</v>
      </c>
      <c r="T11" s="154"/>
      <c r="U11" s="150">
        <f>$G$11</f>
        <v>2021</v>
      </c>
      <c r="V11" s="148"/>
      <c r="X11" s="150">
        <f>$G$11</f>
        <v>2021</v>
      </c>
      <c r="Y11" s="150">
        <f>$G$11</f>
        <v>2021</v>
      </c>
      <c r="Z11" s="147"/>
      <c r="AA11" s="151"/>
      <c r="AB11" s="152"/>
      <c r="AC11" s="150">
        <f>$G$11</f>
        <v>2021</v>
      </c>
      <c r="AD11" s="153"/>
      <c r="AE11" s="153"/>
      <c r="AF11" s="152"/>
      <c r="AG11" s="150">
        <f>$G$11</f>
        <v>2021</v>
      </c>
      <c r="AH11" s="147"/>
      <c r="AI11" s="151"/>
      <c r="AJ11" s="150">
        <f>$G$11</f>
        <v>2021</v>
      </c>
      <c r="AK11" s="154"/>
      <c r="AL11" s="150">
        <f>$G$11</f>
        <v>2021</v>
      </c>
      <c r="AM11" s="148"/>
      <c r="AO11" s="150">
        <f>$G$11</f>
        <v>2021</v>
      </c>
      <c r="AP11" s="150">
        <f>$G$11</f>
        <v>2021</v>
      </c>
      <c r="AQ11" s="147"/>
      <c r="AR11" s="151"/>
      <c r="AS11" s="152"/>
      <c r="AT11" s="150">
        <f>$G$11</f>
        <v>2021</v>
      </c>
      <c r="AU11" s="153"/>
      <c r="AV11" s="153"/>
      <c r="AW11" s="152"/>
      <c r="AX11" s="150">
        <f>$G$11</f>
        <v>2021</v>
      </c>
      <c r="AY11" s="147"/>
      <c r="AZ11" s="151"/>
      <c r="BA11" s="150">
        <f>$G$11</f>
        <v>2021</v>
      </c>
      <c r="BB11" s="154"/>
      <c r="BC11" s="150">
        <f>$G$11</f>
        <v>2021</v>
      </c>
      <c r="BD11" s="147"/>
      <c r="BE11" s="864" t="s">
        <v>17</v>
      </c>
      <c r="BF11" s="852"/>
      <c r="BH11" s="864" t="s">
        <v>205</v>
      </c>
      <c r="BI11" s="851"/>
      <c r="BJ11" s="851"/>
      <c r="BK11" s="851"/>
      <c r="BL11" s="851"/>
      <c r="BM11" s="852"/>
    </row>
    <row r="12" spans="2:69" x14ac:dyDescent="0.25">
      <c r="B12" s="155"/>
      <c r="E12" s="145"/>
      <c r="G12" s="156" t="s">
        <v>18</v>
      </c>
      <c r="H12" s="157" t="s">
        <v>19</v>
      </c>
      <c r="J12" s="129"/>
      <c r="K12" s="158"/>
      <c r="L12" s="157" t="s">
        <v>20</v>
      </c>
      <c r="M12" s="135"/>
      <c r="N12" s="135"/>
      <c r="O12" s="158"/>
      <c r="P12" s="856" t="s">
        <v>21</v>
      </c>
      <c r="Q12" s="857"/>
      <c r="R12" s="858"/>
      <c r="S12" s="859" t="s">
        <v>662</v>
      </c>
      <c r="T12" s="860"/>
      <c r="U12" s="856" t="s">
        <v>663</v>
      </c>
      <c r="V12" s="858"/>
      <c r="X12" s="156" t="s">
        <v>22</v>
      </c>
      <c r="Y12" s="157" t="s">
        <v>19</v>
      </c>
      <c r="AA12" s="129"/>
      <c r="AB12" s="158"/>
      <c r="AC12" s="157" t="s">
        <v>20</v>
      </c>
      <c r="AD12" s="135"/>
      <c r="AE12" s="135"/>
      <c r="AF12" s="158"/>
      <c r="AG12" s="856" t="s">
        <v>21</v>
      </c>
      <c r="AH12" s="857"/>
      <c r="AI12" s="858"/>
      <c r="AJ12" s="859" t="s">
        <v>662</v>
      </c>
      <c r="AK12" s="860"/>
      <c r="AL12" s="856" t="s">
        <v>663</v>
      </c>
      <c r="AM12" s="858"/>
      <c r="AO12" s="156" t="s">
        <v>22</v>
      </c>
      <c r="AP12" s="157" t="s">
        <v>19</v>
      </c>
      <c r="AR12" s="129"/>
      <c r="AS12" s="158"/>
      <c r="AT12" s="157" t="s">
        <v>20</v>
      </c>
      <c r="AU12" s="135"/>
      <c r="AV12" s="135"/>
      <c r="AW12" s="158"/>
      <c r="AX12" s="856" t="s">
        <v>21</v>
      </c>
      <c r="AY12" s="857"/>
      <c r="AZ12" s="858"/>
      <c r="BA12" s="859" t="s">
        <v>662</v>
      </c>
      <c r="BB12" s="860"/>
      <c r="BC12" s="856" t="s">
        <v>663</v>
      </c>
      <c r="BD12" s="858"/>
      <c r="BE12" s="241" t="s">
        <v>204</v>
      </c>
      <c r="BF12" s="243" t="s">
        <v>23</v>
      </c>
      <c r="BH12" s="239"/>
      <c r="BI12" s="240"/>
      <c r="BJ12" s="240"/>
      <c r="BK12" s="240"/>
      <c r="BL12" s="240"/>
      <c r="BM12" s="145"/>
    </row>
    <row r="13" spans="2:69" x14ac:dyDescent="0.25">
      <c r="B13" s="155"/>
      <c r="E13" s="145"/>
      <c r="G13" s="156"/>
      <c r="H13" s="160" t="s">
        <v>23</v>
      </c>
      <c r="I13" s="129" t="s">
        <v>23</v>
      </c>
      <c r="J13" s="129" t="s">
        <v>23</v>
      </c>
      <c r="K13" s="158" t="s">
        <v>23</v>
      </c>
      <c r="L13" s="160" t="s">
        <v>23</v>
      </c>
      <c r="M13" s="129" t="s">
        <v>23</v>
      </c>
      <c r="N13" s="129" t="s">
        <v>23</v>
      </c>
      <c r="O13" s="158" t="s">
        <v>23</v>
      </c>
      <c r="P13" s="129" t="s">
        <v>24</v>
      </c>
      <c r="Q13" s="128" t="s">
        <v>24</v>
      </c>
      <c r="R13" s="159" t="s">
        <v>24</v>
      </c>
      <c r="S13" s="129" t="s">
        <v>24</v>
      </c>
      <c r="T13" s="159" t="s">
        <v>24</v>
      </c>
      <c r="U13" s="160" t="s">
        <v>25</v>
      </c>
      <c r="V13" s="158" t="s">
        <v>25</v>
      </c>
      <c r="X13" s="156"/>
      <c r="Y13" s="160" t="s">
        <v>23</v>
      </c>
      <c r="Z13" s="129" t="s">
        <v>23</v>
      </c>
      <c r="AA13" s="129" t="s">
        <v>23</v>
      </c>
      <c r="AB13" s="158" t="s">
        <v>23</v>
      </c>
      <c r="AC13" s="160" t="s">
        <v>23</v>
      </c>
      <c r="AD13" s="129" t="s">
        <v>23</v>
      </c>
      <c r="AE13" s="129" t="s">
        <v>23</v>
      </c>
      <c r="AF13" s="158" t="s">
        <v>23</v>
      </c>
      <c r="AG13" s="129" t="s">
        <v>24</v>
      </c>
      <c r="AH13" s="128" t="s">
        <v>24</v>
      </c>
      <c r="AI13" s="159" t="s">
        <v>24</v>
      </c>
      <c r="AJ13" s="129" t="s">
        <v>24</v>
      </c>
      <c r="AK13" s="159" t="s">
        <v>24</v>
      </c>
      <c r="AL13" s="160" t="s">
        <v>25</v>
      </c>
      <c r="AM13" s="158" t="s">
        <v>25</v>
      </c>
      <c r="AO13" s="156"/>
      <c r="AP13" s="160" t="s">
        <v>23</v>
      </c>
      <c r="AQ13" s="129" t="s">
        <v>23</v>
      </c>
      <c r="AR13" s="129" t="s">
        <v>23</v>
      </c>
      <c r="AS13" s="158" t="s">
        <v>23</v>
      </c>
      <c r="AT13" s="160" t="s">
        <v>23</v>
      </c>
      <c r="AU13" s="129" t="s">
        <v>23</v>
      </c>
      <c r="AV13" s="129" t="s">
        <v>23</v>
      </c>
      <c r="AW13" s="158" t="s">
        <v>23</v>
      </c>
      <c r="AX13" s="129" t="s">
        <v>24</v>
      </c>
      <c r="AY13" s="128" t="s">
        <v>24</v>
      </c>
      <c r="AZ13" s="159" t="s">
        <v>24</v>
      </c>
      <c r="BA13" s="129" t="s">
        <v>24</v>
      </c>
      <c r="BB13" s="159" t="s">
        <v>24</v>
      </c>
      <c r="BC13" s="160" t="s">
        <v>25</v>
      </c>
      <c r="BD13" s="158" t="s">
        <v>25</v>
      </c>
      <c r="BE13" s="161"/>
      <c r="BF13" s="243"/>
      <c r="BH13" s="241" t="s">
        <v>206</v>
      </c>
      <c r="BI13" s="242" t="s">
        <v>23</v>
      </c>
      <c r="BJ13" s="242" t="s">
        <v>23</v>
      </c>
      <c r="BK13" s="242" t="s">
        <v>210</v>
      </c>
      <c r="BL13" s="242" t="s">
        <v>211</v>
      </c>
      <c r="BM13" s="243" t="s">
        <v>212</v>
      </c>
      <c r="BO13" s="680" t="s">
        <v>620</v>
      </c>
      <c r="BQ13" s="126" t="s">
        <v>259</v>
      </c>
    </row>
    <row r="14" spans="2:69" s="129" customFormat="1" x14ac:dyDescent="0.25">
      <c r="B14" s="156" t="s">
        <v>26</v>
      </c>
      <c r="C14" s="129" t="s">
        <v>27</v>
      </c>
      <c r="D14" s="129" t="s">
        <v>27</v>
      </c>
      <c r="E14" s="158" t="s">
        <v>28</v>
      </c>
      <c r="F14" s="128"/>
      <c r="G14" s="156" t="s">
        <v>29</v>
      </c>
      <c r="H14" s="160" t="s">
        <v>30</v>
      </c>
      <c r="I14" s="129" t="s">
        <v>31</v>
      </c>
      <c r="J14" s="129" t="s">
        <v>32</v>
      </c>
      <c r="K14" s="158" t="s">
        <v>33</v>
      </c>
      <c r="L14" s="160" t="s">
        <v>30</v>
      </c>
      <c r="M14" s="129" t="s">
        <v>31</v>
      </c>
      <c r="N14" s="129" t="s">
        <v>32</v>
      </c>
      <c r="O14" s="158" t="s">
        <v>33</v>
      </c>
      <c r="P14" s="160"/>
      <c r="S14" s="160"/>
      <c r="T14" s="158"/>
      <c r="U14" s="160" t="s">
        <v>34</v>
      </c>
      <c r="V14" s="158"/>
      <c r="X14" s="156" t="s">
        <v>29</v>
      </c>
      <c r="Y14" s="160" t="s">
        <v>30</v>
      </c>
      <c r="Z14" s="129" t="s">
        <v>31</v>
      </c>
      <c r="AA14" s="129" t="s">
        <v>32</v>
      </c>
      <c r="AB14" s="158" t="s">
        <v>33</v>
      </c>
      <c r="AC14" s="160" t="s">
        <v>30</v>
      </c>
      <c r="AD14" s="129" t="s">
        <v>31</v>
      </c>
      <c r="AE14" s="129" t="s">
        <v>32</v>
      </c>
      <c r="AF14" s="158" t="s">
        <v>33</v>
      </c>
      <c r="AG14" s="160"/>
      <c r="AJ14" s="160"/>
      <c r="AK14" s="158"/>
      <c r="AL14" s="160" t="s">
        <v>34</v>
      </c>
      <c r="AM14" s="158"/>
      <c r="AO14" s="156" t="s">
        <v>29</v>
      </c>
      <c r="AP14" s="160" t="s">
        <v>30</v>
      </c>
      <c r="AQ14" s="129" t="s">
        <v>31</v>
      </c>
      <c r="AR14" s="129" t="s">
        <v>32</v>
      </c>
      <c r="AS14" s="158" t="s">
        <v>33</v>
      </c>
      <c r="AT14" s="160" t="s">
        <v>30</v>
      </c>
      <c r="AU14" s="129" t="s">
        <v>31</v>
      </c>
      <c r="AV14" s="129" t="s">
        <v>32</v>
      </c>
      <c r="AW14" s="158" t="s">
        <v>33</v>
      </c>
      <c r="AX14" s="160"/>
      <c r="BA14" s="160"/>
      <c r="BB14" s="158"/>
      <c r="BC14" s="160" t="s">
        <v>34</v>
      </c>
      <c r="BD14" s="158"/>
      <c r="BE14" s="241" t="s">
        <v>22</v>
      </c>
      <c r="BF14" s="243" t="s">
        <v>35</v>
      </c>
      <c r="BH14" s="241" t="s">
        <v>207</v>
      </c>
      <c r="BI14" s="242" t="s">
        <v>208</v>
      </c>
      <c r="BJ14" s="242" t="s">
        <v>209</v>
      </c>
      <c r="BK14" s="242"/>
      <c r="BL14" s="242"/>
      <c r="BM14" s="243"/>
    </row>
    <row r="15" spans="2:69" s="129" customFormat="1" x14ac:dyDescent="0.25">
      <c r="B15" s="162"/>
      <c r="C15" s="163" t="s">
        <v>36</v>
      </c>
      <c r="D15" s="163" t="s">
        <v>37</v>
      </c>
      <c r="E15" s="164" t="s">
        <v>38</v>
      </c>
      <c r="F15" s="128"/>
      <c r="G15" s="162" t="s">
        <v>29</v>
      </c>
      <c r="H15" s="165" t="s">
        <v>30</v>
      </c>
      <c r="I15" s="163" t="s">
        <v>31</v>
      </c>
      <c r="J15" s="163" t="s">
        <v>39</v>
      </c>
      <c r="K15" s="164" t="s">
        <v>32</v>
      </c>
      <c r="L15" s="165" t="s">
        <v>30</v>
      </c>
      <c r="M15" s="163"/>
      <c r="N15" s="163"/>
      <c r="O15" s="164"/>
      <c r="P15" s="165" t="s">
        <v>40</v>
      </c>
      <c r="Q15" s="163" t="s">
        <v>666</v>
      </c>
      <c r="R15" s="163" t="s">
        <v>667</v>
      </c>
      <c r="S15" s="165" t="s">
        <v>665</v>
      </c>
      <c r="T15" s="164" t="s">
        <v>664</v>
      </c>
      <c r="U15" s="165" t="s">
        <v>34</v>
      </c>
      <c r="V15" s="166" t="s">
        <v>664</v>
      </c>
      <c r="X15" s="162" t="s">
        <v>29</v>
      </c>
      <c r="Y15" s="165" t="s">
        <v>30</v>
      </c>
      <c r="Z15" s="163" t="s">
        <v>31</v>
      </c>
      <c r="AA15" s="163" t="s">
        <v>39</v>
      </c>
      <c r="AB15" s="164" t="s">
        <v>32</v>
      </c>
      <c r="AC15" s="165" t="s">
        <v>30</v>
      </c>
      <c r="AD15" s="163"/>
      <c r="AE15" s="163"/>
      <c r="AF15" s="164"/>
      <c r="AG15" s="165" t="s">
        <v>40</v>
      </c>
      <c r="AH15" s="163" t="s">
        <v>666</v>
      </c>
      <c r="AI15" s="163" t="s">
        <v>667</v>
      </c>
      <c r="AJ15" s="165" t="s">
        <v>665</v>
      </c>
      <c r="AK15" s="164" t="s">
        <v>664</v>
      </c>
      <c r="AL15" s="165" t="s">
        <v>34</v>
      </c>
      <c r="AM15" s="166" t="s">
        <v>664</v>
      </c>
      <c r="AO15" s="162" t="s">
        <v>29</v>
      </c>
      <c r="AP15" s="165" t="s">
        <v>30</v>
      </c>
      <c r="AQ15" s="163" t="s">
        <v>31</v>
      </c>
      <c r="AR15" s="163" t="s">
        <v>39</v>
      </c>
      <c r="AS15" s="164" t="s">
        <v>32</v>
      </c>
      <c r="AT15" s="165" t="s">
        <v>30</v>
      </c>
      <c r="AU15" s="163"/>
      <c r="AV15" s="163"/>
      <c r="AW15" s="164"/>
      <c r="AX15" s="165" t="s">
        <v>40</v>
      </c>
      <c r="AY15" s="163" t="s">
        <v>666</v>
      </c>
      <c r="AZ15" s="163" t="s">
        <v>667</v>
      </c>
      <c r="BA15" s="165" t="s">
        <v>665</v>
      </c>
      <c r="BB15" s="164" t="s">
        <v>664</v>
      </c>
      <c r="BC15" s="165" t="s">
        <v>34</v>
      </c>
      <c r="BD15" s="166" t="s">
        <v>664</v>
      </c>
      <c r="BE15" s="247" t="s">
        <v>22</v>
      </c>
      <c r="BF15" s="248" t="s">
        <v>35</v>
      </c>
      <c r="BH15" s="160"/>
      <c r="BI15" s="244"/>
      <c r="BJ15" s="244"/>
      <c r="BK15" s="244"/>
      <c r="BL15" s="244"/>
      <c r="BM15" s="158"/>
    </row>
    <row r="16" spans="2:69" ht="15" customHeight="1" x14ac:dyDescent="0.25">
      <c r="B16" s="167" t="s">
        <v>41</v>
      </c>
      <c r="C16" s="151" t="s">
        <v>42</v>
      </c>
      <c r="D16" s="147"/>
      <c r="E16" s="148"/>
      <c r="G16" s="463"/>
      <c r="H16" s="464"/>
      <c r="I16" s="465"/>
      <c r="J16" s="465"/>
      <c r="K16" s="466"/>
      <c r="L16" s="465"/>
      <c r="M16" s="465"/>
      <c r="N16" s="465"/>
      <c r="O16" s="466"/>
      <c r="P16" s="464"/>
      <c r="Q16" s="465"/>
      <c r="R16" s="466"/>
      <c r="S16" s="464"/>
      <c r="T16" s="465"/>
      <c r="U16" s="464"/>
      <c r="V16" s="466"/>
      <c r="X16" s="168">
        <f>'Q (t)'!G16</f>
        <v>0</v>
      </c>
      <c r="Y16" s="169">
        <f>'Q (t)'!H16</f>
        <v>0</v>
      </c>
      <c r="Z16" s="170">
        <f>'Q (t)'!I16</f>
        <v>0</v>
      </c>
      <c r="AA16" s="170">
        <f>'Q (t)'!J16</f>
        <v>0</v>
      </c>
      <c r="AB16" s="171">
        <f>'Q (t)'!K16</f>
        <v>0</v>
      </c>
      <c r="AC16" s="170">
        <f>'Q (t)'!L16</f>
        <v>0</v>
      </c>
      <c r="AD16" s="170">
        <f>'Q (t)'!M16</f>
        <v>0</v>
      </c>
      <c r="AE16" s="170">
        <f>'Q (t)'!N16</f>
        <v>0</v>
      </c>
      <c r="AF16" s="171">
        <f>'Q (t)'!O16</f>
        <v>0</v>
      </c>
      <c r="AG16" s="169">
        <f>'Q (t)'!P16</f>
        <v>0</v>
      </c>
      <c r="AH16" s="170">
        <f>'Q (t)'!Q16</f>
        <v>0</v>
      </c>
      <c r="AI16" s="171">
        <f>'Q (t)'!R16</f>
        <v>0</v>
      </c>
      <c r="AJ16" s="169">
        <f>'Q (t)'!S16</f>
        <v>0</v>
      </c>
      <c r="AK16" s="170">
        <f>'Q (t)'!T16</f>
        <v>0</v>
      </c>
      <c r="AL16" s="169">
        <f>'Q (t)'!U16</f>
        <v>0</v>
      </c>
      <c r="AM16" s="171">
        <f>'Q (t)'!V16</f>
        <v>0</v>
      </c>
      <c r="AO16" s="168">
        <f>G16*X16/1000</f>
        <v>0</v>
      </c>
      <c r="AP16" s="169">
        <f t="shared" ref="AP16:AW33" si="0">H16*Y16</f>
        <v>0</v>
      </c>
      <c r="AQ16" s="170">
        <f t="shared" si="0"/>
        <v>0</v>
      </c>
      <c r="AR16" s="170">
        <f t="shared" si="0"/>
        <v>0</v>
      </c>
      <c r="AS16" s="171">
        <f t="shared" si="0"/>
        <v>0</v>
      </c>
      <c r="AT16" s="170">
        <f t="shared" si="0"/>
        <v>0</v>
      </c>
      <c r="AU16" s="170">
        <f t="shared" si="0"/>
        <v>0</v>
      </c>
      <c r="AV16" s="170">
        <f t="shared" si="0"/>
        <v>0</v>
      </c>
      <c r="AW16" s="171">
        <f t="shared" si="0"/>
        <v>0</v>
      </c>
      <c r="AX16" s="169">
        <f t="shared" ref="AX16:BD51" si="1">P16*AG16/1000</f>
        <v>0</v>
      </c>
      <c r="AY16" s="170">
        <f t="shared" si="1"/>
        <v>0</v>
      </c>
      <c r="AZ16" s="171">
        <f t="shared" si="1"/>
        <v>0</v>
      </c>
      <c r="BA16" s="169">
        <f t="shared" si="1"/>
        <v>0</v>
      </c>
      <c r="BB16" s="170">
        <f t="shared" si="1"/>
        <v>0</v>
      </c>
      <c r="BC16" s="169">
        <f t="shared" si="1"/>
        <v>0</v>
      </c>
      <c r="BD16" s="170">
        <f t="shared" si="1"/>
        <v>0</v>
      </c>
      <c r="BE16" s="249">
        <f>X16/$BE$7</f>
        <v>0</v>
      </c>
      <c r="BF16" s="250">
        <f>SUM(AP16:AW16)</f>
        <v>0</v>
      </c>
      <c r="BH16" s="260">
        <f>SUBTOTAL(9,BH17:BH25)</f>
        <v>11977.377617999999</v>
      </c>
      <c r="BI16" s="260">
        <f>SUBTOTAL(9,BI17:BI25)</f>
        <v>36661.909999999996</v>
      </c>
      <c r="BJ16" s="260">
        <f>SUBTOTAL(9,BJ17:BJ25)</f>
        <v>2668.29</v>
      </c>
      <c r="BK16" s="260">
        <f>SUBTOTAL(9,BK17:BK25)</f>
        <v>0</v>
      </c>
      <c r="BL16" s="260">
        <f>SUBTOTAL(9,BL17:BL25)</f>
        <v>112.47839999999999</v>
      </c>
      <c r="BM16" s="261">
        <f>SUM(BH16:BL16)</f>
        <v>51420.056017999996</v>
      </c>
      <c r="BO16" s="732" t="str">
        <f>IF(BF16=0,"",BM16*1000/BF16)</f>
        <v/>
      </c>
    </row>
    <row r="17" spans="2:67" ht="15" customHeight="1" x14ac:dyDescent="0.25">
      <c r="B17" s="172"/>
      <c r="C17" s="126" t="s">
        <v>43</v>
      </c>
      <c r="D17" s="173"/>
      <c r="E17" s="145"/>
      <c r="G17" s="467"/>
      <c r="H17" s="468"/>
      <c r="I17" s="469"/>
      <c r="J17" s="469"/>
      <c r="K17" s="470"/>
      <c r="L17" s="471"/>
      <c r="M17" s="471"/>
      <c r="N17" s="471"/>
      <c r="O17" s="472"/>
      <c r="P17" s="468"/>
      <c r="Q17" s="469"/>
      <c r="R17" s="470"/>
      <c r="S17" s="468"/>
      <c r="T17" s="469"/>
      <c r="U17" s="468"/>
      <c r="V17" s="470"/>
      <c r="X17" s="174">
        <f>'Q (t)'!G17</f>
        <v>0</v>
      </c>
      <c r="Y17" s="175">
        <f>'Q (t)'!H17</f>
        <v>0</v>
      </c>
      <c r="Z17" s="176">
        <f>'Q (t)'!I17</f>
        <v>0</v>
      </c>
      <c r="AA17" s="176">
        <f>'Q (t)'!J17</f>
        <v>0</v>
      </c>
      <c r="AB17" s="177">
        <f>'Q (t)'!K17</f>
        <v>0</v>
      </c>
      <c r="AC17" s="178">
        <f>'Q (t)'!L17</f>
        <v>0</v>
      </c>
      <c r="AD17" s="178">
        <f>'Q (t)'!M17</f>
        <v>0</v>
      </c>
      <c r="AE17" s="178">
        <f>'Q (t)'!N17</f>
        <v>0</v>
      </c>
      <c r="AF17" s="179">
        <f>'Q (t)'!O17</f>
        <v>0</v>
      </c>
      <c r="AG17" s="175">
        <f>'Q (t)'!P17</f>
        <v>0</v>
      </c>
      <c r="AH17" s="176">
        <f>'Q (t)'!Q17</f>
        <v>0</v>
      </c>
      <c r="AI17" s="177">
        <f>'Q (t)'!R17</f>
        <v>0</v>
      </c>
      <c r="AJ17" s="175">
        <f>'Q (t)'!S17</f>
        <v>0</v>
      </c>
      <c r="AK17" s="176">
        <f>'Q (t)'!T17</f>
        <v>0</v>
      </c>
      <c r="AL17" s="175">
        <f>'Q (t)'!U17</f>
        <v>0</v>
      </c>
      <c r="AM17" s="177">
        <f>'Q (t)'!V17</f>
        <v>0</v>
      </c>
      <c r="AO17" s="174">
        <f t="shared" ref="AO17:AO77" si="2">G17*X17/1000</f>
        <v>0</v>
      </c>
      <c r="AP17" s="175">
        <f t="shared" si="0"/>
        <v>0</v>
      </c>
      <c r="AQ17" s="176">
        <f t="shared" si="0"/>
        <v>0</v>
      </c>
      <c r="AR17" s="176">
        <f t="shared" si="0"/>
        <v>0</v>
      </c>
      <c r="AS17" s="177">
        <f t="shared" si="0"/>
        <v>0</v>
      </c>
      <c r="AT17" s="178">
        <f t="shared" si="0"/>
        <v>0</v>
      </c>
      <c r="AU17" s="178">
        <f t="shared" si="0"/>
        <v>0</v>
      </c>
      <c r="AV17" s="178">
        <f t="shared" si="0"/>
        <v>0</v>
      </c>
      <c r="AW17" s="179">
        <f t="shared" si="0"/>
        <v>0</v>
      </c>
      <c r="AX17" s="175">
        <f t="shared" si="1"/>
        <v>0</v>
      </c>
      <c r="AY17" s="176">
        <f t="shared" si="1"/>
        <v>0</v>
      </c>
      <c r="AZ17" s="177">
        <f t="shared" si="1"/>
        <v>0</v>
      </c>
      <c r="BA17" s="175">
        <f t="shared" si="1"/>
        <v>0</v>
      </c>
      <c r="BB17" s="176">
        <f t="shared" si="1"/>
        <v>0</v>
      </c>
      <c r="BC17" s="175">
        <f t="shared" si="1"/>
        <v>0</v>
      </c>
      <c r="BD17" s="176">
        <f t="shared" si="1"/>
        <v>0</v>
      </c>
      <c r="BE17" s="251">
        <f t="shared" ref="BE17:BE77" si="3">X17/$BE$7</f>
        <v>0</v>
      </c>
      <c r="BF17" s="252">
        <f t="shared" ref="BF17:BF49" si="4">SUM(Y17:AF17)</f>
        <v>0</v>
      </c>
      <c r="BH17" s="259">
        <f>SUBTOTAL(9,BH18:BH19)</f>
        <v>9979.2228224999999</v>
      </c>
      <c r="BI17" s="259">
        <f>SUBTOTAL(9,BI18:BI19)</f>
        <v>30830.48</v>
      </c>
      <c r="BJ17" s="259">
        <f>SUBTOTAL(9,BJ18:BJ19)</f>
        <v>2097.2799999999997</v>
      </c>
      <c r="BK17" s="267">
        <f>SUBTOTAL(9,BK18:BK19)</f>
        <v>0</v>
      </c>
      <c r="BL17" s="268">
        <f>SUBTOTAL(9,BL18:BL19)</f>
        <v>0</v>
      </c>
      <c r="BM17" s="264">
        <f t="shared" ref="BM17:BM77" si="5">SUM(BH17:BL17)</f>
        <v>42906.982822499995</v>
      </c>
      <c r="BO17" s="732" t="str">
        <f t="shared" ref="BO17:BO77" si="6">IF(BF17=0,"",BM17*1000/BF17)</f>
        <v/>
      </c>
    </row>
    <row r="18" spans="2:67" ht="15" customHeight="1" x14ac:dyDescent="0.25">
      <c r="B18" s="156">
        <v>1</v>
      </c>
      <c r="C18" s="180" t="s">
        <v>44</v>
      </c>
      <c r="D18" s="181" t="s">
        <v>44</v>
      </c>
      <c r="E18" s="182" t="s">
        <v>669</v>
      </c>
      <c r="G18" s="473">
        <v>4.1099999999999998E-2</v>
      </c>
      <c r="H18" s="474">
        <v>1.1599999999999999E-2</v>
      </c>
      <c r="I18" s="469"/>
      <c r="J18" s="469"/>
      <c r="K18" s="470"/>
      <c r="L18" s="471"/>
      <c r="M18" s="422"/>
      <c r="N18" s="422"/>
      <c r="O18" s="423"/>
      <c r="P18" s="468"/>
      <c r="Q18" s="469"/>
      <c r="R18" s="470"/>
      <c r="S18" s="468"/>
      <c r="T18" s="469"/>
      <c r="U18" s="468"/>
      <c r="V18" s="470"/>
      <c r="X18" s="183">
        <f>'Q (t)'!G18</f>
        <v>242803475</v>
      </c>
      <c r="Y18" s="184">
        <f>'Q (t)'!H18</f>
        <v>2657800</v>
      </c>
      <c r="Z18" s="176">
        <f>'Q (t)'!I18</f>
        <v>0</v>
      </c>
      <c r="AA18" s="176">
        <f>'Q (t)'!J18</f>
        <v>0</v>
      </c>
      <c r="AB18" s="177">
        <f>'Q (t)'!K18</f>
        <v>0</v>
      </c>
      <c r="AC18" s="178">
        <f>'Q (t)'!L18</f>
        <v>0</v>
      </c>
      <c r="AD18" s="185">
        <f>'Q (t)'!M18</f>
        <v>0</v>
      </c>
      <c r="AE18" s="185">
        <f>'Q (t)'!N18</f>
        <v>0</v>
      </c>
      <c r="AF18" s="186">
        <f>'Q (t)'!O18</f>
        <v>0</v>
      </c>
      <c r="AG18" s="175">
        <f>'Q (t)'!P18</f>
        <v>0</v>
      </c>
      <c r="AH18" s="176">
        <f>'Q (t)'!Q18</f>
        <v>0</v>
      </c>
      <c r="AI18" s="177">
        <f>'Q (t)'!R18</f>
        <v>0</v>
      </c>
      <c r="AJ18" s="175">
        <f>'Q (t)'!S18</f>
        <v>0</v>
      </c>
      <c r="AK18" s="176">
        <f>'Q (t)'!T18</f>
        <v>0</v>
      </c>
      <c r="AL18" s="175">
        <f>'Q (t)'!U18</f>
        <v>0</v>
      </c>
      <c r="AM18" s="177">
        <f>'Q (t)'!V18</f>
        <v>0</v>
      </c>
      <c r="AO18" s="183">
        <f t="shared" si="2"/>
        <v>9979.2228224999999</v>
      </c>
      <c r="AP18" s="184">
        <f t="shared" si="0"/>
        <v>30830.48</v>
      </c>
      <c r="AQ18" s="176">
        <f t="shared" si="0"/>
        <v>0</v>
      </c>
      <c r="AR18" s="176">
        <f t="shared" si="0"/>
        <v>0</v>
      </c>
      <c r="AS18" s="177">
        <f t="shared" si="0"/>
        <v>0</v>
      </c>
      <c r="AT18" s="178">
        <f t="shared" si="0"/>
        <v>0</v>
      </c>
      <c r="AU18" s="185">
        <f t="shared" si="0"/>
        <v>0</v>
      </c>
      <c r="AV18" s="185">
        <f t="shared" si="0"/>
        <v>0</v>
      </c>
      <c r="AW18" s="186">
        <f t="shared" si="0"/>
        <v>0</v>
      </c>
      <c r="AX18" s="175">
        <f t="shared" si="1"/>
        <v>0</v>
      </c>
      <c r="AY18" s="176">
        <f t="shared" si="1"/>
        <v>0</v>
      </c>
      <c r="AZ18" s="177">
        <f t="shared" si="1"/>
        <v>0</v>
      </c>
      <c r="BA18" s="175">
        <f t="shared" si="1"/>
        <v>0</v>
      </c>
      <c r="BB18" s="176">
        <f t="shared" si="1"/>
        <v>0</v>
      </c>
      <c r="BC18" s="175">
        <f t="shared" si="1"/>
        <v>0</v>
      </c>
      <c r="BD18" s="176">
        <f t="shared" si="1"/>
        <v>0</v>
      </c>
      <c r="BE18" s="251">
        <f t="shared" si="3"/>
        <v>665215</v>
      </c>
      <c r="BF18" s="252">
        <f t="shared" si="4"/>
        <v>2657800</v>
      </c>
      <c r="BH18" s="262">
        <f>SUM(AO18)</f>
        <v>9979.2228224999999</v>
      </c>
      <c r="BI18" s="262">
        <f>SUM(AP18:AS18)</f>
        <v>30830.48</v>
      </c>
      <c r="BJ18" s="262">
        <f>SUM(AT18:AW18)</f>
        <v>0</v>
      </c>
      <c r="BK18" s="263">
        <f>SUM(AX18:BB18)</f>
        <v>0</v>
      </c>
      <c r="BL18" s="269">
        <f>SUM(BC18:BD18)</f>
        <v>0</v>
      </c>
      <c r="BM18" s="264">
        <f t="shared" si="5"/>
        <v>40809.702822499996</v>
      </c>
      <c r="BO18" s="732">
        <f t="shared" si="6"/>
        <v>15.354692912371133</v>
      </c>
    </row>
    <row r="19" spans="2:67" ht="15" customHeight="1" x14ac:dyDescent="0.25">
      <c r="B19" s="156">
        <f>B18+1</f>
        <v>2</v>
      </c>
      <c r="C19" s="180" t="s">
        <v>671</v>
      </c>
      <c r="D19" s="181" t="s">
        <v>671</v>
      </c>
      <c r="E19" s="182" t="s">
        <v>47</v>
      </c>
      <c r="G19" s="473">
        <f>G18</f>
        <v>4.1099999999999998E-2</v>
      </c>
      <c r="H19" s="474">
        <f>H18</f>
        <v>1.1599999999999999E-2</v>
      </c>
      <c r="I19" s="469"/>
      <c r="J19" s="469"/>
      <c r="K19" s="470"/>
      <c r="L19" s="475">
        <v>5.7999999999999996E-3</v>
      </c>
      <c r="M19" s="422"/>
      <c r="N19" s="422"/>
      <c r="O19" s="423"/>
      <c r="P19" s="468"/>
      <c r="Q19" s="469"/>
      <c r="R19" s="470"/>
      <c r="S19" s="468"/>
      <c r="T19" s="469"/>
      <c r="U19" s="468"/>
      <c r="V19" s="470"/>
      <c r="X19" s="183">
        <f>'Q (t)'!G19</f>
        <v>0</v>
      </c>
      <c r="Y19" s="184">
        <f>'Q (t)'!H19</f>
        <v>0</v>
      </c>
      <c r="Z19" s="176">
        <f>'Q (t)'!I19</f>
        <v>0</v>
      </c>
      <c r="AA19" s="176">
        <f>'Q (t)'!J19</f>
        <v>0</v>
      </c>
      <c r="AB19" s="177">
        <f>'Q (t)'!K19</f>
        <v>0</v>
      </c>
      <c r="AC19" s="178">
        <f>'Q (t)'!L19</f>
        <v>361600</v>
      </c>
      <c r="AD19" s="185">
        <f>'Q (t)'!M19</f>
        <v>0</v>
      </c>
      <c r="AE19" s="185">
        <f>'Q (t)'!N19</f>
        <v>0</v>
      </c>
      <c r="AF19" s="186">
        <f>'Q (t)'!O19</f>
        <v>0</v>
      </c>
      <c r="AG19" s="175">
        <f>'Q (t)'!P19</f>
        <v>0</v>
      </c>
      <c r="AH19" s="176">
        <f>'Q (t)'!Q19</f>
        <v>0</v>
      </c>
      <c r="AI19" s="177">
        <f>'Q (t)'!R19</f>
        <v>0</v>
      </c>
      <c r="AJ19" s="175">
        <f>'Q (t)'!S19</f>
        <v>0</v>
      </c>
      <c r="AK19" s="176">
        <f>'Q (t)'!T19</f>
        <v>0</v>
      </c>
      <c r="AL19" s="175">
        <f>'Q (t)'!U19</f>
        <v>0</v>
      </c>
      <c r="AM19" s="177">
        <f>'Q (t)'!V19</f>
        <v>0</v>
      </c>
      <c r="AO19" s="183">
        <f t="shared" si="2"/>
        <v>0</v>
      </c>
      <c r="AP19" s="184">
        <f t="shared" si="0"/>
        <v>0</v>
      </c>
      <c r="AQ19" s="176">
        <f t="shared" si="0"/>
        <v>0</v>
      </c>
      <c r="AR19" s="176">
        <f t="shared" si="0"/>
        <v>0</v>
      </c>
      <c r="AS19" s="177">
        <f t="shared" si="0"/>
        <v>0</v>
      </c>
      <c r="AT19" s="178">
        <f t="shared" si="0"/>
        <v>2097.2799999999997</v>
      </c>
      <c r="AU19" s="185">
        <f t="shared" si="0"/>
        <v>0</v>
      </c>
      <c r="AV19" s="185">
        <f t="shared" si="0"/>
        <v>0</v>
      </c>
      <c r="AW19" s="186">
        <f t="shared" si="0"/>
        <v>0</v>
      </c>
      <c r="AX19" s="175">
        <f t="shared" si="1"/>
        <v>0</v>
      </c>
      <c r="AY19" s="176">
        <f t="shared" si="1"/>
        <v>0</v>
      </c>
      <c r="AZ19" s="177">
        <f t="shared" si="1"/>
        <v>0</v>
      </c>
      <c r="BA19" s="175">
        <f t="shared" si="1"/>
        <v>0</v>
      </c>
      <c r="BB19" s="176">
        <f t="shared" si="1"/>
        <v>0</v>
      </c>
      <c r="BC19" s="175">
        <f t="shared" si="1"/>
        <v>0</v>
      </c>
      <c r="BD19" s="176">
        <f t="shared" si="1"/>
        <v>0</v>
      </c>
      <c r="BE19" s="251">
        <f t="shared" si="3"/>
        <v>0</v>
      </c>
      <c r="BF19" s="252">
        <f t="shared" si="4"/>
        <v>361600</v>
      </c>
      <c r="BH19" s="262">
        <f>SUM(AO19)</f>
        <v>0</v>
      </c>
      <c r="BI19" s="262">
        <f>SUM(AP19:AS19)</f>
        <v>0</v>
      </c>
      <c r="BJ19" s="262">
        <f>SUM(AT19:AW19)</f>
        <v>2097.2799999999997</v>
      </c>
      <c r="BK19" s="263">
        <f>SUM(AX19:BB19)</f>
        <v>0</v>
      </c>
      <c r="BL19" s="269">
        <f>SUM(BC19:BD19)</f>
        <v>0</v>
      </c>
      <c r="BM19" s="264">
        <f t="shared" si="5"/>
        <v>2097.2799999999997</v>
      </c>
      <c r="BO19" s="732">
        <f t="shared" si="6"/>
        <v>5.7999999999999989</v>
      </c>
    </row>
    <row r="20" spans="2:67" ht="15" customHeight="1" x14ac:dyDescent="0.25">
      <c r="B20" s="172"/>
      <c r="C20" s="126" t="s">
        <v>48</v>
      </c>
      <c r="D20" s="173"/>
      <c r="E20" s="145"/>
      <c r="G20" s="467"/>
      <c r="H20" s="468"/>
      <c r="I20" s="469"/>
      <c r="J20" s="469"/>
      <c r="K20" s="470"/>
      <c r="L20" s="469"/>
      <c r="M20" s="469"/>
      <c r="N20" s="469"/>
      <c r="O20" s="470"/>
      <c r="P20" s="468"/>
      <c r="Q20" s="469"/>
      <c r="R20" s="470"/>
      <c r="S20" s="468"/>
      <c r="T20" s="469"/>
      <c r="U20" s="468"/>
      <c r="V20" s="470"/>
      <c r="X20" s="174">
        <f>'Q (t)'!G20</f>
        <v>0</v>
      </c>
      <c r="Y20" s="175">
        <f>'Q (t)'!H20</f>
        <v>0</v>
      </c>
      <c r="Z20" s="176">
        <f>'Q (t)'!I20</f>
        <v>0</v>
      </c>
      <c r="AA20" s="176">
        <f>'Q (t)'!J20</f>
        <v>0</v>
      </c>
      <c r="AB20" s="177">
        <f>'Q (t)'!K20</f>
        <v>0</v>
      </c>
      <c r="AC20" s="176">
        <f>'Q (t)'!L20</f>
        <v>0</v>
      </c>
      <c r="AD20" s="176">
        <f>'Q (t)'!M20</f>
        <v>0</v>
      </c>
      <c r="AE20" s="176">
        <f>'Q (t)'!N20</f>
        <v>0</v>
      </c>
      <c r="AF20" s="177">
        <f>'Q (t)'!O20</f>
        <v>0</v>
      </c>
      <c r="AG20" s="175">
        <f>'Q (t)'!P20</f>
        <v>0</v>
      </c>
      <c r="AH20" s="176">
        <f>'Q (t)'!Q20</f>
        <v>0</v>
      </c>
      <c r="AI20" s="177">
        <f>'Q (t)'!R20</f>
        <v>0</v>
      </c>
      <c r="AJ20" s="175">
        <f>'Q (t)'!S20</f>
        <v>0</v>
      </c>
      <c r="AK20" s="176">
        <f>'Q (t)'!T20</f>
        <v>0</v>
      </c>
      <c r="AL20" s="175">
        <f>'Q (t)'!U20</f>
        <v>0</v>
      </c>
      <c r="AM20" s="177">
        <f>'Q (t)'!V20</f>
        <v>0</v>
      </c>
      <c r="AO20" s="174">
        <f t="shared" si="2"/>
        <v>0</v>
      </c>
      <c r="AP20" s="175">
        <f t="shared" si="0"/>
        <v>0</v>
      </c>
      <c r="AQ20" s="176">
        <f t="shared" si="0"/>
        <v>0</v>
      </c>
      <c r="AR20" s="176">
        <f t="shared" si="0"/>
        <v>0</v>
      </c>
      <c r="AS20" s="177">
        <f t="shared" si="0"/>
        <v>0</v>
      </c>
      <c r="AT20" s="176">
        <f t="shared" si="0"/>
        <v>0</v>
      </c>
      <c r="AU20" s="176">
        <f t="shared" si="0"/>
        <v>0</v>
      </c>
      <c r="AV20" s="176">
        <f t="shared" si="0"/>
        <v>0</v>
      </c>
      <c r="AW20" s="177">
        <f t="shared" si="0"/>
        <v>0</v>
      </c>
      <c r="AX20" s="175">
        <f t="shared" si="1"/>
        <v>0</v>
      </c>
      <c r="AY20" s="176">
        <f t="shared" si="1"/>
        <v>0</v>
      </c>
      <c r="AZ20" s="177">
        <f t="shared" si="1"/>
        <v>0</v>
      </c>
      <c r="BA20" s="175">
        <f t="shared" si="1"/>
        <v>0</v>
      </c>
      <c r="BB20" s="176">
        <f t="shared" si="1"/>
        <v>0</v>
      </c>
      <c r="BC20" s="175">
        <f t="shared" si="1"/>
        <v>0</v>
      </c>
      <c r="BD20" s="176">
        <f t="shared" si="1"/>
        <v>0</v>
      </c>
      <c r="BE20" s="251">
        <f t="shared" si="3"/>
        <v>0</v>
      </c>
      <c r="BF20" s="252">
        <f t="shared" si="4"/>
        <v>0</v>
      </c>
      <c r="BH20" s="259">
        <f>SUBTOTAL(9,BH21:BH25)</f>
        <v>1998.1547954999999</v>
      </c>
      <c r="BI20" s="259">
        <f t="shared" ref="BI20:BL20" si="7">SUBTOTAL(9,BI21:BI25)</f>
        <v>5831.43</v>
      </c>
      <c r="BJ20" s="259">
        <f t="shared" si="7"/>
        <v>571.01</v>
      </c>
      <c r="BK20" s="259">
        <f t="shared" si="7"/>
        <v>0</v>
      </c>
      <c r="BL20" s="259">
        <f t="shared" si="7"/>
        <v>112.47839999999999</v>
      </c>
      <c r="BM20" s="264">
        <f t="shared" si="5"/>
        <v>8513.0731954999992</v>
      </c>
      <c r="BO20" s="732" t="str">
        <f t="shared" si="6"/>
        <v/>
      </c>
    </row>
    <row r="21" spans="2:67" ht="15" customHeight="1" x14ac:dyDescent="0.25">
      <c r="B21" s="156">
        <f>B19+1</f>
        <v>3</v>
      </c>
      <c r="C21" s="180" t="s">
        <v>46</v>
      </c>
      <c r="D21" s="181" t="s">
        <v>46</v>
      </c>
      <c r="E21" s="182" t="s">
        <v>670</v>
      </c>
      <c r="G21" s="473">
        <f>G18</f>
        <v>4.1099999999999998E-2</v>
      </c>
      <c r="H21" s="777">
        <f>H18</f>
        <v>1.1599999999999999E-2</v>
      </c>
      <c r="I21" s="469"/>
      <c r="J21" s="469"/>
      <c r="K21" s="470"/>
      <c r="L21" s="422"/>
      <c r="M21" s="778">
        <f>M23</f>
        <v>1.4500000000000001E-2</v>
      </c>
      <c r="N21" s="778">
        <f t="shared" ref="N21:O21" si="8">N23</f>
        <v>5.7999999999999996E-3</v>
      </c>
      <c r="O21" s="779">
        <f t="shared" si="8"/>
        <v>2.8999999999999998E-3</v>
      </c>
      <c r="P21" s="468"/>
      <c r="Q21" s="469"/>
      <c r="R21" s="470"/>
      <c r="S21" s="468"/>
      <c r="T21" s="469"/>
      <c r="U21" s="468"/>
      <c r="V21" s="470"/>
      <c r="X21" s="183">
        <f>'Q (t)'!G21</f>
        <v>0</v>
      </c>
      <c r="Y21" s="175">
        <f>'Q (t)'!H21</f>
        <v>0</v>
      </c>
      <c r="Z21" s="178">
        <f>'Q (t)'!I21</f>
        <v>0</v>
      </c>
      <c r="AA21" s="178">
        <f>'Q (t)'!J21</f>
        <v>0</v>
      </c>
      <c r="AB21" s="179">
        <f>'Q (t)'!K21</f>
        <v>0</v>
      </c>
      <c r="AC21" s="185">
        <f>'Q (t)'!L21</f>
        <v>0</v>
      </c>
      <c r="AD21" s="185">
        <f>'Q (t)'!M21</f>
        <v>0</v>
      </c>
      <c r="AE21" s="185">
        <f>'Q (t)'!N21</f>
        <v>0</v>
      </c>
      <c r="AF21" s="186">
        <f>'Q (t)'!O21</f>
        <v>0</v>
      </c>
      <c r="AG21" s="175">
        <f>'Q (t)'!P21</f>
        <v>0</v>
      </c>
      <c r="AH21" s="176">
        <f>'Q (t)'!Q21</f>
        <v>0</v>
      </c>
      <c r="AI21" s="177">
        <f>'Q (t)'!R21</f>
        <v>0</v>
      </c>
      <c r="AJ21" s="175">
        <f>'Q (t)'!S21</f>
        <v>0</v>
      </c>
      <c r="AK21" s="176">
        <f>'Q (t)'!T21</f>
        <v>0</v>
      </c>
      <c r="AL21" s="175">
        <f>'Q (t)'!U21</f>
        <v>0</v>
      </c>
      <c r="AM21" s="177">
        <f>'Q (t)'!V21</f>
        <v>0</v>
      </c>
      <c r="AO21" s="183">
        <f t="shared" ref="AO21" si="9">G21*X21/1000</f>
        <v>0</v>
      </c>
      <c r="AP21" s="175">
        <f t="shared" ref="AP21" si="10">H21*Y21</f>
        <v>0</v>
      </c>
      <c r="AQ21" s="178">
        <f t="shared" ref="AQ21" si="11">I21*Z21</f>
        <v>0</v>
      </c>
      <c r="AR21" s="178">
        <f t="shared" ref="AR21" si="12">J21*AA21</f>
        <v>0</v>
      </c>
      <c r="AS21" s="179">
        <f t="shared" ref="AS21" si="13">K21*AB21</f>
        <v>0</v>
      </c>
      <c r="AT21" s="185">
        <f t="shared" ref="AT21" si="14">L21*AC21</f>
        <v>0</v>
      </c>
      <c r="AU21" s="185">
        <f t="shared" ref="AU21" si="15">M21*AD21</f>
        <v>0</v>
      </c>
      <c r="AV21" s="185">
        <f t="shared" ref="AV21" si="16">N21*AE21</f>
        <v>0</v>
      </c>
      <c r="AW21" s="186">
        <f t="shared" ref="AW21" si="17">O21*AF21</f>
        <v>0</v>
      </c>
      <c r="AX21" s="175">
        <f t="shared" ref="AX21:BD21" si="18">P21*AG21/1000</f>
        <v>0</v>
      </c>
      <c r="AY21" s="176">
        <f t="shared" si="18"/>
        <v>0</v>
      </c>
      <c r="AZ21" s="177">
        <f t="shared" si="18"/>
        <v>0</v>
      </c>
      <c r="BA21" s="175">
        <f t="shared" si="18"/>
        <v>0</v>
      </c>
      <c r="BB21" s="176">
        <f t="shared" si="18"/>
        <v>0</v>
      </c>
      <c r="BC21" s="175">
        <f t="shared" si="18"/>
        <v>0</v>
      </c>
      <c r="BD21" s="176">
        <f t="shared" si="18"/>
        <v>0</v>
      </c>
      <c r="BE21" s="251">
        <f t="shared" ref="BE21" si="19">X21/$BE$7</f>
        <v>0</v>
      </c>
      <c r="BF21" s="252">
        <f t="shared" ref="BF21" si="20">SUM(Y21:AF21)</f>
        <v>0</v>
      </c>
      <c r="BH21" s="262">
        <f>SUM(AO21)</f>
        <v>0</v>
      </c>
      <c r="BI21" s="262">
        <f>SUM(AP21:AS21)</f>
        <v>0</v>
      </c>
      <c r="BJ21" s="262">
        <f>SUM(AT21:AW21)</f>
        <v>0</v>
      </c>
      <c r="BK21" s="263">
        <f>SUM(AX21:BB21)</f>
        <v>0</v>
      </c>
      <c r="BL21" s="269">
        <f>SUM(BC21:BD21)</f>
        <v>0</v>
      </c>
      <c r="BM21" s="264">
        <f t="shared" ref="BM21" si="21">SUM(BH21:BL21)</f>
        <v>0</v>
      </c>
      <c r="BO21" s="732" t="str">
        <f t="shared" ref="BO21" si="22">IF(BF21=0,"",BM21*1000/BF21)</f>
        <v/>
      </c>
    </row>
    <row r="22" spans="2:67" ht="15" customHeight="1" x14ac:dyDescent="0.25">
      <c r="B22" s="156">
        <f>B21+1</f>
        <v>4</v>
      </c>
      <c r="C22" s="180" t="s">
        <v>49</v>
      </c>
      <c r="D22" s="181" t="s">
        <v>49</v>
      </c>
      <c r="E22" s="182" t="s">
        <v>50</v>
      </c>
      <c r="G22" s="473">
        <v>4.1099999999999998E-2</v>
      </c>
      <c r="H22" s="468"/>
      <c r="I22" s="475">
        <v>1.4500000000000001E-2</v>
      </c>
      <c r="J22" s="475">
        <v>5.7999999999999996E-3</v>
      </c>
      <c r="K22" s="476">
        <v>2.8999999999999998E-3</v>
      </c>
      <c r="L22" s="422"/>
      <c r="M22" s="422"/>
      <c r="N22" s="422"/>
      <c r="O22" s="423"/>
      <c r="P22" s="468"/>
      <c r="Q22" s="469"/>
      <c r="R22" s="470"/>
      <c r="S22" s="468"/>
      <c r="T22" s="469"/>
      <c r="U22" s="468"/>
      <c r="V22" s="470"/>
      <c r="X22" s="183">
        <f>'Q (t)'!G22</f>
        <v>47156905</v>
      </c>
      <c r="Y22" s="175">
        <f>'Q (t)'!H22</f>
        <v>0</v>
      </c>
      <c r="Z22" s="178">
        <f>'Q (t)'!I22</f>
        <v>352600</v>
      </c>
      <c r="AA22" s="178">
        <f>'Q (t)'!J22</f>
        <v>67700</v>
      </c>
      <c r="AB22" s="179">
        <f>'Q (t)'!K22</f>
        <v>104400</v>
      </c>
      <c r="AC22" s="185">
        <f>'Q (t)'!L22</f>
        <v>0</v>
      </c>
      <c r="AD22" s="185">
        <f>'Q (t)'!M22</f>
        <v>0</v>
      </c>
      <c r="AE22" s="185">
        <f>'Q (t)'!N22</f>
        <v>0</v>
      </c>
      <c r="AF22" s="186">
        <f>'Q (t)'!O22</f>
        <v>0</v>
      </c>
      <c r="AG22" s="175">
        <f>'Q (t)'!P22</f>
        <v>0</v>
      </c>
      <c r="AH22" s="176">
        <f>'Q (t)'!Q22</f>
        <v>0</v>
      </c>
      <c r="AI22" s="177">
        <f>'Q (t)'!R22</f>
        <v>0</v>
      </c>
      <c r="AJ22" s="175">
        <f>'Q (t)'!S22</f>
        <v>0</v>
      </c>
      <c r="AK22" s="176">
        <f>'Q (t)'!T22</f>
        <v>0</v>
      </c>
      <c r="AL22" s="175">
        <f>'Q (t)'!U22</f>
        <v>0</v>
      </c>
      <c r="AM22" s="177">
        <f>'Q (t)'!V22</f>
        <v>0</v>
      </c>
      <c r="AO22" s="183">
        <f t="shared" si="2"/>
        <v>1938.1487954999998</v>
      </c>
      <c r="AP22" s="175">
        <f t="shared" si="0"/>
        <v>0</v>
      </c>
      <c r="AQ22" s="178">
        <f t="shared" si="0"/>
        <v>5112.7</v>
      </c>
      <c r="AR22" s="178">
        <f t="shared" si="0"/>
        <v>392.65999999999997</v>
      </c>
      <c r="AS22" s="179">
        <f t="shared" si="0"/>
        <v>302.76</v>
      </c>
      <c r="AT22" s="185">
        <f t="shared" si="0"/>
        <v>0</v>
      </c>
      <c r="AU22" s="185">
        <f t="shared" si="0"/>
        <v>0</v>
      </c>
      <c r="AV22" s="185">
        <f t="shared" si="0"/>
        <v>0</v>
      </c>
      <c r="AW22" s="186">
        <f t="shared" si="0"/>
        <v>0</v>
      </c>
      <c r="AX22" s="175">
        <f t="shared" si="1"/>
        <v>0</v>
      </c>
      <c r="AY22" s="176">
        <f t="shared" si="1"/>
        <v>0</v>
      </c>
      <c r="AZ22" s="177">
        <f t="shared" si="1"/>
        <v>0</v>
      </c>
      <c r="BA22" s="175">
        <f t="shared" si="1"/>
        <v>0</v>
      </c>
      <c r="BB22" s="176">
        <f t="shared" si="1"/>
        <v>0</v>
      </c>
      <c r="BC22" s="175">
        <f t="shared" si="1"/>
        <v>0</v>
      </c>
      <c r="BD22" s="176">
        <f t="shared" si="1"/>
        <v>0</v>
      </c>
      <c r="BE22" s="251">
        <f t="shared" si="3"/>
        <v>129197</v>
      </c>
      <c r="BF22" s="252">
        <f t="shared" si="4"/>
        <v>524700</v>
      </c>
      <c r="BH22" s="262">
        <f>SUM(AO22)</f>
        <v>1938.1487954999998</v>
      </c>
      <c r="BI22" s="262">
        <f>SUM(AP22:AS22)</f>
        <v>5808.12</v>
      </c>
      <c r="BJ22" s="262">
        <f>SUM(AT22:AW22)</f>
        <v>0</v>
      </c>
      <c r="BK22" s="263">
        <f>SUM(AX22:BB22)</f>
        <v>0</v>
      </c>
      <c r="BL22" s="269">
        <f>SUM(BC22:BD22)</f>
        <v>0</v>
      </c>
      <c r="BM22" s="264">
        <f t="shared" si="5"/>
        <v>7746.2687955000001</v>
      </c>
      <c r="BO22" s="732">
        <f t="shared" si="6"/>
        <v>14.763233839336763</v>
      </c>
    </row>
    <row r="23" spans="2:67" ht="15" customHeight="1" x14ac:dyDescent="0.25">
      <c r="B23" s="156">
        <f t="shared" ref="B23:B25" si="23">B22+1</f>
        <v>5</v>
      </c>
      <c r="C23" s="180" t="s">
        <v>51</v>
      </c>
      <c r="D23" s="181" t="s">
        <v>51</v>
      </c>
      <c r="E23" s="182" t="s">
        <v>52</v>
      </c>
      <c r="G23" s="473">
        <f>G22</f>
        <v>4.1099999999999998E-2</v>
      </c>
      <c r="H23" s="468"/>
      <c r="I23" s="475">
        <f>I22</f>
        <v>1.4500000000000001E-2</v>
      </c>
      <c r="J23" s="475">
        <f>J22</f>
        <v>5.7999999999999996E-3</v>
      </c>
      <c r="K23" s="476">
        <f>K22</f>
        <v>2.8999999999999998E-3</v>
      </c>
      <c r="L23" s="422"/>
      <c r="M23" s="475">
        <v>1.4500000000000001E-2</v>
      </c>
      <c r="N23" s="475">
        <v>5.7999999999999996E-3</v>
      </c>
      <c r="O23" s="475">
        <v>2.8999999999999998E-3</v>
      </c>
      <c r="P23" s="468"/>
      <c r="Q23" s="469"/>
      <c r="R23" s="470"/>
      <c r="S23" s="468"/>
      <c r="T23" s="469"/>
      <c r="U23" s="468"/>
      <c r="V23" s="470"/>
      <c r="X23" s="183">
        <f>'Q (t)'!G23</f>
        <v>0</v>
      </c>
      <c r="Y23" s="175">
        <f>'Q (t)'!H23</f>
        <v>0</v>
      </c>
      <c r="Z23" s="178">
        <f>'Q (t)'!I23</f>
        <v>0</v>
      </c>
      <c r="AA23" s="178">
        <f>'Q (t)'!J23</f>
        <v>0</v>
      </c>
      <c r="AB23" s="179">
        <f>'Q (t)'!K23</f>
        <v>0</v>
      </c>
      <c r="AC23" s="185">
        <f>'Q (t)'!L23</f>
        <v>0</v>
      </c>
      <c r="AD23" s="178">
        <f>'Q (t)'!M23</f>
        <v>0</v>
      </c>
      <c r="AE23" s="178">
        <f>'Q (t)'!N23</f>
        <v>87500</v>
      </c>
      <c r="AF23" s="178">
        <f>'Q (t)'!O23</f>
        <v>21900</v>
      </c>
      <c r="AG23" s="175">
        <f>'Q (t)'!P23</f>
        <v>0</v>
      </c>
      <c r="AH23" s="176">
        <f>'Q (t)'!Q23</f>
        <v>0</v>
      </c>
      <c r="AI23" s="177">
        <f>'Q (t)'!R23</f>
        <v>0</v>
      </c>
      <c r="AJ23" s="175">
        <f>'Q (t)'!S23</f>
        <v>0</v>
      </c>
      <c r="AK23" s="176">
        <f>'Q (t)'!T23</f>
        <v>0</v>
      </c>
      <c r="AL23" s="175">
        <f>'Q (t)'!U23</f>
        <v>0</v>
      </c>
      <c r="AM23" s="177">
        <f>'Q (t)'!V23</f>
        <v>0</v>
      </c>
      <c r="AO23" s="183">
        <f t="shared" si="2"/>
        <v>0</v>
      </c>
      <c r="AP23" s="175">
        <f t="shared" si="0"/>
        <v>0</v>
      </c>
      <c r="AQ23" s="178">
        <f t="shared" si="0"/>
        <v>0</v>
      </c>
      <c r="AR23" s="178">
        <f t="shared" si="0"/>
        <v>0</v>
      </c>
      <c r="AS23" s="179">
        <f t="shared" si="0"/>
        <v>0</v>
      </c>
      <c r="AT23" s="185">
        <f t="shared" si="0"/>
        <v>0</v>
      </c>
      <c r="AU23" s="178">
        <f t="shared" si="0"/>
        <v>0</v>
      </c>
      <c r="AV23" s="178">
        <f t="shared" si="0"/>
        <v>507.49999999999994</v>
      </c>
      <c r="AW23" s="178">
        <f t="shared" si="0"/>
        <v>63.51</v>
      </c>
      <c r="AX23" s="175">
        <f t="shared" si="1"/>
        <v>0</v>
      </c>
      <c r="AY23" s="176">
        <f t="shared" si="1"/>
        <v>0</v>
      </c>
      <c r="AZ23" s="177">
        <f t="shared" si="1"/>
        <v>0</v>
      </c>
      <c r="BA23" s="175">
        <f t="shared" si="1"/>
        <v>0</v>
      </c>
      <c r="BB23" s="176">
        <f t="shared" si="1"/>
        <v>0</v>
      </c>
      <c r="BC23" s="175">
        <f t="shared" si="1"/>
        <v>0</v>
      </c>
      <c r="BD23" s="176">
        <f t="shared" si="1"/>
        <v>0</v>
      </c>
      <c r="BE23" s="251">
        <f t="shared" si="3"/>
        <v>0</v>
      </c>
      <c r="BF23" s="252">
        <f t="shared" si="4"/>
        <v>109400</v>
      </c>
      <c r="BH23" s="262">
        <f>SUM(AO23)</f>
        <v>0</v>
      </c>
      <c r="BI23" s="262">
        <f>SUM(AP23:AS23)</f>
        <v>0</v>
      </c>
      <c r="BJ23" s="262">
        <f>SUM(AT23:AW23)</f>
        <v>571.01</v>
      </c>
      <c r="BK23" s="263">
        <f>SUM(AX23:BB23)</f>
        <v>0</v>
      </c>
      <c r="BL23" s="269">
        <f>SUM(BC23:BD23)</f>
        <v>0</v>
      </c>
      <c r="BM23" s="264">
        <f t="shared" si="5"/>
        <v>571.01</v>
      </c>
      <c r="BO23" s="732">
        <f t="shared" si="6"/>
        <v>5.219469835466179</v>
      </c>
    </row>
    <row r="24" spans="2:67" ht="15" customHeight="1" x14ac:dyDescent="0.25">
      <c r="B24" s="156">
        <f t="shared" si="23"/>
        <v>6</v>
      </c>
      <c r="C24" s="180" t="s">
        <v>53</v>
      </c>
      <c r="D24" s="181" t="s">
        <v>53</v>
      </c>
      <c r="E24" s="182" t="s">
        <v>54</v>
      </c>
      <c r="G24" s="473">
        <v>4.1099999999999998E-2</v>
      </c>
      <c r="H24" s="468"/>
      <c r="I24" s="475">
        <v>8.6999999999999994E-3</v>
      </c>
      <c r="J24" s="475">
        <v>3.5000000000000001E-3</v>
      </c>
      <c r="K24" s="476">
        <v>1.6999999999999999E-3</v>
      </c>
      <c r="L24" s="422"/>
      <c r="M24" s="422"/>
      <c r="N24" s="422"/>
      <c r="O24" s="423"/>
      <c r="P24" s="468"/>
      <c r="Q24" s="469"/>
      <c r="R24" s="470"/>
      <c r="S24" s="468"/>
      <c r="T24" s="469"/>
      <c r="U24" s="474">
        <v>6.4199999999999993E-2</v>
      </c>
      <c r="V24" s="470"/>
      <c r="X24" s="183">
        <f>'Q (t)'!G24</f>
        <v>1460000</v>
      </c>
      <c r="Y24" s="175">
        <f>'Q (t)'!H24</f>
        <v>0</v>
      </c>
      <c r="Z24" s="178">
        <f>'Q (t)'!I24</f>
        <v>1800</v>
      </c>
      <c r="AA24" s="178">
        <f>'Q (t)'!J24</f>
        <v>1700</v>
      </c>
      <c r="AB24" s="179">
        <f>'Q (t)'!K24</f>
        <v>1000</v>
      </c>
      <c r="AC24" s="185">
        <f>'Q (t)'!L24</f>
        <v>0</v>
      </c>
      <c r="AD24" s="185">
        <f>'Q (t)'!M24</f>
        <v>0</v>
      </c>
      <c r="AE24" s="185">
        <f>'Q (t)'!N24</f>
        <v>0</v>
      </c>
      <c r="AF24" s="186">
        <f>'Q (t)'!O24</f>
        <v>0</v>
      </c>
      <c r="AG24" s="175">
        <f>'Q (t)'!P24</f>
        <v>0</v>
      </c>
      <c r="AH24" s="176">
        <f>'Q (t)'!Q24</f>
        <v>0</v>
      </c>
      <c r="AI24" s="177">
        <f>'Q (t)'!R24</f>
        <v>0</v>
      </c>
      <c r="AJ24" s="175">
        <f>'Q (t)'!S24</f>
        <v>0</v>
      </c>
      <c r="AK24" s="176">
        <f>'Q (t)'!T24</f>
        <v>0</v>
      </c>
      <c r="AL24" s="184">
        <f>'Q (t)'!U24</f>
        <v>1752000</v>
      </c>
      <c r="AM24" s="177">
        <f>'Q (t)'!V24</f>
        <v>0</v>
      </c>
      <c r="AO24" s="183">
        <f t="shared" si="2"/>
        <v>60.006</v>
      </c>
      <c r="AP24" s="175">
        <f t="shared" si="0"/>
        <v>0</v>
      </c>
      <c r="AQ24" s="178">
        <f t="shared" si="0"/>
        <v>15.659999999999998</v>
      </c>
      <c r="AR24" s="178">
        <f t="shared" si="0"/>
        <v>5.95</v>
      </c>
      <c r="AS24" s="179">
        <f t="shared" si="0"/>
        <v>1.7</v>
      </c>
      <c r="AT24" s="185">
        <f t="shared" si="0"/>
        <v>0</v>
      </c>
      <c r="AU24" s="185">
        <f t="shared" si="0"/>
        <v>0</v>
      </c>
      <c r="AV24" s="185">
        <f t="shared" si="0"/>
        <v>0</v>
      </c>
      <c r="AW24" s="186">
        <f t="shared" si="0"/>
        <v>0</v>
      </c>
      <c r="AX24" s="175">
        <f t="shared" si="1"/>
        <v>0</v>
      </c>
      <c r="AY24" s="176">
        <f t="shared" si="1"/>
        <v>0</v>
      </c>
      <c r="AZ24" s="177">
        <f t="shared" si="1"/>
        <v>0</v>
      </c>
      <c r="BA24" s="175">
        <f t="shared" si="1"/>
        <v>0</v>
      </c>
      <c r="BB24" s="176">
        <f t="shared" si="1"/>
        <v>0</v>
      </c>
      <c r="BC24" s="184">
        <f t="shared" si="1"/>
        <v>112.47839999999999</v>
      </c>
      <c r="BD24" s="176">
        <f t="shared" si="1"/>
        <v>0</v>
      </c>
      <c r="BE24" s="251">
        <f t="shared" si="3"/>
        <v>4000</v>
      </c>
      <c r="BF24" s="252">
        <f t="shared" si="4"/>
        <v>4500</v>
      </c>
      <c r="BH24" s="262">
        <f>SUM(AO24)</f>
        <v>60.006</v>
      </c>
      <c r="BI24" s="262">
        <f>SUM(AP24:AS24)</f>
        <v>23.31</v>
      </c>
      <c r="BJ24" s="262">
        <f>SUM(AT24:AW24)</f>
        <v>0</v>
      </c>
      <c r="BK24" s="263">
        <f>SUM(AX24:BB24)</f>
        <v>0</v>
      </c>
      <c r="BL24" s="269">
        <f>SUM(BC24:BD24)</f>
        <v>112.47839999999999</v>
      </c>
      <c r="BM24" s="264">
        <f t="shared" si="5"/>
        <v>195.7944</v>
      </c>
      <c r="BO24" s="732">
        <f t="shared" si="6"/>
        <v>43.509866666666667</v>
      </c>
    </row>
    <row r="25" spans="2:67" ht="15" customHeight="1" x14ac:dyDescent="0.25">
      <c r="B25" s="162">
        <f t="shared" si="23"/>
        <v>7</v>
      </c>
      <c r="C25" s="187" t="s">
        <v>55</v>
      </c>
      <c r="D25" s="188" t="s">
        <v>55</v>
      </c>
      <c r="E25" s="189" t="s">
        <v>56</v>
      </c>
      <c r="G25" s="477">
        <f>G24</f>
        <v>4.1099999999999998E-2</v>
      </c>
      <c r="H25" s="478"/>
      <c r="I25" s="479">
        <f>I24</f>
        <v>8.6999999999999994E-3</v>
      </c>
      <c r="J25" s="479">
        <f>J24</f>
        <v>3.5000000000000001E-3</v>
      </c>
      <c r="K25" s="480">
        <f>K24</f>
        <v>1.6999999999999999E-3</v>
      </c>
      <c r="L25" s="424"/>
      <c r="M25" s="479">
        <f>M23</f>
        <v>1.4500000000000001E-2</v>
      </c>
      <c r="N25" s="479">
        <f>N23</f>
        <v>5.7999999999999996E-3</v>
      </c>
      <c r="O25" s="479">
        <f>O23</f>
        <v>2.8999999999999998E-3</v>
      </c>
      <c r="P25" s="478"/>
      <c r="Q25" s="481"/>
      <c r="R25" s="482"/>
      <c r="S25" s="478"/>
      <c r="T25" s="481"/>
      <c r="U25" s="483">
        <f>U24</f>
        <v>6.4199999999999993E-2</v>
      </c>
      <c r="V25" s="482"/>
      <c r="X25" s="190">
        <f>'Q (t)'!G25</f>
        <v>0</v>
      </c>
      <c r="Y25" s="191">
        <f>'Q (t)'!H25</f>
        <v>0</v>
      </c>
      <c r="Z25" s="192">
        <f>'Q (t)'!I25</f>
        <v>0</v>
      </c>
      <c r="AA25" s="192">
        <f>'Q (t)'!J25</f>
        <v>0</v>
      </c>
      <c r="AB25" s="193">
        <f>'Q (t)'!K25</f>
        <v>0</v>
      </c>
      <c r="AC25" s="194">
        <f>'Q (t)'!L25</f>
        <v>0</v>
      </c>
      <c r="AD25" s="192">
        <f>'Q (t)'!M25</f>
        <v>0</v>
      </c>
      <c r="AE25" s="192">
        <f>'Q (t)'!N25</f>
        <v>0</v>
      </c>
      <c r="AF25" s="192">
        <f>'Q (t)'!O25</f>
        <v>0</v>
      </c>
      <c r="AG25" s="191">
        <f>'Q (t)'!P25</f>
        <v>0</v>
      </c>
      <c r="AH25" s="195">
        <f>'Q (t)'!Q25</f>
        <v>0</v>
      </c>
      <c r="AI25" s="196">
        <f>'Q (t)'!R25</f>
        <v>0</v>
      </c>
      <c r="AJ25" s="191">
        <f>'Q (t)'!S25</f>
        <v>0</v>
      </c>
      <c r="AK25" s="195">
        <f>'Q (t)'!T25</f>
        <v>0</v>
      </c>
      <c r="AL25" s="197">
        <f>'Q (t)'!U25</f>
        <v>0</v>
      </c>
      <c r="AM25" s="196">
        <f>'Q (t)'!V25</f>
        <v>0</v>
      </c>
      <c r="AO25" s="190">
        <f t="shared" si="2"/>
        <v>0</v>
      </c>
      <c r="AP25" s="191">
        <f t="shared" si="0"/>
        <v>0</v>
      </c>
      <c r="AQ25" s="192">
        <f t="shared" si="0"/>
        <v>0</v>
      </c>
      <c r="AR25" s="192">
        <f t="shared" si="0"/>
        <v>0</v>
      </c>
      <c r="AS25" s="193">
        <f t="shared" si="0"/>
        <v>0</v>
      </c>
      <c r="AT25" s="194">
        <f t="shared" si="0"/>
        <v>0</v>
      </c>
      <c r="AU25" s="192">
        <f t="shared" si="0"/>
        <v>0</v>
      </c>
      <c r="AV25" s="192">
        <f t="shared" si="0"/>
        <v>0</v>
      </c>
      <c r="AW25" s="192">
        <f t="shared" si="0"/>
        <v>0</v>
      </c>
      <c r="AX25" s="191">
        <f t="shared" si="1"/>
        <v>0</v>
      </c>
      <c r="AY25" s="195">
        <f t="shared" si="1"/>
        <v>0</v>
      </c>
      <c r="AZ25" s="196">
        <f t="shared" si="1"/>
        <v>0</v>
      </c>
      <c r="BA25" s="191">
        <f t="shared" si="1"/>
        <v>0</v>
      </c>
      <c r="BB25" s="195">
        <f t="shared" si="1"/>
        <v>0</v>
      </c>
      <c r="BC25" s="197">
        <f t="shared" si="1"/>
        <v>0</v>
      </c>
      <c r="BD25" s="195">
        <f t="shared" si="1"/>
        <v>0</v>
      </c>
      <c r="BE25" s="253">
        <f t="shared" si="3"/>
        <v>0</v>
      </c>
      <c r="BF25" s="254">
        <f t="shared" si="4"/>
        <v>0</v>
      </c>
      <c r="BH25" s="262">
        <f>SUM(AO25)</f>
        <v>0</v>
      </c>
      <c r="BI25" s="262">
        <f>SUM(AP25:AS25)</f>
        <v>0</v>
      </c>
      <c r="BJ25" s="262">
        <f>SUM(AT25:AW25)</f>
        <v>0</v>
      </c>
      <c r="BK25" s="263">
        <f>SUM(AX25:BB25)</f>
        <v>0</v>
      </c>
      <c r="BL25" s="269">
        <f>SUM(BC25:BD25)</f>
        <v>0</v>
      </c>
      <c r="BM25" s="264">
        <f t="shared" si="5"/>
        <v>0</v>
      </c>
      <c r="BO25" s="732" t="str">
        <f t="shared" si="6"/>
        <v/>
      </c>
    </row>
    <row r="26" spans="2:67" ht="15" customHeight="1" x14ac:dyDescent="0.25">
      <c r="B26" s="167" t="s">
        <v>57</v>
      </c>
      <c r="C26" s="151" t="s">
        <v>58</v>
      </c>
      <c r="D26" s="151"/>
      <c r="E26" s="148"/>
      <c r="G26" s="463"/>
      <c r="H26" s="464"/>
      <c r="I26" s="465"/>
      <c r="J26" s="465"/>
      <c r="K26" s="466"/>
      <c r="L26" s="484"/>
      <c r="M26" s="484"/>
      <c r="N26" s="484"/>
      <c r="O26" s="485"/>
      <c r="P26" s="465"/>
      <c r="Q26" s="465"/>
      <c r="R26" s="466"/>
      <c r="S26" s="464"/>
      <c r="T26" s="465"/>
      <c r="U26" s="464"/>
      <c r="V26" s="466"/>
      <c r="X26" s="168">
        <f>'Q (t)'!G26</f>
        <v>0</v>
      </c>
      <c r="Y26" s="169">
        <f>'Q (t)'!H26</f>
        <v>0</v>
      </c>
      <c r="Z26" s="170">
        <f>'Q (t)'!I26</f>
        <v>0</v>
      </c>
      <c r="AA26" s="170">
        <f>'Q (t)'!J26</f>
        <v>0</v>
      </c>
      <c r="AB26" s="171">
        <f>'Q (t)'!K26</f>
        <v>0</v>
      </c>
      <c r="AC26" s="198">
        <f>'Q (t)'!L26</f>
        <v>0</v>
      </c>
      <c r="AD26" s="198">
        <f>'Q (t)'!M26</f>
        <v>0</v>
      </c>
      <c r="AE26" s="198">
        <f>'Q (t)'!N26</f>
        <v>0</v>
      </c>
      <c r="AF26" s="199">
        <f>'Q (t)'!O26</f>
        <v>0</v>
      </c>
      <c r="AG26" s="170">
        <f>'Q (t)'!P26</f>
        <v>0</v>
      </c>
      <c r="AH26" s="170">
        <f>'Q (t)'!Q26</f>
        <v>0</v>
      </c>
      <c r="AI26" s="171">
        <f>'Q (t)'!R26</f>
        <v>0</v>
      </c>
      <c r="AJ26" s="169">
        <f>'Q (t)'!S26</f>
        <v>0</v>
      </c>
      <c r="AK26" s="170">
        <f>'Q (t)'!T26</f>
        <v>0</v>
      </c>
      <c r="AL26" s="169">
        <f>'Q (t)'!U26</f>
        <v>0</v>
      </c>
      <c r="AM26" s="171">
        <f>'Q (t)'!V26</f>
        <v>0</v>
      </c>
      <c r="AO26" s="168">
        <f t="shared" si="2"/>
        <v>0</v>
      </c>
      <c r="AP26" s="169">
        <f t="shared" si="0"/>
        <v>0</v>
      </c>
      <c r="AQ26" s="170">
        <f t="shared" si="0"/>
        <v>0</v>
      </c>
      <c r="AR26" s="170">
        <f t="shared" si="0"/>
        <v>0</v>
      </c>
      <c r="AS26" s="171">
        <f t="shared" si="0"/>
        <v>0</v>
      </c>
      <c r="AT26" s="198">
        <f t="shared" si="0"/>
        <v>0</v>
      </c>
      <c r="AU26" s="198">
        <f t="shared" si="0"/>
        <v>0</v>
      </c>
      <c r="AV26" s="198">
        <f t="shared" si="0"/>
        <v>0</v>
      </c>
      <c r="AW26" s="199">
        <f t="shared" si="0"/>
        <v>0</v>
      </c>
      <c r="AX26" s="170">
        <f t="shared" si="1"/>
        <v>0</v>
      </c>
      <c r="AY26" s="170">
        <f t="shared" si="1"/>
        <v>0</v>
      </c>
      <c r="AZ26" s="171">
        <f t="shared" si="1"/>
        <v>0</v>
      </c>
      <c r="BA26" s="169">
        <f t="shared" si="1"/>
        <v>0</v>
      </c>
      <c r="BB26" s="170">
        <f t="shared" si="1"/>
        <v>0</v>
      </c>
      <c r="BC26" s="169">
        <f t="shared" si="1"/>
        <v>0</v>
      </c>
      <c r="BD26" s="170">
        <f t="shared" si="1"/>
        <v>0</v>
      </c>
      <c r="BE26" s="249">
        <f t="shared" si="3"/>
        <v>0</v>
      </c>
      <c r="BF26" s="250">
        <f t="shared" si="4"/>
        <v>0</v>
      </c>
      <c r="BH26" s="260">
        <f>SUBTOTAL(9,BH27:BH39)</f>
        <v>1393.2793139999997</v>
      </c>
      <c r="BI26" s="260">
        <f t="shared" ref="BI26:BL26" si="24">SUBTOTAL(9,BI27:BI39)</f>
        <v>9791.25</v>
      </c>
      <c r="BJ26" s="260">
        <f t="shared" si="24"/>
        <v>49.8</v>
      </c>
      <c r="BK26" s="260">
        <f t="shared" si="24"/>
        <v>0</v>
      </c>
      <c r="BL26" s="260">
        <f t="shared" si="24"/>
        <v>0</v>
      </c>
      <c r="BM26" s="264">
        <f t="shared" si="5"/>
        <v>11234.329313999999</v>
      </c>
      <c r="BO26" s="732" t="str">
        <f t="shared" si="6"/>
        <v/>
      </c>
    </row>
    <row r="27" spans="2:67" ht="15" customHeight="1" x14ac:dyDescent="0.25">
      <c r="B27" s="172"/>
      <c r="C27" s="126" t="s">
        <v>59</v>
      </c>
      <c r="D27" s="173"/>
      <c r="E27" s="145"/>
      <c r="G27" s="467"/>
      <c r="H27" s="468"/>
      <c r="I27" s="469"/>
      <c r="J27" s="469"/>
      <c r="K27" s="470"/>
      <c r="L27" s="486"/>
      <c r="M27" s="486"/>
      <c r="N27" s="486"/>
      <c r="O27" s="487"/>
      <c r="P27" s="469"/>
      <c r="Q27" s="469"/>
      <c r="R27" s="470"/>
      <c r="S27" s="468"/>
      <c r="T27" s="469"/>
      <c r="U27" s="468"/>
      <c r="V27" s="470"/>
      <c r="X27" s="174">
        <f>'Q (t)'!G27</f>
        <v>0</v>
      </c>
      <c r="Y27" s="175">
        <f>'Q (t)'!H27</f>
        <v>0</v>
      </c>
      <c r="Z27" s="176">
        <f>'Q (t)'!I27</f>
        <v>0</v>
      </c>
      <c r="AA27" s="176">
        <f>'Q (t)'!J27</f>
        <v>0</v>
      </c>
      <c r="AB27" s="177">
        <f>'Q (t)'!K27</f>
        <v>0</v>
      </c>
      <c r="AC27" s="185">
        <f>'Q (t)'!L27</f>
        <v>0</v>
      </c>
      <c r="AD27" s="185">
        <f>'Q (t)'!M27</f>
        <v>0</v>
      </c>
      <c r="AE27" s="185">
        <f>'Q (t)'!N27</f>
        <v>0</v>
      </c>
      <c r="AF27" s="186">
        <f>'Q (t)'!O27</f>
        <v>0</v>
      </c>
      <c r="AG27" s="176">
        <f>'Q (t)'!P27</f>
        <v>0</v>
      </c>
      <c r="AH27" s="176">
        <f>'Q (t)'!Q27</f>
        <v>0</v>
      </c>
      <c r="AI27" s="177">
        <f>'Q (t)'!R27</f>
        <v>0</v>
      </c>
      <c r="AJ27" s="175">
        <f>'Q (t)'!S27</f>
        <v>0</v>
      </c>
      <c r="AK27" s="176">
        <f>'Q (t)'!T27</f>
        <v>0</v>
      </c>
      <c r="AL27" s="175">
        <f>'Q (t)'!U27</f>
        <v>0</v>
      </c>
      <c r="AM27" s="177">
        <f>'Q (t)'!V27</f>
        <v>0</v>
      </c>
      <c r="AO27" s="174">
        <f t="shared" si="2"/>
        <v>0</v>
      </c>
      <c r="AP27" s="175">
        <f t="shared" si="0"/>
        <v>0</v>
      </c>
      <c r="AQ27" s="176">
        <f t="shared" si="0"/>
        <v>0</v>
      </c>
      <c r="AR27" s="176">
        <f t="shared" si="0"/>
        <v>0</v>
      </c>
      <c r="AS27" s="177">
        <f t="shared" si="0"/>
        <v>0</v>
      </c>
      <c r="AT27" s="185">
        <f t="shared" si="0"/>
        <v>0</v>
      </c>
      <c r="AU27" s="185">
        <f t="shared" si="0"/>
        <v>0</v>
      </c>
      <c r="AV27" s="185">
        <f t="shared" si="0"/>
        <v>0</v>
      </c>
      <c r="AW27" s="186">
        <f t="shared" si="0"/>
        <v>0</v>
      </c>
      <c r="AX27" s="176">
        <f t="shared" si="1"/>
        <v>0</v>
      </c>
      <c r="AY27" s="176">
        <f t="shared" si="1"/>
        <v>0</v>
      </c>
      <c r="AZ27" s="177">
        <f t="shared" si="1"/>
        <v>0</v>
      </c>
      <c r="BA27" s="175">
        <f t="shared" si="1"/>
        <v>0</v>
      </c>
      <c r="BB27" s="176">
        <f t="shared" si="1"/>
        <v>0</v>
      </c>
      <c r="BC27" s="175">
        <f t="shared" si="1"/>
        <v>0</v>
      </c>
      <c r="BD27" s="176">
        <f t="shared" si="1"/>
        <v>0</v>
      </c>
      <c r="BE27" s="251">
        <f t="shared" si="3"/>
        <v>0</v>
      </c>
      <c r="BF27" s="252">
        <f t="shared" si="4"/>
        <v>0</v>
      </c>
      <c r="BH27" s="259">
        <f>SUBTOTAL(9,BH28:BH29)</f>
        <v>0</v>
      </c>
      <c r="BI27" s="259">
        <f t="shared" ref="BI27:BL27" si="25">SUBTOTAL(9,BI28:BI29)</f>
        <v>572</v>
      </c>
      <c r="BJ27" s="259">
        <f t="shared" si="25"/>
        <v>0</v>
      </c>
      <c r="BK27" s="267">
        <f t="shared" si="25"/>
        <v>0</v>
      </c>
      <c r="BL27" s="268">
        <f t="shared" si="25"/>
        <v>0</v>
      </c>
      <c r="BM27" s="264">
        <f t="shared" si="5"/>
        <v>572</v>
      </c>
      <c r="BO27" s="732" t="str">
        <f t="shared" si="6"/>
        <v/>
      </c>
    </row>
    <row r="28" spans="2:67" ht="15" customHeight="1" x14ac:dyDescent="0.25">
      <c r="B28" s="156">
        <v>1</v>
      </c>
      <c r="C28" s="180" t="s">
        <v>60</v>
      </c>
      <c r="D28" s="181" t="str">
        <f t="shared" ref="D28:D29" si="26">C28</f>
        <v>LVUU</v>
      </c>
      <c r="E28" s="200" t="s">
        <v>61</v>
      </c>
      <c r="G28" s="488"/>
      <c r="H28" s="489">
        <v>5.1999999999999998E-3</v>
      </c>
      <c r="I28" s="471"/>
      <c r="J28" s="471"/>
      <c r="K28" s="472"/>
      <c r="L28" s="471"/>
      <c r="M28" s="471"/>
      <c r="N28" s="471"/>
      <c r="O28" s="472"/>
      <c r="P28" s="471"/>
      <c r="Q28" s="471"/>
      <c r="R28" s="472"/>
      <c r="S28" s="490"/>
      <c r="T28" s="471"/>
      <c r="U28" s="491"/>
      <c r="V28" s="492"/>
      <c r="X28" s="183">
        <f>'Q (t)'!G28</f>
        <v>0</v>
      </c>
      <c r="Y28" s="184">
        <f>'Q (t)'!H28</f>
        <v>93000</v>
      </c>
      <c r="Z28" s="178">
        <f>'Q (t)'!I28</f>
        <v>0</v>
      </c>
      <c r="AA28" s="178">
        <f>'Q (t)'!J28</f>
        <v>0</v>
      </c>
      <c r="AB28" s="179">
        <f>'Q (t)'!K28</f>
        <v>0</v>
      </c>
      <c r="AC28" s="178">
        <f>'Q (t)'!L28</f>
        <v>0</v>
      </c>
      <c r="AD28" s="178">
        <f>'Q (t)'!M28</f>
        <v>0</v>
      </c>
      <c r="AE28" s="178">
        <f>'Q (t)'!N28</f>
        <v>0</v>
      </c>
      <c r="AF28" s="179">
        <f>'Q (t)'!O28</f>
        <v>0</v>
      </c>
      <c r="AG28" s="178">
        <f>'Q (t)'!P28</f>
        <v>0</v>
      </c>
      <c r="AH28" s="178">
        <f>'Q (t)'!Q28</f>
        <v>0</v>
      </c>
      <c r="AI28" s="179">
        <f>'Q (t)'!R28</f>
        <v>0</v>
      </c>
      <c r="AJ28" s="184">
        <f>'Q (t)'!S28</f>
        <v>0</v>
      </c>
      <c r="AK28" s="178">
        <f>'Q (t)'!T28</f>
        <v>0</v>
      </c>
      <c r="AL28" s="184">
        <f>'Q (t)'!U28</f>
        <v>0</v>
      </c>
      <c r="AM28" s="179">
        <f>'Q (t)'!V28</f>
        <v>0</v>
      </c>
      <c r="AO28" s="183">
        <f t="shared" si="2"/>
        <v>0</v>
      </c>
      <c r="AP28" s="184">
        <f t="shared" si="0"/>
        <v>483.59999999999997</v>
      </c>
      <c r="AQ28" s="178">
        <f t="shared" si="0"/>
        <v>0</v>
      </c>
      <c r="AR28" s="178">
        <f t="shared" si="0"/>
        <v>0</v>
      </c>
      <c r="AS28" s="179">
        <f t="shared" si="0"/>
        <v>0</v>
      </c>
      <c r="AT28" s="178">
        <f t="shared" si="0"/>
        <v>0</v>
      </c>
      <c r="AU28" s="178">
        <f t="shared" si="0"/>
        <v>0</v>
      </c>
      <c r="AV28" s="178">
        <f t="shared" si="0"/>
        <v>0</v>
      </c>
      <c r="AW28" s="179">
        <f t="shared" si="0"/>
        <v>0</v>
      </c>
      <c r="AX28" s="178">
        <f t="shared" si="1"/>
        <v>0</v>
      </c>
      <c r="AY28" s="178">
        <f t="shared" si="1"/>
        <v>0</v>
      </c>
      <c r="AZ28" s="179">
        <f t="shared" si="1"/>
        <v>0</v>
      </c>
      <c r="BA28" s="184">
        <f t="shared" si="1"/>
        <v>0</v>
      </c>
      <c r="BB28" s="178">
        <f t="shared" si="1"/>
        <v>0</v>
      </c>
      <c r="BC28" s="184">
        <f t="shared" si="1"/>
        <v>0</v>
      </c>
      <c r="BD28" s="178">
        <f t="shared" si="1"/>
        <v>0</v>
      </c>
      <c r="BE28" s="251">
        <f t="shared" si="3"/>
        <v>0</v>
      </c>
      <c r="BF28" s="252">
        <f t="shared" si="4"/>
        <v>93000</v>
      </c>
      <c r="BH28" s="262">
        <f>SUM(AO28)</f>
        <v>0</v>
      </c>
      <c r="BI28" s="262">
        <f>SUM(AP28:AS28)</f>
        <v>483.59999999999997</v>
      </c>
      <c r="BJ28" s="262">
        <f>SUM(AT28:AW28)</f>
        <v>0</v>
      </c>
      <c r="BK28" s="263">
        <f>SUM(AX28:BB28)</f>
        <v>0</v>
      </c>
      <c r="BL28" s="269">
        <f>SUM(BC28:BD28)</f>
        <v>0</v>
      </c>
      <c r="BM28" s="264">
        <f t="shared" si="5"/>
        <v>483.59999999999997</v>
      </c>
      <c r="BO28" s="732">
        <f t="shared" si="6"/>
        <v>5.1999999999999993</v>
      </c>
    </row>
    <row r="29" spans="2:67" ht="15" customHeight="1" x14ac:dyDescent="0.25">
      <c r="B29" s="156">
        <f t="shared" ref="B29:B86" si="27">B28+1</f>
        <v>2</v>
      </c>
      <c r="C29" s="180" t="s">
        <v>62</v>
      </c>
      <c r="D29" s="181" t="str">
        <f t="shared" si="26"/>
        <v>LVUU24</v>
      </c>
      <c r="E29" s="200" t="s">
        <v>63</v>
      </c>
      <c r="G29" s="488"/>
      <c r="H29" s="489">
        <f>H28</f>
        <v>5.1999999999999998E-3</v>
      </c>
      <c r="I29" s="471"/>
      <c r="J29" s="471"/>
      <c r="K29" s="472"/>
      <c r="L29" s="471"/>
      <c r="M29" s="471"/>
      <c r="N29" s="471"/>
      <c r="O29" s="472"/>
      <c r="P29" s="471"/>
      <c r="Q29" s="471"/>
      <c r="R29" s="472"/>
      <c r="S29" s="490"/>
      <c r="T29" s="471"/>
      <c r="U29" s="491"/>
      <c r="V29" s="492"/>
      <c r="X29" s="183">
        <f>'Q (t)'!G29</f>
        <v>0</v>
      </c>
      <c r="Y29" s="184">
        <f>'Q (t)'!H29</f>
        <v>17000</v>
      </c>
      <c r="Z29" s="178">
        <f>'Q (t)'!I29</f>
        <v>0</v>
      </c>
      <c r="AA29" s="178">
        <f>'Q (t)'!J29</f>
        <v>0</v>
      </c>
      <c r="AB29" s="179">
        <f>'Q (t)'!K29</f>
        <v>0</v>
      </c>
      <c r="AC29" s="178">
        <f>'Q (t)'!L29</f>
        <v>0</v>
      </c>
      <c r="AD29" s="178">
        <f>'Q (t)'!M29</f>
        <v>0</v>
      </c>
      <c r="AE29" s="178">
        <f>'Q (t)'!N29</f>
        <v>0</v>
      </c>
      <c r="AF29" s="179">
        <f>'Q (t)'!O29</f>
        <v>0</v>
      </c>
      <c r="AG29" s="178">
        <f>'Q (t)'!P29</f>
        <v>0</v>
      </c>
      <c r="AH29" s="178">
        <f>'Q (t)'!Q29</f>
        <v>0</v>
      </c>
      <c r="AI29" s="179">
        <f>'Q (t)'!R29</f>
        <v>0</v>
      </c>
      <c r="AJ29" s="184">
        <f>'Q (t)'!S29</f>
        <v>0</v>
      </c>
      <c r="AK29" s="178">
        <f>'Q (t)'!T29</f>
        <v>0</v>
      </c>
      <c r="AL29" s="184">
        <f>'Q (t)'!U29</f>
        <v>0</v>
      </c>
      <c r="AM29" s="179">
        <f>'Q (t)'!V29</f>
        <v>0</v>
      </c>
      <c r="AO29" s="183">
        <f t="shared" si="2"/>
        <v>0</v>
      </c>
      <c r="AP29" s="184">
        <f t="shared" si="0"/>
        <v>88.399999999999991</v>
      </c>
      <c r="AQ29" s="178">
        <f t="shared" si="0"/>
        <v>0</v>
      </c>
      <c r="AR29" s="178">
        <f t="shared" si="0"/>
        <v>0</v>
      </c>
      <c r="AS29" s="179">
        <f t="shared" si="0"/>
        <v>0</v>
      </c>
      <c r="AT29" s="178">
        <f t="shared" si="0"/>
        <v>0</v>
      </c>
      <c r="AU29" s="178">
        <f t="shared" si="0"/>
        <v>0</v>
      </c>
      <c r="AV29" s="178">
        <f t="shared" si="0"/>
        <v>0</v>
      </c>
      <c r="AW29" s="179">
        <f t="shared" si="0"/>
        <v>0</v>
      </c>
      <c r="AX29" s="178">
        <f t="shared" si="1"/>
        <v>0</v>
      </c>
      <c r="AY29" s="178">
        <f t="shared" si="1"/>
        <v>0</v>
      </c>
      <c r="AZ29" s="179">
        <f t="shared" si="1"/>
        <v>0</v>
      </c>
      <c r="BA29" s="184">
        <f t="shared" si="1"/>
        <v>0</v>
      </c>
      <c r="BB29" s="178">
        <f t="shared" si="1"/>
        <v>0</v>
      </c>
      <c r="BC29" s="184">
        <f t="shared" si="1"/>
        <v>0</v>
      </c>
      <c r="BD29" s="178">
        <f t="shared" si="1"/>
        <v>0</v>
      </c>
      <c r="BE29" s="251">
        <f t="shared" si="3"/>
        <v>0</v>
      </c>
      <c r="BF29" s="252">
        <f t="shared" si="4"/>
        <v>17000</v>
      </c>
      <c r="BH29" s="262">
        <f>SUM(AO29)</f>
        <v>0</v>
      </c>
      <c r="BI29" s="262">
        <f>SUM(AP29:AS29)</f>
        <v>88.399999999999991</v>
      </c>
      <c r="BJ29" s="262">
        <f>SUM(AT29:AW29)</f>
        <v>0</v>
      </c>
      <c r="BK29" s="263">
        <f>SUM(AX29:BB29)</f>
        <v>0</v>
      </c>
      <c r="BL29" s="269">
        <f>SUM(BC29:BD29)</f>
        <v>0</v>
      </c>
      <c r="BM29" s="264">
        <f t="shared" si="5"/>
        <v>88.399999999999991</v>
      </c>
      <c r="BO29" s="732">
        <f t="shared" si="6"/>
        <v>5.1999999999999993</v>
      </c>
    </row>
    <row r="30" spans="2:67" ht="15" customHeight="1" x14ac:dyDescent="0.25">
      <c r="B30" s="156"/>
      <c r="C30" s="201" t="s">
        <v>64</v>
      </c>
      <c r="D30" s="202"/>
      <c r="E30" s="202"/>
      <c r="G30" s="493"/>
      <c r="H30" s="490"/>
      <c r="I30" s="471"/>
      <c r="J30" s="471"/>
      <c r="K30" s="472"/>
      <c r="L30" s="471"/>
      <c r="M30" s="471"/>
      <c r="N30" s="471"/>
      <c r="O30" s="472"/>
      <c r="P30" s="471"/>
      <c r="Q30" s="471"/>
      <c r="R30" s="472"/>
      <c r="S30" s="490"/>
      <c r="T30" s="471"/>
      <c r="U30" s="490"/>
      <c r="V30" s="472"/>
      <c r="X30" s="183">
        <f>'Q (t)'!G30</f>
        <v>0</v>
      </c>
      <c r="Y30" s="184">
        <f>'Q (t)'!H30</f>
        <v>0</v>
      </c>
      <c r="Z30" s="178">
        <f>'Q (t)'!I30</f>
        <v>0</v>
      </c>
      <c r="AA30" s="178">
        <f>'Q (t)'!J30</f>
        <v>0</v>
      </c>
      <c r="AB30" s="179">
        <f>'Q (t)'!K30</f>
        <v>0</v>
      </c>
      <c r="AC30" s="178">
        <f>'Q (t)'!L30</f>
        <v>0</v>
      </c>
      <c r="AD30" s="178">
        <f>'Q (t)'!M30</f>
        <v>0</v>
      </c>
      <c r="AE30" s="178">
        <f>'Q (t)'!N30</f>
        <v>0</v>
      </c>
      <c r="AF30" s="179">
        <f>'Q (t)'!O30</f>
        <v>0</v>
      </c>
      <c r="AG30" s="178">
        <f>'Q (t)'!P30</f>
        <v>0</v>
      </c>
      <c r="AH30" s="178">
        <f>'Q (t)'!Q30</f>
        <v>0</v>
      </c>
      <c r="AI30" s="179">
        <f>'Q (t)'!R30</f>
        <v>0</v>
      </c>
      <c r="AJ30" s="184">
        <f>'Q (t)'!S30</f>
        <v>0</v>
      </c>
      <c r="AK30" s="178">
        <f>'Q (t)'!T30</f>
        <v>0</v>
      </c>
      <c r="AL30" s="184">
        <f>'Q (t)'!U30</f>
        <v>0</v>
      </c>
      <c r="AM30" s="179">
        <f>'Q (t)'!V30</f>
        <v>0</v>
      </c>
      <c r="AO30" s="183">
        <f t="shared" si="2"/>
        <v>0</v>
      </c>
      <c r="AP30" s="184">
        <f t="shared" si="0"/>
        <v>0</v>
      </c>
      <c r="AQ30" s="178">
        <f t="shared" si="0"/>
        <v>0</v>
      </c>
      <c r="AR30" s="178">
        <f t="shared" si="0"/>
        <v>0</v>
      </c>
      <c r="AS30" s="179">
        <f t="shared" si="0"/>
        <v>0</v>
      </c>
      <c r="AT30" s="178">
        <f t="shared" si="0"/>
        <v>0</v>
      </c>
      <c r="AU30" s="178">
        <f t="shared" si="0"/>
        <v>0</v>
      </c>
      <c r="AV30" s="178">
        <f t="shared" si="0"/>
        <v>0</v>
      </c>
      <c r="AW30" s="179">
        <f t="shared" si="0"/>
        <v>0</v>
      </c>
      <c r="AX30" s="178">
        <f t="shared" si="1"/>
        <v>0</v>
      </c>
      <c r="AY30" s="178">
        <f t="shared" si="1"/>
        <v>0</v>
      </c>
      <c r="AZ30" s="179">
        <f t="shared" si="1"/>
        <v>0</v>
      </c>
      <c r="BA30" s="184">
        <f t="shared" si="1"/>
        <v>0</v>
      </c>
      <c r="BB30" s="178">
        <f t="shared" si="1"/>
        <v>0</v>
      </c>
      <c r="BC30" s="184">
        <f t="shared" si="1"/>
        <v>0</v>
      </c>
      <c r="BD30" s="178">
        <f t="shared" si="1"/>
        <v>0</v>
      </c>
      <c r="BE30" s="251">
        <f t="shared" si="3"/>
        <v>0</v>
      </c>
      <c r="BF30" s="252">
        <f t="shared" si="4"/>
        <v>0</v>
      </c>
      <c r="BH30" s="259">
        <f>SUBTOTAL(9,BH31:BH35)</f>
        <v>1054.0053899999998</v>
      </c>
      <c r="BI30" s="259">
        <f t="shared" ref="BI30:BL30" si="28">SUBTOTAL(9,BI31:BI35)</f>
        <v>5208.62</v>
      </c>
      <c r="BJ30" s="259">
        <f t="shared" si="28"/>
        <v>49.8</v>
      </c>
      <c r="BK30" s="259">
        <f t="shared" si="28"/>
        <v>0</v>
      </c>
      <c r="BL30" s="259">
        <f t="shared" si="28"/>
        <v>0</v>
      </c>
      <c r="BM30" s="264">
        <f t="shared" si="5"/>
        <v>6312.4253899999994</v>
      </c>
      <c r="BO30" s="732" t="str">
        <f t="shared" si="6"/>
        <v/>
      </c>
    </row>
    <row r="31" spans="2:67" ht="15" customHeight="1" x14ac:dyDescent="0.25">
      <c r="B31" s="156">
        <f>B29+1</f>
        <v>3</v>
      </c>
      <c r="C31" s="180" t="s">
        <v>65</v>
      </c>
      <c r="D31" s="181" t="str">
        <f t="shared" ref="D31:D35" si="29">C31</f>
        <v>BSR</v>
      </c>
      <c r="E31" s="200" t="s">
        <v>66</v>
      </c>
      <c r="G31" s="488">
        <v>4.1099999999999998E-2</v>
      </c>
      <c r="H31" s="489">
        <v>8.3999999999999995E-3</v>
      </c>
      <c r="I31" s="471"/>
      <c r="J31" s="471"/>
      <c r="K31" s="472"/>
      <c r="L31" s="471"/>
      <c r="M31" s="471"/>
      <c r="N31" s="471"/>
      <c r="O31" s="472"/>
      <c r="P31" s="471"/>
      <c r="Q31" s="471"/>
      <c r="R31" s="472"/>
      <c r="S31" s="490"/>
      <c r="T31" s="471"/>
      <c r="U31" s="491"/>
      <c r="V31" s="492"/>
      <c r="X31" s="183">
        <f>'Q (t)'!G31</f>
        <v>17076160</v>
      </c>
      <c r="Y31" s="184">
        <f>'Q (t)'!H31</f>
        <v>339500</v>
      </c>
      <c r="Z31" s="178">
        <f>'Q (t)'!I31</f>
        <v>0</v>
      </c>
      <c r="AA31" s="178">
        <f>'Q (t)'!J31</f>
        <v>0</v>
      </c>
      <c r="AB31" s="179">
        <f>'Q (t)'!K31</f>
        <v>0</v>
      </c>
      <c r="AC31" s="178">
        <f>'Q (t)'!L31</f>
        <v>0</v>
      </c>
      <c r="AD31" s="178">
        <f>'Q (t)'!M31</f>
        <v>0</v>
      </c>
      <c r="AE31" s="178">
        <f>'Q (t)'!N31</f>
        <v>0</v>
      </c>
      <c r="AF31" s="179">
        <f>'Q (t)'!O31</f>
        <v>0</v>
      </c>
      <c r="AG31" s="178">
        <f>'Q (t)'!P31</f>
        <v>0</v>
      </c>
      <c r="AH31" s="178">
        <f>'Q (t)'!Q31</f>
        <v>0</v>
      </c>
      <c r="AI31" s="179">
        <f>'Q (t)'!R31</f>
        <v>0</v>
      </c>
      <c r="AJ31" s="184">
        <f>'Q (t)'!S31</f>
        <v>0</v>
      </c>
      <c r="AK31" s="178">
        <f>'Q (t)'!T31</f>
        <v>0</v>
      </c>
      <c r="AL31" s="184">
        <f>'Q (t)'!U31</f>
        <v>0</v>
      </c>
      <c r="AM31" s="179">
        <f>'Q (t)'!V31</f>
        <v>0</v>
      </c>
      <c r="AO31" s="183">
        <f t="shared" si="2"/>
        <v>701.83017599999994</v>
      </c>
      <c r="AP31" s="184">
        <f t="shared" si="0"/>
        <v>2851.7999999999997</v>
      </c>
      <c r="AQ31" s="178">
        <f t="shared" si="0"/>
        <v>0</v>
      </c>
      <c r="AR31" s="178">
        <f t="shared" si="0"/>
        <v>0</v>
      </c>
      <c r="AS31" s="179">
        <f t="shared" si="0"/>
        <v>0</v>
      </c>
      <c r="AT31" s="178">
        <f t="shared" si="0"/>
        <v>0</v>
      </c>
      <c r="AU31" s="178">
        <f t="shared" si="0"/>
        <v>0</v>
      </c>
      <c r="AV31" s="178">
        <f t="shared" si="0"/>
        <v>0</v>
      </c>
      <c r="AW31" s="179">
        <f t="shared" si="0"/>
        <v>0</v>
      </c>
      <c r="AX31" s="178">
        <f t="shared" si="1"/>
        <v>0</v>
      </c>
      <c r="AY31" s="178">
        <f t="shared" si="1"/>
        <v>0</v>
      </c>
      <c r="AZ31" s="179">
        <f t="shared" si="1"/>
        <v>0</v>
      </c>
      <c r="BA31" s="184">
        <f t="shared" si="1"/>
        <v>0</v>
      </c>
      <c r="BB31" s="178">
        <f t="shared" si="1"/>
        <v>0</v>
      </c>
      <c r="BC31" s="184">
        <f t="shared" si="1"/>
        <v>0</v>
      </c>
      <c r="BD31" s="178">
        <f t="shared" si="1"/>
        <v>0</v>
      </c>
      <c r="BE31" s="251">
        <f t="shared" si="3"/>
        <v>46784</v>
      </c>
      <c r="BF31" s="252">
        <f t="shared" si="4"/>
        <v>339500</v>
      </c>
      <c r="BH31" s="262">
        <f>SUM(AO31)</f>
        <v>701.83017599999994</v>
      </c>
      <c r="BI31" s="262">
        <f>SUM(AP31:AS31)</f>
        <v>2851.7999999999997</v>
      </c>
      <c r="BJ31" s="262">
        <f>SUM(AT31:AW31)</f>
        <v>0</v>
      </c>
      <c r="BK31" s="263">
        <f>SUM(AX31:BB31)</f>
        <v>0</v>
      </c>
      <c r="BL31" s="269">
        <f>SUM(BC31:BD31)</f>
        <v>0</v>
      </c>
      <c r="BM31" s="264">
        <f t="shared" si="5"/>
        <v>3553.6301759999997</v>
      </c>
      <c r="BO31" s="732">
        <f t="shared" si="6"/>
        <v>10.467246468335787</v>
      </c>
    </row>
    <row r="32" spans="2:67" ht="15" customHeight="1" x14ac:dyDescent="0.25">
      <c r="B32" s="156">
        <f t="shared" si="27"/>
        <v>4</v>
      </c>
      <c r="C32" s="180" t="s">
        <v>67</v>
      </c>
      <c r="D32" s="181" t="str">
        <f t="shared" si="29"/>
        <v>BSRCL</v>
      </c>
      <c r="E32" s="200" t="s">
        <v>68</v>
      </c>
      <c r="G32" s="488">
        <f>G31</f>
        <v>4.1099999999999998E-2</v>
      </c>
      <c r="H32" s="489">
        <f>H31</f>
        <v>8.3999999999999995E-3</v>
      </c>
      <c r="I32" s="471"/>
      <c r="J32" s="471"/>
      <c r="K32" s="472"/>
      <c r="L32" s="494">
        <f>0.0084-0.0001</f>
        <v>8.3000000000000001E-3</v>
      </c>
      <c r="M32" s="471"/>
      <c r="N32" s="471"/>
      <c r="O32" s="472"/>
      <c r="P32" s="471"/>
      <c r="Q32" s="471"/>
      <c r="R32" s="472"/>
      <c r="S32" s="490"/>
      <c r="T32" s="471"/>
      <c r="U32" s="491"/>
      <c r="V32" s="492"/>
      <c r="X32" s="183">
        <f>'Q (t)'!G32</f>
        <v>0</v>
      </c>
      <c r="Y32" s="184">
        <f>'Q (t)'!H32</f>
        <v>0</v>
      </c>
      <c r="Z32" s="178">
        <f>'Q (t)'!I32</f>
        <v>0</v>
      </c>
      <c r="AA32" s="178">
        <f>'Q (t)'!J32</f>
        <v>0</v>
      </c>
      <c r="AB32" s="179">
        <f>'Q (t)'!K32</f>
        <v>0</v>
      </c>
      <c r="AC32" s="178">
        <f>'Q (t)'!L32</f>
        <v>3000</v>
      </c>
      <c r="AD32" s="178">
        <f>'Q (t)'!M32</f>
        <v>0</v>
      </c>
      <c r="AE32" s="178">
        <f>'Q (t)'!N32</f>
        <v>0</v>
      </c>
      <c r="AF32" s="179">
        <f>'Q (t)'!O32</f>
        <v>0</v>
      </c>
      <c r="AG32" s="178">
        <f>'Q (t)'!P32</f>
        <v>0</v>
      </c>
      <c r="AH32" s="178">
        <f>'Q (t)'!Q32</f>
        <v>0</v>
      </c>
      <c r="AI32" s="179">
        <f>'Q (t)'!R32</f>
        <v>0</v>
      </c>
      <c r="AJ32" s="184">
        <f>'Q (t)'!S32</f>
        <v>0</v>
      </c>
      <c r="AK32" s="178">
        <f>'Q (t)'!T32</f>
        <v>0</v>
      </c>
      <c r="AL32" s="184">
        <f>'Q (t)'!U32</f>
        <v>0</v>
      </c>
      <c r="AM32" s="179">
        <f>'Q (t)'!V32</f>
        <v>0</v>
      </c>
      <c r="AO32" s="183">
        <f t="shared" si="2"/>
        <v>0</v>
      </c>
      <c r="AP32" s="184">
        <f t="shared" si="0"/>
        <v>0</v>
      </c>
      <c r="AQ32" s="178">
        <f t="shared" si="0"/>
        <v>0</v>
      </c>
      <c r="AR32" s="178">
        <f t="shared" si="0"/>
        <v>0</v>
      </c>
      <c r="AS32" s="179">
        <f t="shared" si="0"/>
        <v>0</v>
      </c>
      <c r="AT32" s="178">
        <f t="shared" si="0"/>
        <v>24.9</v>
      </c>
      <c r="AU32" s="178">
        <f t="shared" si="0"/>
        <v>0</v>
      </c>
      <c r="AV32" s="178">
        <f t="shared" si="0"/>
        <v>0</v>
      </c>
      <c r="AW32" s="179">
        <f t="shared" si="0"/>
        <v>0</v>
      </c>
      <c r="AX32" s="178">
        <f t="shared" si="1"/>
        <v>0</v>
      </c>
      <c r="AY32" s="178">
        <f t="shared" si="1"/>
        <v>0</v>
      </c>
      <c r="AZ32" s="179">
        <f t="shared" si="1"/>
        <v>0</v>
      </c>
      <c r="BA32" s="184">
        <f t="shared" si="1"/>
        <v>0</v>
      </c>
      <c r="BB32" s="178">
        <f t="shared" si="1"/>
        <v>0</v>
      </c>
      <c r="BC32" s="184">
        <f t="shared" si="1"/>
        <v>0</v>
      </c>
      <c r="BD32" s="178">
        <f t="shared" si="1"/>
        <v>0</v>
      </c>
      <c r="BE32" s="251">
        <f t="shared" si="3"/>
        <v>0</v>
      </c>
      <c r="BF32" s="252">
        <f t="shared" si="4"/>
        <v>3000</v>
      </c>
      <c r="BH32" s="262">
        <f>SUM(AO32)</f>
        <v>0</v>
      </c>
      <c r="BI32" s="262">
        <f>SUM(AP32:AS32)</f>
        <v>0</v>
      </c>
      <c r="BJ32" s="262">
        <f>SUM(AT32:AW32)</f>
        <v>24.9</v>
      </c>
      <c r="BK32" s="263">
        <f>SUM(AX32:BB32)</f>
        <v>0</v>
      </c>
      <c r="BL32" s="269">
        <f>SUM(BC32:BD32)</f>
        <v>0</v>
      </c>
      <c r="BM32" s="264">
        <f t="shared" si="5"/>
        <v>24.9</v>
      </c>
      <c r="BO32" s="732">
        <f t="shared" si="6"/>
        <v>8.3000000000000007</v>
      </c>
    </row>
    <row r="33" spans="2:67" ht="15" customHeight="1" x14ac:dyDescent="0.25">
      <c r="B33" s="156">
        <f t="shared" si="27"/>
        <v>5</v>
      </c>
      <c r="C33" s="180" t="s">
        <v>69</v>
      </c>
      <c r="D33" s="181" t="str">
        <f t="shared" si="29"/>
        <v>B2R</v>
      </c>
      <c r="E33" s="200" t="s">
        <v>70</v>
      </c>
      <c r="G33" s="488">
        <v>4.1099999999999998E-2</v>
      </c>
      <c r="H33" s="490"/>
      <c r="I33" s="475">
        <v>9.4999999999999998E-3</v>
      </c>
      <c r="J33" s="471"/>
      <c r="K33" s="476">
        <v>4.7000000000000002E-3</v>
      </c>
      <c r="L33" s="471"/>
      <c r="M33" s="471"/>
      <c r="N33" s="471"/>
      <c r="O33" s="472"/>
      <c r="P33" s="471"/>
      <c r="Q33" s="471"/>
      <c r="R33" s="472"/>
      <c r="S33" s="490"/>
      <c r="T33" s="471"/>
      <c r="U33" s="491"/>
      <c r="V33" s="492"/>
      <c r="X33" s="183">
        <f>'Q (t)'!G33</f>
        <v>8568740</v>
      </c>
      <c r="Y33" s="184">
        <f>'Q (t)'!H33</f>
        <v>0</v>
      </c>
      <c r="Z33" s="178">
        <f>'Q (t)'!I33</f>
        <v>171600</v>
      </c>
      <c r="AA33" s="178">
        <f>'Q (t)'!J33</f>
        <v>0</v>
      </c>
      <c r="AB33" s="179">
        <f>'Q (t)'!K33</f>
        <v>154600</v>
      </c>
      <c r="AC33" s="178">
        <f>'Q (t)'!L33</f>
        <v>0</v>
      </c>
      <c r="AD33" s="178">
        <f>'Q (t)'!M33</f>
        <v>0</v>
      </c>
      <c r="AE33" s="178">
        <f>'Q (t)'!N33</f>
        <v>0</v>
      </c>
      <c r="AF33" s="179">
        <f>'Q (t)'!O33</f>
        <v>0</v>
      </c>
      <c r="AG33" s="178">
        <f>'Q (t)'!P33</f>
        <v>0</v>
      </c>
      <c r="AH33" s="178">
        <f>'Q (t)'!Q33</f>
        <v>0</v>
      </c>
      <c r="AI33" s="179">
        <f>'Q (t)'!R33</f>
        <v>0</v>
      </c>
      <c r="AJ33" s="184">
        <f>'Q (t)'!S33</f>
        <v>0</v>
      </c>
      <c r="AK33" s="178">
        <f>'Q (t)'!T33</f>
        <v>0</v>
      </c>
      <c r="AL33" s="184">
        <f>'Q (t)'!U33</f>
        <v>0</v>
      </c>
      <c r="AM33" s="179">
        <f>'Q (t)'!V33</f>
        <v>0</v>
      </c>
      <c r="AO33" s="183">
        <f t="shared" si="2"/>
        <v>352.17521399999998</v>
      </c>
      <c r="AP33" s="184">
        <f t="shared" si="0"/>
        <v>0</v>
      </c>
      <c r="AQ33" s="178">
        <f t="shared" si="0"/>
        <v>1630.2</v>
      </c>
      <c r="AR33" s="178">
        <f t="shared" si="0"/>
        <v>0</v>
      </c>
      <c r="AS33" s="179">
        <f t="shared" si="0"/>
        <v>726.62</v>
      </c>
      <c r="AT33" s="178">
        <f t="shared" si="0"/>
        <v>0</v>
      </c>
      <c r="AU33" s="178">
        <f t="shared" si="0"/>
        <v>0</v>
      </c>
      <c r="AV33" s="178">
        <f t="shared" si="0"/>
        <v>0</v>
      </c>
      <c r="AW33" s="179">
        <f t="shared" si="0"/>
        <v>0</v>
      </c>
      <c r="AX33" s="178">
        <f t="shared" si="1"/>
        <v>0</v>
      </c>
      <c r="AY33" s="178">
        <f t="shared" si="1"/>
        <v>0</v>
      </c>
      <c r="AZ33" s="179">
        <f t="shared" si="1"/>
        <v>0</v>
      </c>
      <c r="BA33" s="184">
        <f t="shared" si="1"/>
        <v>0</v>
      </c>
      <c r="BB33" s="178">
        <f t="shared" si="1"/>
        <v>0</v>
      </c>
      <c r="BC33" s="184">
        <f t="shared" si="1"/>
        <v>0</v>
      </c>
      <c r="BD33" s="178">
        <f t="shared" si="1"/>
        <v>0</v>
      </c>
      <c r="BE33" s="251">
        <f t="shared" si="3"/>
        <v>23476</v>
      </c>
      <c r="BF33" s="252">
        <f t="shared" si="4"/>
        <v>326200</v>
      </c>
      <c r="BH33" s="262">
        <f>SUM(AO33)</f>
        <v>352.17521399999998</v>
      </c>
      <c r="BI33" s="262">
        <f>SUM(AP33:AS33)</f>
        <v>2356.8200000000002</v>
      </c>
      <c r="BJ33" s="262">
        <f>SUM(AT33:AW33)</f>
        <v>0</v>
      </c>
      <c r="BK33" s="263">
        <f>SUM(AX33:BB33)</f>
        <v>0</v>
      </c>
      <c r="BL33" s="269">
        <f>SUM(BC33:BD33)</f>
        <v>0</v>
      </c>
      <c r="BM33" s="264">
        <f t="shared" si="5"/>
        <v>2708.995214</v>
      </c>
      <c r="BO33" s="732">
        <f t="shared" si="6"/>
        <v>8.3047063580625391</v>
      </c>
    </row>
    <row r="34" spans="2:67" ht="15" customHeight="1" x14ac:dyDescent="0.25">
      <c r="B34" s="156">
        <f t="shared" si="27"/>
        <v>6</v>
      </c>
      <c r="C34" s="180" t="s">
        <v>71</v>
      </c>
      <c r="D34" s="181" t="str">
        <f t="shared" si="29"/>
        <v>B2RCL</v>
      </c>
      <c r="E34" s="200" t="s">
        <v>72</v>
      </c>
      <c r="G34" s="488">
        <f>G33</f>
        <v>4.1099999999999998E-2</v>
      </c>
      <c r="H34" s="490"/>
      <c r="I34" s="475">
        <f>I33</f>
        <v>9.4999999999999998E-3</v>
      </c>
      <c r="J34" s="471"/>
      <c r="K34" s="476">
        <f>K33</f>
        <v>4.7000000000000002E-3</v>
      </c>
      <c r="L34" s="494">
        <f>L32</f>
        <v>8.3000000000000001E-3</v>
      </c>
      <c r="M34" s="471"/>
      <c r="N34" s="471"/>
      <c r="O34" s="472"/>
      <c r="P34" s="471"/>
      <c r="Q34" s="471"/>
      <c r="R34" s="472"/>
      <c r="S34" s="490"/>
      <c r="T34" s="471"/>
      <c r="U34" s="491"/>
      <c r="V34" s="492"/>
      <c r="X34" s="183">
        <f>'Q (t)'!G34</f>
        <v>0</v>
      </c>
      <c r="Y34" s="184">
        <f>'Q (t)'!H34</f>
        <v>0</v>
      </c>
      <c r="Z34" s="178">
        <f>'Q (t)'!I34</f>
        <v>0</v>
      </c>
      <c r="AA34" s="178">
        <f>'Q (t)'!J34</f>
        <v>0</v>
      </c>
      <c r="AB34" s="179">
        <f>'Q (t)'!K34</f>
        <v>0</v>
      </c>
      <c r="AC34" s="178">
        <f>'Q (t)'!L34</f>
        <v>2900</v>
      </c>
      <c r="AD34" s="178">
        <f>'Q (t)'!M34</f>
        <v>0</v>
      </c>
      <c r="AE34" s="178">
        <f>'Q (t)'!N34</f>
        <v>0</v>
      </c>
      <c r="AF34" s="179">
        <f>'Q (t)'!O34</f>
        <v>0</v>
      </c>
      <c r="AG34" s="178">
        <f>'Q (t)'!P34</f>
        <v>0</v>
      </c>
      <c r="AH34" s="178">
        <f>'Q (t)'!Q34</f>
        <v>0</v>
      </c>
      <c r="AI34" s="179">
        <f>'Q (t)'!R34</f>
        <v>0</v>
      </c>
      <c r="AJ34" s="184">
        <f>'Q (t)'!S34</f>
        <v>0</v>
      </c>
      <c r="AK34" s="178">
        <f>'Q (t)'!T34</f>
        <v>0</v>
      </c>
      <c r="AL34" s="184">
        <f>'Q (t)'!U34</f>
        <v>0</v>
      </c>
      <c r="AM34" s="179">
        <f>'Q (t)'!V34</f>
        <v>0</v>
      </c>
      <c r="AO34" s="183">
        <f t="shared" si="2"/>
        <v>0</v>
      </c>
      <c r="AP34" s="184">
        <f t="shared" ref="AP34:AW62" si="30">H34*Y34</f>
        <v>0</v>
      </c>
      <c r="AQ34" s="178">
        <f t="shared" si="30"/>
        <v>0</v>
      </c>
      <c r="AR34" s="178">
        <f t="shared" si="30"/>
        <v>0</v>
      </c>
      <c r="AS34" s="179">
        <f t="shared" si="30"/>
        <v>0</v>
      </c>
      <c r="AT34" s="178">
        <f t="shared" si="30"/>
        <v>24.07</v>
      </c>
      <c r="AU34" s="178">
        <f t="shared" si="30"/>
        <v>0</v>
      </c>
      <c r="AV34" s="178">
        <f t="shared" si="30"/>
        <v>0</v>
      </c>
      <c r="AW34" s="179">
        <f t="shared" si="30"/>
        <v>0</v>
      </c>
      <c r="AX34" s="178">
        <f t="shared" si="1"/>
        <v>0</v>
      </c>
      <c r="AY34" s="178">
        <f t="shared" si="1"/>
        <v>0</v>
      </c>
      <c r="AZ34" s="179">
        <f t="shared" si="1"/>
        <v>0</v>
      </c>
      <c r="BA34" s="184">
        <f t="shared" si="1"/>
        <v>0</v>
      </c>
      <c r="BB34" s="178">
        <f t="shared" si="1"/>
        <v>0</v>
      </c>
      <c r="BC34" s="184">
        <f t="shared" si="1"/>
        <v>0</v>
      </c>
      <c r="BD34" s="178">
        <f t="shared" si="1"/>
        <v>0</v>
      </c>
      <c r="BE34" s="251">
        <f t="shared" si="3"/>
        <v>0</v>
      </c>
      <c r="BF34" s="252">
        <f t="shared" si="4"/>
        <v>2900</v>
      </c>
      <c r="BH34" s="262">
        <f>SUM(AO34)</f>
        <v>0</v>
      </c>
      <c r="BI34" s="262">
        <f>SUM(AP34:AS34)</f>
        <v>0</v>
      </c>
      <c r="BJ34" s="262">
        <f>SUM(AT34:AW34)</f>
        <v>24.07</v>
      </c>
      <c r="BK34" s="263">
        <f>SUM(AX34:BB34)</f>
        <v>0</v>
      </c>
      <c r="BL34" s="269">
        <f>SUM(BC34:BD34)</f>
        <v>0</v>
      </c>
      <c r="BM34" s="264">
        <f t="shared" si="5"/>
        <v>24.07</v>
      </c>
      <c r="BO34" s="732">
        <f t="shared" si="6"/>
        <v>8.3000000000000007</v>
      </c>
    </row>
    <row r="35" spans="2:67" ht="15" customHeight="1" x14ac:dyDescent="0.25">
      <c r="B35" s="156">
        <f t="shared" si="27"/>
        <v>7</v>
      </c>
      <c r="C35" s="180" t="s">
        <v>73</v>
      </c>
      <c r="D35" s="181" t="str">
        <f t="shared" si="29"/>
        <v>BCL</v>
      </c>
      <c r="E35" s="200" t="s">
        <v>74</v>
      </c>
      <c r="G35" s="488">
        <v>0</v>
      </c>
      <c r="H35" s="490"/>
      <c r="I35" s="471"/>
      <c r="J35" s="471"/>
      <c r="K35" s="472"/>
      <c r="L35" s="494">
        <f>L32</f>
        <v>8.3000000000000001E-3</v>
      </c>
      <c r="M35" s="471"/>
      <c r="N35" s="471"/>
      <c r="O35" s="472"/>
      <c r="P35" s="471"/>
      <c r="Q35" s="471"/>
      <c r="R35" s="472"/>
      <c r="S35" s="490"/>
      <c r="T35" s="471"/>
      <c r="U35" s="491"/>
      <c r="V35" s="492"/>
      <c r="X35" s="183">
        <f>'Q (t)'!G35</f>
        <v>0</v>
      </c>
      <c r="Y35" s="184">
        <f>'Q (t)'!H35</f>
        <v>0</v>
      </c>
      <c r="Z35" s="178">
        <f>'Q (t)'!I35</f>
        <v>0</v>
      </c>
      <c r="AA35" s="178">
        <f>'Q (t)'!J35</f>
        <v>0</v>
      </c>
      <c r="AB35" s="179">
        <f>'Q (t)'!K35</f>
        <v>0</v>
      </c>
      <c r="AC35" s="178">
        <f>'Q (t)'!L35</f>
        <v>100</v>
      </c>
      <c r="AD35" s="178">
        <f>'Q (t)'!M35</f>
        <v>0</v>
      </c>
      <c r="AE35" s="178">
        <f>'Q (t)'!N35</f>
        <v>0</v>
      </c>
      <c r="AF35" s="179">
        <f>'Q (t)'!O35</f>
        <v>0</v>
      </c>
      <c r="AG35" s="178">
        <f>'Q (t)'!P35</f>
        <v>0</v>
      </c>
      <c r="AH35" s="178">
        <f>'Q (t)'!Q35</f>
        <v>0</v>
      </c>
      <c r="AI35" s="179">
        <f>'Q (t)'!R35</f>
        <v>0</v>
      </c>
      <c r="AJ35" s="184">
        <f>'Q (t)'!S35</f>
        <v>0</v>
      </c>
      <c r="AK35" s="178">
        <f>'Q (t)'!T35</f>
        <v>0</v>
      </c>
      <c r="AL35" s="184">
        <f>'Q (t)'!U35</f>
        <v>0</v>
      </c>
      <c r="AM35" s="179">
        <f>'Q (t)'!V35</f>
        <v>0</v>
      </c>
      <c r="AO35" s="183">
        <f t="shared" si="2"/>
        <v>0</v>
      </c>
      <c r="AP35" s="184">
        <f t="shared" si="30"/>
        <v>0</v>
      </c>
      <c r="AQ35" s="178">
        <f t="shared" si="30"/>
        <v>0</v>
      </c>
      <c r="AR35" s="178">
        <f t="shared" si="30"/>
        <v>0</v>
      </c>
      <c r="AS35" s="179">
        <f t="shared" si="30"/>
        <v>0</v>
      </c>
      <c r="AT35" s="178">
        <f t="shared" si="30"/>
        <v>0.83</v>
      </c>
      <c r="AU35" s="178">
        <f t="shared" si="30"/>
        <v>0</v>
      </c>
      <c r="AV35" s="178">
        <f t="shared" si="30"/>
        <v>0</v>
      </c>
      <c r="AW35" s="179">
        <f t="shared" si="30"/>
        <v>0</v>
      </c>
      <c r="AX35" s="178">
        <f t="shared" si="1"/>
        <v>0</v>
      </c>
      <c r="AY35" s="178">
        <f t="shared" si="1"/>
        <v>0</v>
      </c>
      <c r="AZ35" s="179">
        <f t="shared" si="1"/>
        <v>0</v>
      </c>
      <c r="BA35" s="184">
        <f t="shared" si="1"/>
        <v>0</v>
      </c>
      <c r="BB35" s="178">
        <f t="shared" si="1"/>
        <v>0</v>
      </c>
      <c r="BC35" s="184">
        <f t="shared" si="1"/>
        <v>0</v>
      </c>
      <c r="BD35" s="178">
        <f t="shared" si="1"/>
        <v>0</v>
      </c>
      <c r="BE35" s="251">
        <f t="shared" si="3"/>
        <v>0</v>
      </c>
      <c r="BF35" s="252">
        <f t="shared" si="4"/>
        <v>100</v>
      </c>
      <c r="BH35" s="262">
        <f>SUM(AO35)</f>
        <v>0</v>
      </c>
      <c r="BI35" s="262">
        <f>SUM(AP35:AS35)</f>
        <v>0</v>
      </c>
      <c r="BJ35" s="262">
        <f>SUM(AT35:AW35)</f>
        <v>0.83</v>
      </c>
      <c r="BK35" s="263">
        <f>SUM(AX35:BB35)</f>
        <v>0</v>
      </c>
      <c r="BL35" s="269">
        <f>SUM(BC35:BD35)</f>
        <v>0</v>
      </c>
      <c r="BM35" s="264">
        <f t="shared" si="5"/>
        <v>0.83</v>
      </c>
      <c r="BO35" s="732">
        <f t="shared" si="6"/>
        <v>8.3000000000000007</v>
      </c>
    </row>
    <row r="36" spans="2:67" ht="15" customHeight="1" x14ac:dyDescent="0.25">
      <c r="B36" s="156"/>
      <c r="C36" s="201" t="s">
        <v>75</v>
      </c>
      <c r="D36" s="202"/>
      <c r="E36" s="202"/>
      <c r="G36" s="493"/>
      <c r="H36" s="490"/>
      <c r="I36" s="471"/>
      <c r="J36" s="471"/>
      <c r="K36" s="472"/>
      <c r="L36" s="471"/>
      <c r="M36" s="471"/>
      <c r="N36" s="471"/>
      <c r="O36" s="472"/>
      <c r="P36" s="471"/>
      <c r="Q36" s="471"/>
      <c r="R36" s="472"/>
      <c r="S36" s="490"/>
      <c r="T36" s="471"/>
      <c r="U36" s="490"/>
      <c r="V36" s="472"/>
      <c r="X36" s="183">
        <f>'Q (t)'!G36</f>
        <v>0</v>
      </c>
      <c r="Y36" s="184">
        <f>'Q (t)'!H36</f>
        <v>0</v>
      </c>
      <c r="Z36" s="178">
        <f>'Q (t)'!I36</f>
        <v>0</v>
      </c>
      <c r="AA36" s="178">
        <f>'Q (t)'!J36</f>
        <v>0</v>
      </c>
      <c r="AB36" s="179">
        <f>'Q (t)'!K36</f>
        <v>0</v>
      </c>
      <c r="AC36" s="178">
        <f>'Q (t)'!L36</f>
        <v>0</v>
      </c>
      <c r="AD36" s="178">
        <f>'Q (t)'!M36</f>
        <v>0</v>
      </c>
      <c r="AE36" s="178">
        <f>'Q (t)'!N36</f>
        <v>0</v>
      </c>
      <c r="AF36" s="179">
        <f>'Q (t)'!O36</f>
        <v>0</v>
      </c>
      <c r="AG36" s="178">
        <f>'Q (t)'!P36</f>
        <v>0</v>
      </c>
      <c r="AH36" s="178">
        <f>'Q (t)'!Q36</f>
        <v>0</v>
      </c>
      <c r="AI36" s="179">
        <f>'Q (t)'!R36</f>
        <v>0</v>
      </c>
      <c r="AJ36" s="184">
        <f>'Q (t)'!S36</f>
        <v>0</v>
      </c>
      <c r="AK36" s="178">
        <f>'Q (t)'!T36</f>
        <v>0</v>
      </c>
      <c r="AL36" s="184">
        <f>'Q (t)'!U36</f>
        <v>0</v>
      </c>
      <c r="AM36" s="179">
        <f>'Q (t)'!V36</f>
        <v>0</v>
      </c>
      <c r="AO36" s="183">
        <f t="shared" si="2"/>
        <v>0</v>
      </c>
      <c r="AP36" s="184">
        <f t="shared" si="30"/>
        <v>0</v>
      </c>
      <c r="AQ36" s="178">
        <f t="shared" si="30"/>
        <v>0</v>
      </c>
      <c r="AR36" s="178">
        <f t="shared" si="30"/>
        <v>0</v>
      </c>
      <c r="AS36" s="179">
        <f t="shared" si="30"/>
        <v>0</v>
      </c>
      <c r="AT36" s="178">
        <f t="shared" si="30"/>
        <v>0</v>
      </c>
      <c r="AU36" s="178">
        <f t="shared" si="30"/>
        <v>0</v>
      </c>
      <c r="AV36" s="178">
        <f t="shared" si="30"/>
        <v>0</v>
      </c>
      <c r="AW36" s="179">
        <f t="shared" si="30"/>
        <v>0</v>
      </c>
      <c r="AX36" s="178">
        <f t="shared" si="1"/>
        <v>0</v>
      </c>
      <c r="AY36" s="178">
        <f t="shared" si="1"/>
        <v>0</v>
      </c>
      <c r="AZ36" s="179">
        <f t="shared" si="1"/>
        <v>0</v>
      </c>
      <c r="BA36" s="184">
        <f t="shared" si="1"/>
        <v>0</v>
      </c>
      <c r="BB36" s="178">
        <f t="shared" si="1"/>
        <v>0</v>
      </c>
      <c r="BC36" s="184">
        <f t="shared" si="1"/>
        <v>0</v>
      </c>
      <c r="BD36" s="178">
        <f t="shared" si="1"/>
        <v>0</v>
      </c>
      <c r="BE36" s="251">
        <f t="shared" si="3"/>
        <v>0</v>
      </c>
      <c r="BF36" s="252">
        <f t="shared" si="4"/>
        <v>0</v>
      </c>
      <c r="BH36" s="259">
        <f>SUBTOTAL(9,BH37:BH39)</f>
        <v>339.27392400000002</v>
      </c>
      <c r="BI36" s="259">
        <f t="shared" ref="BI36:BL36" si="31">SUBTOTAL(9,BI37:BI39)</f>
        <v>4010.63</v>
      </c>
      <c r="BJ36" s="259">
        <f t="shared" si="31"/>
        <v>0</v>
      </c>
      <c r="BK36" s="259">
        <f t="shared" si="31"/>
        <v>0</v>
      </c>
      <c r="BL36" s="259">
        <f t="shared" si="31"/>
        <v>0</v>
      </c>
      <c r="BM36" s="264">
        <f t="shared" si="5"/>
        <v>4349.9039240000002</v>
      </c>
      <c r="BO36" s="732" t="str">
        <f t="shared" si="6"/>
        <v/>
      </c>
    </row>
    <row r="37" spans="2:67" ht="15" customHeight="1" x14ac:dyDescent="0.25">
      <c r="B37" s="156">
        <f>B35+1</f>
        <v>8</v>
      </c>
      <c r="C37" s="180" t="s">
        <v>76</v>
      </c>
      <c r="D37" s="181" t="str">
        <f t="shared" ref="D37:D39" si="32">C37</f>
        <v>SBTOU</v>
      </c>
      <c r="E37" s="200" t="s">
        <v>77</v>
      </c>
      <c r="G37" s="488">
        <v>4.1099999999999998E-2</v>
      </c>
      <c r="H37" s="490"/>
      <c r="I37" s="494">
        <v>1.26E-2</v>
      </c>
      <c r="J37" s="494">
        <v>8.8000000000000005E-3</v>
      </c>
      <c r="K37" s="495">
        <v>4.7000000000000002E-3</v>
      </c>
      <c r="L37" s="471"/>
      <c r="M37" s="471"/>
      <c r="N37" s="471"/>
      <c r="O37" s="472"/>
      <c r="P37" s="471"/>
      <c r="Q37" s="471"/>
      <c r="R37" s="472"/>
      <c r="S37" s="490"/>
      <c r="T37" s="471"/>
      <c r="U37" s="491"/>
      <c r="V37" s="492"/>
      <c r="X37" s="183">
        <f>'Q (t)'!G37</f>
        <v>7314600</v>
      </c>
      <c r="Y37" s="184">
        <f>'Q (t)'!H37</f>
        <v>0</v>
      </c>
      <c r="Z37" s="178">
        <f>'Q (t)'!I37</f>
        <v>32600</v>
      </c>
      <c r="AA37" s="178">
        <f>'Q (t)'!J37</f>
        <v>229600</v>
      </c>
      <c r="AB37" s="179">
        <f>'Q (t)'!K37</f>
        <v>205100</v>
      </c>
      <c r="AC37" s="178">
        <f>'Q (t)'!L37</f>
        <v>0</v>
      </c>
      <c r="AD37" s="178">
        <f>'Q (t)'!M37</f>
        <v>0</v>
      </c>
      <c r="AE37" s="178">
        <f>'Q (t)'!N37</f>
        <v>0</v>
      </c>
      <c r="AF37" s="179">
        <f>'Q (t)'!O37</f>
        <v>0</v>
      </c>
      <c r="AG37" s="178">
        <f>'Q (t)'!P37</f>
        <v>0</v>
      </c>
      <c r="AH37" s="178">
        <f>'Q (t)'!Q37</f>
        <v>0</v>
      </c>
      <c r="AI37" s="179">
        <f>'Q (t)'!R37</f>
        <v>0</v>
      </c>
      <c r="AJ37" s="184">
        <f>'Q (t)'!S37</f>
        <v>0</v>
      </c>
      <c r="AK37" s="178">
        <f>'Q (t)'!T37</f>
        <v>0</v>
      </c>
      <c r="AL37" s="184">
        <f>'Q (t)'!U37</f>
        <v>0</v>
      </c>
      <c r="AM37" s="179">
        <f>'Q (t)'!V37</f>
        <v>0</v>
      </c>
      <c r="AO37" s="183">
        <f t="shared" si="2"/>
        <v>300.63006000000001</v>
      </c>
      <c r="AP37" s="184">
        <f t="shared" si="30"/>
        <v>0</v>
      </c>
      <c r="AQ37" s="178">
        <f t="shared" si="30"/>
        <v>410.76</v>
      </c>
      <c r="AR37" s="178">
        <f t="shared" si="30"/>
        <v>2020.48</v>
      </c>
      <c r="AS37" s="179">
        <f t="shared" si="30"/>
        <v>963.97</v>
      </c>
      <c r="AT37" s="178">
        <f t="shared" si="30"/>
        <v>0</v>
      </c>
      <c r="AU37" s="178">
        <f t="shared" si="30"/>
        <v>0</v>
      </c>
      <c r="AV37" s="178">
        <f t="shared" si="30"/>
        <v>0</v>
      </c>
      <c r="AW37" s="179">
        <f t="shared" si="30"/>
        <v>0</v>
      </c>
      <c r="AX37" s="178">
        <f t="shared" si="1"/>
        <v>0</v>
      </c>
      <c r="AY37" s="178">
        <f t="shared" si="1"/>
        <v>0</v>
      </c>
      <c r="AZ37" s="179">
        <f t="shared" si="1"/>
        <v>0</v>
      </c>
      <c r="BA37" s="184">
        <f t="shared" si="1"/>
        <v>0</v>
      </c>
      <c r="BB37" s="178">
        <f t="shared" si="1"/>
        <v>0</v>
      </c>
      <c r="BC37" s="184">
        <f t="shared" si="1"/>
        <v>0</v>
      </c>
      <c r="BD37" s="178">
        <f t="shared" si="1"/>
        <v>0</v>
      </c>
      <c r="BE37" s="251">
        <f t="shared" si="3"/>
        <v>20040</v>
      </c>
      <c r="BF37" s="252">
        <f t="shared" si="4"/>
        <v>467300</v>
      </c>
      <c r="BH37" s="262">
        <f>SUM(AO37)</f>
        <v>300.63006000000001</v>
      </c>
      <c r="BI37" s="262">
        <f>SUM(AP37:AS37)</f>
        <v>3395.21</v>
      </c>
      <c r="BJ37" s="262">
        <f>SUM(AT37:AW37)</f>
        <v>0</v>
      </c>
      <c r="BK37" s="263">
        <f>SUM(AX37:BB37)</f>
        <v>0</v>
      </c>
      <c r="BL37" s="269">
        <f>SUM(BC37:BD37)</f>
        <v>0</v>
      </c>
      <c r="BM37" s="264">
        <f t="shared" si="5"/>
        <v>3695.84006</v>
      </c>
      <c r="BO37" s="732">
        <f t="shared" si="6"/>
        <v>7.908923732077894</v>
      </c>
    </row>
    <row r="38" spans="2:67" ht="15" customHeight="1" x14ac:dyDescent="0.25">
      <c r="B38" s="156">
        <f t="shared" si="27"/>
        <v>9</v>
      </c>
      <c r="C38" s="180" t="s">
        <v>78</v>
      </c>
      <c r="D38" s="181" t="str">
        <f t="shared" si="32"/>
        <v>SBTOUD</v>
      </c>
      <c r="E38" s="200" t="s">
        <v>79</v>
      </c>
      <c r="G38" s="488">
        <v>4.1099999999999998E-2</v>
      </c>
      <c r="H38" s="490"/>
      <c r="I38" s="494">
        <v>1.01E-2</v>
      </c>
      <c r="J38" s="494">
        <v>7.0000000000000001E-3</v>
      </c>
      <c r="K38" s="495">
        <v>3.8E-3</v>
      </c>
      <c r="L38" s="471"/>
      <c r="M38" s="471"/>
      <c r="N38" s="471"/>
      <c r="O38" s="472"/>
      <c r="P38" s="471"/>
      <c r="Q38" s="471"/>
      <c r="R38" s="472"/>
      <c r="S38" s="490"/>
      <c r="T38" s="494">
        <v>0</v>
      </c>
      <c r="U38" s="491"/>
      <c r="V38" s="492"/>
      <c r="X38" s="183">
        <f>'Q (t)'!G38</f>
        <v>533265</v>
      </c>
      <c r="Y38" s="184">
        <f>'Q (t)'!H38</f>
        <v>0</v>
      </c>
      <c r="Z38" s="178">
        <f>'Q (t)'!I38</f>
        <v>4400</v>
      </c>
      <c r="AA38" s="178">
        <f>'Q (t)'!J38</f>
        <v>38000</v>
      </c>
      <c r="AB38" s="179">
        <f>'Q (t)'!K38</f>
        <v>25700</v>
      </c>
      <c r="AC38" s="178">
        <f>'Q (t)'!L38</f>
        <v>0</v>
      </c>
      <c r="AD38" s="178">
        <f>'Q (t)'!M38</f>
        <v>0</v>
      </c>
      <c r="AE38" s="178">
        <f>'Q (t)'!N38</f>
        <v>0</v>
      </c>
      <c r="AF38" s="179">
        <f>'Q (t)'!O38</f>
        <v>0</v>
      </c>
      <c r="AG38" s="178">
        <f>'Q (t)'!P38</f>
        <v>0</v>
      </c>
      <c r="AH38" s="178">
        <f>'Q (t)'!Q38</f>
        <v>0</v>
      </c>
      <c r="AI38" s="179">
        <f>'Q (t)'!R38</f>
        <v>0</v>
      </c>
      <c r="AJ38" s="184">
        <f>'Q (t)'!S38</f>
        <v>0</v>
      </c>
      <c r="AK38" s="178">
        <f>'Q (t)'!T38</f>
        <v>26073045</v>
      </c>
      <c r="AL38" s="184">
        <f>'Q (t)'!U38</f>
        <v>0</v>
      </c>
      <c r="AM38" s="179">
        <f>'Q (t)'!V38</f>
        <v>0</v>
      </c>
      <c r="AO38" s="183">
        <f t="shared" si="2"/>
        <v>21.917191499999998</v>
      </c>
      <c r="AP38" s="184">
        <f t="shared" si="30"/>
        <v>0</v>
      </c>
      <c r="AQ38" s="178">
        <f t="shared" si="30"/>
        <v>44.44</v>
      </c>
      <c r="AR38" s="178">
        <f t="shared" si="30"/>
        <v>266</v>
      </c>
      <c r="AS38" s="179">
        <f t="shared" si="30"/>
        <v>97.66</v>
      </c>
      <c r="AT38" s="178">
        <f t="shared" si="30"/>
        <v>0</v>
      </c>
      <c r="AU38" s="178">
        <f t="shared" si="30"/>
        <v>0</v>
      </c>
      <c r="AV38" s="178">
        <f t="shared" si="30"/>
        <v>0</v>
      </c>
      <c r="AW38" s="179">
        <f t="shared" si="30"/>
        <v>0</v>
      </c>
      <c r="AX38" s="178">
        <f t="shared" si="1"/>
        <v>0</v>
      </c>
      <c r="AY38" s="178">
        <f t="shared" si="1"/>
        <v>0</v>
      </c>
      <c r="AZ38" s="179">
        <f t="shared" si="1"/>
        <v>0</v>
      </c>
      <c r="BA38" s="184">
        <f t="shared" si="1"/>
        <v>0</v>
      </c>
      <c r="BB38" s="178">
        <f t="shared" si="1"/>
        <v>0</v>
      </c>
      <c r="BC38" s="184">
        <f t="shared" si="1"/>
        <v>0</v>
      </c>
      <c r="BD38" s="178">
        <f t="shared" si="1"/>
        <v>0</v>
      </c>
      <c r="BE38" s="251">
        <f t="shared" si="3"/>
        <v>1461</v>
      </c>
      <c r="BF38" s="252">
        <f t="shared" si="4"/>
        <v>68100</v>
      </c>
      <c r="BH38" s="262">
        <f>SUM(AO38)</f>
        <v>21.917191499999998</v>
      </c>
      <c r="BI38" s="262">
        <f>SUM(AP38:AS38)</f>
        <v>408.1</v>
      </c>
      <c r="BJ38" s="262">
        <f>SUM(AT38:AW38)</f>
        <v>0</v>
      </c>
      <c r="BK38" s="263">
        <f>SUM(AX38:BB38)</f>
        <v>0</v>
      </c>
      <c r="BL38" s="269">
        <f>SUM(BC38:BD38)</f>
        <v>0</v>
      </c>
      <c r="BM38" s="264">
        <f t="shared" si="5"/>
        <v>430.01719150000002</v>
      </c>
      <c r="BO38" s="732">
        <f t="shared" si="6"/>
        <v>6.3144962041116006</v>
      </c>
    </row>
    <row r="39" spans="2:67" ht="15" customHeight="1" x14ac:dyDescent="0.25">
      <c r="B39" s="162">
        <f t="shared" si="27"/>
        <v>10</v>
      </c>
      <c r="C39" s="187" t="s">
        <v>80</v>
      </c>
      <c r="D39" s="188" t="str">
        <f t="shared" si="32"/>
        <v>SBD</v>
      </c>
      <c r="E39" s="203" t="s">
        <v>81</v>
      </c>
      <c r="G39" s="496">
        <v>4.1099999999999998E-2</v>
      </c>
      <c r="H39" s="497">
        <v>7.1000000000000004E-3</v>
      </c>
      <c r="I39" s="498"/>
      <c r="J39" s="498"/>
      <c r="K39" s="499"/>
      <c r="L39" s="498"/>
      <c r="M39" s="498"/>
      <c r="N39" s="498"/>
      <c r="O39" s="499"/>
      <c r="P39" s="498"/>
      <c r="Q39" s="500">
        <v>0</v>
      </c>
      <c r="R39" s="501">
        <v>0</v>
      </c>
      <c r="S39" s="502"/>
      <c r="T39" s="498"/>
      <c r="U39" s="503"/>
      <c r="V39" s="504"/>
      <c r="X39" s="190">
        <f>'Q (t)'!G39</f>
        <v>406975</v>
      </c>
      <c r="Y39" s="197">
        <f>'Q (t)'!H39</f>
        <v>29200</v>
      </c>
      <c r="Z39" s="192">
        <f>'Q (t)'!I39</f>
        <v>0</v>
      </c>
      <c r="AA39" s="192">
        <f>'Q (t)'!J39</f>
        <v>0</v>
      </c>
      <c r="AB39" s="193">
        <f>'Q (t)'!K39</f>
        <v>0</v>
      </c>
      <c r="AC39" s="192">
        <f>'Q (t)'!L39</f>
        <v>0</v>
      </c>
      <c r="AD39" s="192">
        <f>'Q (t)'!M39</f>
        <v>0</v>
      </c>
      <c r="AE39" s="192">
        <f>'Q (t)'!N39</f>
        <v>0</v>
      </c>
      <c r="AF39" s="193">
        <f>'Q (t)'!O39</f>
        <v>0</v>
      </c>
      <c r="AG39" s="192">
        <f>'Q (t)'!P39</f>
        <v>0</v>
      </c>
      <c r="AH39" s="192">
        <f>'Q (t)'!Q39</f>
        <v>1825137</v>
      </c>
      <c r="AI39" s="193">
        <f>'Q (t)'!R39</f>
        <v>4632215</v>
      </c>
      <c r="AJ39" s="197">
        <f>'Q (t)'!S39</f>
        <v>0</v>
      </c>
      <c r="AK39" s="192">
        <f>'Q (t)'!T39</f>
        <v>0</v>
      </c>
      <c r="AL39" s="197">
        <f>'Q (t)'!U39</f>
        <v>0</v>
      </c>
      <c r="AM39" s="193">
        <f>'Q (t)'!V39</f>
        <v>0</v>
      </c>
      <c r="AO39" s="190">
        <f t="shared" si="2"/>
        <v>16.726672499999999</v>
      </c>
      <c r="AP39" s="197">
        <f t="shared" si="30"/>
        <v>207.32000000000002</v>
      </c>
      <c r="AQ39" s="192">
        <f t="shared" si="30"/>
        <v>0</v>
      </c>
      <c r="AR39" s="192">
        <f t="shared" si="30"/>
        <v>0</v>
      </c>
      <c r="AS39" s="193">
        <f t="shared" si="30"/>
        <v>0</v>
      </c>
      <c r="AT39" s="192">
        <f t="shared" si="30"/>
        <v>0</v>
      </c>
      <c r="AU39" s="192">
        <f t="shared" si="30"/>
        <v>0</v>
      </c>
      <c r="AV39" s="192">
        <f t="shared" si="30"/>
        <v>0</v>
      </c>
      <c r="AW39" s="193">
        <f t="shared" si="30"/>
        <v>0</v>
      </c>
      <c r="AX39" s="192">
        <f t="shared" si="1"/>
        <v>0</v>
      </c>
      <c r="AY39" s="192">
        <f t="shared" si="1"/>
        <v>0</v>
      </c>
      <c r="AZ39" s="193">
        <f t="shared" si="1"/>
        <v>0</v>
      </c>
      <c r="BA39" s="197">
        <f t="shared" si="1"/>
        <v>0</v>
      </c>
      <c r="BB39" s="192">
        <f t="shared" si="1"/>
        <v>0</v>
      </c>
      <c r="BC39" s="197">
        <f t="shared" si="1"/>
        <v>0</v>
      </c>
      <c r="BD39" s="192">
        <f t="shared" si="1"/>
        <v>0</v>
      </c>
      <c r="BE39" s="253">
        <f t="shared" si="3"/>
        <v>1115</v>
      </c>
      <c r="BF39" s="254">
        <f t="shared" si="4"/>
        <v>29200</v>
      </c>
      <c r="BH39" s="262">
        <f>SUM(AO39)</f>
        <v>16.726672499999999</v>
      </c>
      <c r="BI39" s="262">
        <f>SUM(AP39:AS39)</f>
        <v>207.32000000000002</v>
      </c>
      <c r="BJ39" s="262">
        <f>SUM(AT39:AW39)</f>
        <v>0</v>
      </c>
      <c r="BK39" s="263">
        <f>SUM(AX39:BB39)</f>
        <v>0</v>
      </c>
      <c r="BL39" s="269">
        <f>SUM(BC39:BD39)</f>
        <v>0</v>
      </c>
      <c r="BM39" s="264">
        <f t="shared" si="5"/>
        <v>224.04667250000003</v>
      </c>
      <c r="BO39" s="732">
        <f t="shared" si="6"/>
        <v>7.6728312500000007</v>
      </c>
    </row>
    <row r="40" spans="2:67" ht="15" customHeight="1" x14ac:dyDescent="0.25">
      <c r="B40" s="167" t="s">
        <v>82</v>
      </c>
      <c r="C40" s="151" t="s">
        <v>83</v>
      </c>
      <c r="D40" s="151"/>
      <c r="E40" s="204"/>
      <c r="G40" s="505"/>
      <c r="H40" s="506"/>
      <c r="I40" s="507"/>
      <c r="J40" s="507"/>
      <c r="K40" s="508"/>
      <c r="L40" s="507"/>
      <c r="M40" s="507"/>
      <c r="N40" s="507"/>
      <c r="O40" s="508"/>
      <c r="P40" s="507"/>
      <c r="Q40" s="507"/>
      <c r="R40" s="508"/>
      <c r="S40" s="506"/>
      <c r="T40" s="507"/>
      <c r="U40" s="506"/>
      <c r="V40" s="508"/>
      <c r="X40" s="205">
        <f>'Q (t)'!G40</f>
        <v>0</v>
      </c>
      <c r="Y40" s="206">
        <f>'Q (t)'!H40</f>
        <v>0</v>
      </c>
      <c r="Z40" s="207">
        <f>'Q (t)'!I40</f>
        <v>0</v>
      </c>
      <c r="AA40" s="207">
        <f>'Q (t)'!J40</f>
        <v>0</v>
      </c>
      <c r="AB40" s="208">
        <f>'Q (t)'!K40</f>
        <v>0</v>
      </c>
      <c r="AC40" s="207">
        <f>'Q (t)'!L40</f>
        <v>0</v>
      </c>
      <c r="AD40" s="207">
        <f>'Q (t)'!M40</f>
        <v>0</v>
      </c>
      <c r="AE40" s="207">
        <f>'Q (t)'!N40</f>
        <v>0</v>
      </c>
      <c r="AF40" s="208">
        <f>'Q (t)'!O40</f>
        <v>0</v>
      </c>
      <c r="AG40" s="207">
        <f>'Q (t)'!P40</f>
        <v>0</v>
      </c>
      <c r="AH40" s="207">
        <f>'Q (t)'!Q40</f>
        <v>0</v>
      </c>
      <c r="AI40" s="208">
        <f>'Q (t)'!R40</f>
        <v>0</v>
      </c>
      <c r="AJ40" s="206">
        <f>'Q (t)'!S40</f>
        <v>0</v>
      </c>
      <c r="AK40" s="207">
        <f>'Q (t)'!T40</f>
        <v>0</v>
      </c>
      <c r="AL40" s="206">
        <f>'Q (t)'!U40</f>
        <v>0</v>
      </c>
      <c r="AM40" s="208">
        <f>'Q (t)'!V40</f>
        <v>0</v>
      </c>
      <c r="AO40" s="205">
        <f t="shared" si="2"/>
        <v>0</v>
      </c>
      <c r="AP40" s="206">
        <f t="shared" si="30"/>
        <v>0</v>
      </c>
      <c r="AQ40" s="207">
        <f t="shared" si="30"/>
        <v>0</v>
      </c>
      <c r="AR40" s="207">
        <f t="shared" si="30"/>
        <v>0</v>
      </c>
      <c r="AS40" s="208">
        <f t="shared" si="30"/>
        <v>0</v>
      </c>
      <c r="AT40" s="207">
        <f t="shared" si="30"/>
        <v>0</v>
      </c>
      <c r="AU40" s="207">
        <f t="shared" si="30"/>
        <v>0</v>
      </c>
      <c r="AV40" s="207">
        <f t="shared" si="30"/>
        <v>0</v>
      </c>
      <c r="AW40" s="208">
        <f t="shared" si="30"/>
        <v>0</v>
      </c>
      <c r="AX40" s="207">
        <f t="shared" si="1"/>
        <v>0</v>
      </c>
      <c r="AY40" s="207">
        <f t="shared" si="1"/>
        <v>0</v>
      </c>
      <c r="AZ40" s="208">
        <f t="shared" si="1"/>
        <v>0</v>
      </c>
      <c r="BA40" s="206">
        <f t="shared" si="1"/>
        <v>0</v>
      </c>
      <c r="BB40" s="207">
        <f t="shared" si="1"/>
        <v>0</v>
      </c>
      <c r="BC40" s="206">
        <f t="shared" si="1"/>
        <v>0</v>
      </c>
      <c r="BD40" s="207">
        <f t="shared" si="1"/>
        <v>0</v>
      </c>
      <c r="BE40" s="249">
        <f t="shared" si="3"/>
        <v>0</v>
      </c>
      <c r="BF40" s="250">
        <f t="shared" si="4"/>
        <v>0</v>
      </c>
      <c r="BH40" s="260">
        <f>SUBTOTAL(9,BH41:BH67)</f>
        <v>2.4659999999999994E-2</v>
      </c>
      <c r="BI40" s="260">
        <f>SUBTOTAL(9,BI41:BI67)</f>
        <v>14661.159999999998</v>
      </c>
      <c r="BJ40" s="260">
        <f>SUBTOTAL(9,BJ41:BJ67)</f>
        <v>0</v>
      </c>
      <c r="BK40" s="260">
        <f>SUBTOTAL(9,BK41:BK67)</f>
        <v>0</v>
      </c>
      <c r="BL40" s="260">
        <f>SUBTOTAL(9,BL41:BL67)</f>
        <v>0</v>
      </c>
      <c r="BM40" s="264">
        <f t="shared" si="5"/>
        <v>14661.184659999997</v>
      </c>
      <c r="BO40" s="732" t="str">
        <f t="shared" si="6"/>
        <v/>
      </c>
    </row>
    <row r="41" spans="2:67" ht="15" customHeight="1" x14ac:dyDescent="0.25">
      <c r="B41" s="156"/>
      <c r="C41" s="126" t="s">
        <v>84</v>
      </c>
      <c r="D41" s="173"/>
      <c r="E41" s="202"/>
      <c r="G41" s="493"/>
      <c r="H41" s="490"/>
      <c r="I41" s="471"/>
      <c r="J41" s="471"/>
      <c r="K41" s="472"/>
      <c r="L41" s="471"/>
      <c r="M41" s="471"/>
      <c r="N41" s="471"/>
      <c r="O41" s="472"/>
      <c r="P41" s="471"/>
      <c r="Q41" s="471"/>
      <c r="R41" s="472"/>
      <c r="S41" s="490"/>
      <c r="T41" s="471"/>
      <c r="U41" s="490"/>
      <c r="V41" s="472"/>
      <c r="X41" s="183">
        <f>'Q (t)'!G41</f>
        <v>0</v>
      </c>
      <c r="Y41" s="184">
        <f>'Q (t)'!H41</f>
        <v>0</v>
      </c>
      <c r="Z41" s="178">
        <f>'Q (t)'!I41</f>
        <v>0</v>
      </c>
      <c r="AA41" s="178">
        <f>'Q (t)'!J41</f>
        <v>0</v>
      </c>
      <c r="AB41" s="179">
        <f>'Q (t)'!K41</f>
        <v>0</v>
      </c>
      <c r="AC41" s="178">
        <f>'Q (t)'!L41</f>
        <v>0</v>
      </c>
      <c r="AD41" s="178">
        <f>'Q (t)'!M41</f>
        <v>0</v>
      </c>
      <c r="AE41" s="178">
        <f>'Q (t)'!N41</f>
        <v>0</v>
      </c>
      <c r="AF41" s="179">
        <f>'Q (t)'!O41</f>
        <v>0</v>
      </c>
      <c r="AG41" s="178">
        <f>'Q (t)'!P41</f>
        <v>0</v>
      </c>
      <c r="AH41" s="178">
        <f>'Q (t)'!Q41</f>
        <v>0</v>
      </c>
      <c r="AI41" s="179">
        <f>'Q (t)'!R41</f>
        <v>0</v>
      </c>
      <c r="AJ41" s="184">
        <f>'Q (t)'!S41</f>
        <v>0</v>
      </c>
      <c r="AK41" s="178">
        <f>'Q (t)'!T41</f>
        <v>0</v>
      </c>
      <c r="AL41" s="184">
        <f>'Q (t)'!U41</f>
        <v>0</v>
      </c>
      <c r="AM41" s="179">
        <f>'Q (t)'!V41</f>
        <v>0</v>
      </c>
      <c r="AO41" s="183">
        <f t="shared" si="2"/>
        <v>0</v>
      </c>
      <c r="AP41" s="184">
        <f t="shared" si="30"/>
        <v>0</v>
      </c>
      <c r="AQ41" s="178">
        <f t="shared" si="30"/>
        <v>0</v>
      </c>
      <c r="AR41" s="178">
        <f t="shared" si="30"/>
        <v>0</v>
      </c>
      <c r="AS41" s="179">
        <f t="shared" si="30"/>
        <v>0</v>
      </c>
      <c r="AT41" s="178">
        <f t="shared" si="30"/>
        <v>0</v>
      </c>
      <c r="AU41" s="178">
        <f t="shared" si="30"/>
        <v>0</v>
      </c>
      <c r="AV41" s="178">
        <f t="shared" si="30"/>
        <v>0</v>
      </c>
      <c r="AW41" s="179">
        <f t="shared" si="30"/>
        <v>0</v>
      </c>
      <c r="AX41" s="178">
        <f t="shared" si="1"/>
        <v>0</v>
      </c>
      <c r="AY41" s="178">
        <f t="shared" si="1"/>
        <v>0</v>
      </c>
      <c r="AZ41" s="179">
        <f t="shared" si="1"/>
        <v>0</v>
      </c>
      <c r="BA41" s="184">
        <f t="shared" si="1"/>
        <v>0</v>
      </c>
      <c r="BB41" s="178">
        <f t="shared" si="1"/>
        <v>0</v>
      </c>
      <c r="BC41" s="184">
        <f t="shared" si="1"/>
        <v>0</v>
      </c>
      <c r="BD41" s="178">
        <f t="shared" si="1"/>
        <v>0</v>
      </c>
      <c r="BE41" s="251">
        <f t="shared" si="3"/>
        <v>0</v>
      </c>
      <c r="BF41" s="252">
        <f t="shared" si="4"/>
        <v>0</v>
      </c>
      <c r="BH41" s="259">
        <f>SUBTOTAL(9,BH42:BH45)</f>
        <v>2.4659999999999994E-2</v>
      </c>
      <c r="BI41" s="259">
        <f t="shared" ref="BI41:BL41" si="33">SUBTOTAL(9,BI42:BI45)</f>
        <v>2.72</v>
      </c>
      <c r="BJ41" s="259">
        <f t="shared" si="33"/>
        <v>0</v>
      </c>
      <c r="BK41" s="259">
        <f t="shared" si="33"/>
        <v>0</v>
      </c>
      <c r="BL41" s="259">
        <f t="shared" si="33"/>
        <v>0</v>
      </c>
      <c r="BM41" s="264">
        <f t="shared" si="5"/>
        <v>2.7446600000000001</v>
      </c>
      <c r="BO41" s="732" t="str">
        <f t="shared" si="6"/>
        <v/>
      </c>
    </row>
    <row r="42" spans="2:67" ht="15" customHeight="1" x14ac:dyDescent="0.25">
      <c r="B42" s="156">
        <f t="shared" si="27"/>
        <v>1</v>
      </c>
      <c r="C42" s="180" t="s">
        <v>85</v>
      </c>
      <c r="D42" s="181" t="str">
        <f t="shared" ref="D42:D45" si="34">C42</f>
        <v>LBSR</v>
      </c>
      <c r="E42" s="200" t="s">
        <v>86</v>
      </c>
      <c r="G42" s="488">
        <v>4.1099999999999998E-2</v>
      </c>
      <c r="H42" s="489">
        <v>1.01E-2</v>
      </c>
      <c r="I42" s="471"/>
      <c r="J42" s="471"/>
      <c r="K42" s="472"/>
      <c r="L42" s="471"/>
      <c r="M42" s="471"/>
      <c r="N42" s="471"/>
      <c r="O42" s="472"/>
      <c r="P42" s="471"/>
      <c r="Q42" s="471"/>
      <c r="R42" s="472"/>
      <c r="S42" s="490"/>
      <c r="T42" s="471"/>
      <c r="U42" s="491"/>
      <c r="V42" s="492"/>
      <c r="X42" s="183">
        <f>'Q (t)'!G42</f>
        <v>200</v>
      </c>
      <c r="Y42" s="184">
        <f>'Q (t)'!H42</f>
        <v>100</v>
      </c>
      <c r="Z42" s="178">
        <f>'Q (t)'!I42</f>
        <v>0</v>
      </c>
      <c r="AA42" s="178">
        <f>'Q (t)'!J42</f>
        <v>0</v>
      </c>
      <c r="AB42" s="179">
        <f>'Q (t)'!K42</f>
        <v>0</v>
      </c>
      <c r="AC42" s="178">
        <f>'Q (t)'!L42</f>
        <v>0</v>
      </c>
      <c r="AD42" s="178">
        <f>'Q (t)'!M42</f>
        <v>0</v>
      </c>
      <c r="AE42" s="178">
        <f>'Q (t)'!N42</f>
        <v>0</v>
      </c>
      <c r="AF42" s="179">
        <f>'Q (t)'!O42</f>
        <v>0</v>
      </c>
      <c r="AG42" s="178">
        <f>'Q (t)'!P42</f>
        <v>0</v>
      </c>
      <c r="AH42" s="178">
        <f>'Q (t)'!Q42</f>
        <v>0</v>
      </c>
      <c r="AI42" s="179">
        <f>'Q (t)'!R42</f>
        <v>0</v>
      </c>
      <c r="AJ42" s="184">
        <f>'Q (t)'!S42</f>
        <v>0</v>
      </c>
      <c r="AK42" s="178">
        <f>'Q (t)'!T42</f>
        <v>0</v>
      </c>
      <c r="AL42" s="184">
        <f>'Q (t)'!U42</f>
        <v>0</v>
      </c>
      <c r="AM42" s="179">
        <f>'Q (t)'!V42</f>
        <v>0</v>
      </c>
      <c r="AO42" s="183">
        <f t="shared" si="2"/>
        <v>8.2199999999999981E-3</v>
      </c>
      <c r="AP42" s="184">
        <f t="shared" si="30"/>
        <v>1.01</v>
      </c>
      <c r="AQ42" s="178">
        <f t="shared" si="30"/>
        <v>0</v>
      </c>
      <c r="AR42" s="178">
        <f t="shared" si="30"/>
        <v>0</v>
      </c>
      <c r="AS42" s="179">
        <f t="shared" si="30"/>
        <v>0</v>
      </c>
      <c r="AT42" s="178">
        <f t="shared" si="30"/>
        <v>0</v>
      </c>
      <c r="AU42" s="178">
        <f t="shared" si="30"/>
        <v>0</v>
      </c>
      <c r="AV42" s="178">
        <f t="shared" si="30"/>
        <v>0</v>
      </c>
      <c r="AW42" s="179">
        <f t="shared" si="30"/>
        <v>0</v>
      </c>
      <c r="AX42" s="178">
        <f t="shared" si="1"/>
        <v>0</v>
      </c>
      <c r="AY42" s="178">
        <f t="shared" si="1"/>
        <v>0</v>
      </c>
      <c r="AZ42" s="179">
        <f t="shared" si="1"/>
        <v>0</v>
      </c>
      <c r="BA42" s="184">
        <f t="shared" si="1"/>
        <v>0</v>
      </c>
      <c r="BB42" s="178">
        <f t="shared" si="1"/>
        <v>0</v>
      </c>
      <c r="BC42" s="184">
        <f t="shared" si="1"/>
        <v>0</v>
      </c>
      <c r="BD42" s="178">
        <f t="shared" si="1"/>
        <v>0</v>
      </c>
      <c r="BE42" s="251">
        <f t="shared" si="3"/>
        <v>0.54794520547945202</v>
      </c>
      <c r="BF42" s="252">
        <f t="shared" si="4"/>
        <v>100</v>
      </c>
      <c r="BH42" s="262">
        <f>SUM(AO42)</f>
        <v>8.2199999999999981E-3</v>
      </c>
      <c r="BI42" s="262">
        <f>SUM(AP42:AS42)</f>
        <v>1.01</v>
      </c>
      <c r="BJ42" s="262">
        <f>SUM(AT42:AW42)</f>
        <v>0</v>
      </c>
      <c r="BK42" s="263">
        <f>SUM(AX42:BB42)</f>
        <v>0</v>
      </c>
      <c r="BL42" s="269">
        <f>SUM(BC42:BD42)</f>
        <v>0</v>
      </c>
      <c r="BM42" s="264">
        <f t="shared" si="5"/>
        <v>1.0182199999999999</v>
      </c>
      <c r="BO42" s="732">
        <f t="shared" si="6"/>
        <v>10.1822</v>
      </c>
    </row>
    <row r="43" spans="2:67" ht="15" customHeight="1" x14ac:dyDescent="0.25">
      <c r="B43" s="156">
        <f t="shared" si="27"/>
        <v>2</v>
      </c>
      <c r="C43" s="180" t="s">
        <v>87</v>
      </c>
      <c r="D43" s="181" t="str">
        <f t="shared" si="34"/>
        <v>LBSRCL</v>
      </c>
      <c r="E43" s="200" t="s">
        <v>88</v>
      </c>
      <c r="G43" s="488">
        <f>G42</f>
        <v>4.1099999999999998E-2</v>
      </c>
      <c r="H43" s="489">
        <f>H42</f>
        <v>1.01E-2</v>
      </c>
      <c r="I43" s="471"/>
      <c r="J43" s="471"/>
      <c r="K43" s="472"/>
      <c r="L43" s="494">
        <f>L32</f>
        <v>8.3000000000000001E-3</v>
      </c>
      <c r="M43" s="471"/>
      <c r="N43" s="471"/>
      <c r="O43" s="472"/>
      <c r="P43" s="471"/>
      <c r="Q43" s="471"/>
      <c r="R43" s="472"/>
      <c r="S43" s="490"/>
      <c r="T43" s="471"/>
      <c r="U43" s="491"/>
      <c r="V43" s="492"/>
      <c r="X43" s="183">
        <f>'Q (t)'!G43</f>
        <v>0</v>
      </c>
      <c r="Y43" s="184">
        <f>'Q (t)'!H43</f>
        <v>0</v>
      </c>
      <c r="Z43" s="178">
        <f>'Q (t)'!I43</f>
        <v>0</v>
      </c>
      <c r="AA43" s="178">
        <f>'Q (t)'!J43</f>
        <v>0</v>
      </c>
      <c r="AB43" s="179">
        <f>'Q (t)'!K43</f>
        <v>0</v>
      </c>
      <c r="AC43" s="178">
        <f>'Q (t)'!L43</f>
        <v>0</v>
      </c>
      <c r="AD43" s="178">
        <f>'Q (t)'!M43</f>
        <v>0</v>
      </c>
      <c r="AE43" s="178">
        <f>'Q (t)'!N43</f>
        <v>0</v>
      </c>
      <c r="AF43" s="179">
        <f>'Q (t)'!O43</f>
        <v>0</v>
      </c>
      <c r="AG43" s="178">
        <f>'Q (t)'!P43</f>
        <v>0</v>
      </c>
      <c r="AH43" s="178">
        <f>'Q (t)'!Q43</f>
        <v>0</v>
      </c>
      <c r="AI43" s="179">
        <f>'Q (t)'!R43</f>
        <v>0</v>
      </c>
      <c r="AJ43" s="184">
        <f>'Q (t)'!S43</f>
        <v>0</v>
      </c>
      <c r="AK43" s="178">
        <f>'Q (t)'!T43</f>
        <v>0</v>
      </c>
      <c r="AL43" s="184">
        <f>'Q (t)'!U43</f>
        <v>0</v>
      </c>
      <c r="AM43" s="179">
        <f>'Q (t)'!V43</f>
        <v>0</v>
      </c>
      <c r="AO43" s="183">
        <f t="shared" si="2"/>
        <v>0</v>
      </c>
      <c r="AP43" s="184">
        <f t="shared" si="30"/>
        <v>0</v>
      </c>
      <c r="AQ43" s="178">
        <f t="shared" si="30"/>
        <v>0</v>
      </c>
      <c r="AR43" s="178">
        <f t="shared" si="30"/>
        <v>0</v>
      </c>
      <c r="AS43" s="179">
        <f t="shared" si="30"/>
        <v>0</v>
      </c>
      <c r="AT43" s="178">
        <f t="shared" si="30"/>
        <v>0</v>
      </c>
      <c r="AU43" s="178">
        <f t="shared" si="30"/>
        <v>0</v>
      </c>
      <c r="AV43" s="178">
        <f t="shared" si="30"/>
        <v>0</v>
      </c>
      <c r="AW43" s="179">
        <f t="shared" si="30"/>
        <v>0</v>
      </c>
      <c r="AX43" s="178">
        <f t="shared" si="1"/>
        <v>0</v>
      </c>
      <c r="AY43" s="178">
        <f t="shared" si="1"/>
        <v>0</v>
      </c>
      <c r="AZ43" s="179">
        <f t="shared" si="1"/>
        <v>0</v>
      </c>
      <c r="BA43" s="184">
        <f t="shared" si="1"/>
        <v>0</v>
      </c>
      <c r="BB43" s="178">
        <f t="shared" si="1"/>
        <v>0</v>
      </c>
      <c r="BC43" s="184">
        <f t="shared" si="1"/>
        <v>0</v>
      </c>
      <c r="BD43" s="178">
        <f t="shared" si="1"/>
        <v>0</v>
      </c>
      <c r="BE43" s="251">
        <f t="shared" si="3"/>
        <v>0</v>
      </c>
      <c r="BF43" s="252">
        <f t="shared" si="4"/>
        <v>0</v>
      </c>
      <c r="BH43" s="262">
        <f>SUM(AO43)</f>
        <v>0</v>
      </c>
      <c r="BI43" s="262">
        <f>SUM(AP43:AS43)</f>
        <v>0</v>
      </c>
      <c r="BJ43" s="262">
        <f>SUM(AT43:AW43)</f>
        <v>0</v>
      </c>
      <c r="BK43" s="263">
        <f>SUM(AX43:BB43)</f>
        <v>0</v>
      </c>
      <c r="BL43" s="269">
        <f>SUM(BC43:BD43)</f>
        <v>0</v>
      </c>
      <c r="BM43" s="264">
        <f t="shared" si="5"/>
        <v>0</v>
      </c>
      <c r="BO43" s="732" t="str">
        <f t="shared" si="6"/>
        <v/>
      </c>
    </row>
    <row r="44" spans="2:67" ht="15" customHeight="1" x14ac:dyDescent="0.25">
      <c r="B44" s="156">
        <f t="shared" si="27"/>
        <v>3</v>
      </c>
      <c r="C44" s="180" t="s">
        <v>89</v>
      </c>
      <c r="D44" s="181" t="str">
        <f t="shared" si="34"/>
        <v>LB2R</v>
      </c>
      <c r="E44" s="200" t="s">
        <v>90</v>
      </c>
      <c r="G44" s="488">
        <v>4.1099999999999998E-2</v>
      </c>
      <c r="H44" s="490"/>
      <c r="I44" s="494">
        <v>1.14E-2</v>
      </c>
      <c r="J44" s="471"/>
      <c r="K44" s="495">
        <v>5.7000000000000002E-3</v>
      </c>
      <c r="L44" s="471"/>
      <c r="M44" s="471"/>
      <c r="N44" s="471"/>
      <c r="O44" s="472"/>
      <c r="P44" s="471"/>
      <c r="Q44" s="471"/>
      <c r="R44" s="472"/>
      <c r="S44" s="490"/>
      <c r="T44" s="471"/>
      <c r="U44" s="491"/>
      <c r="V44" s="492"/>
      <c r="X44" s="183">
        <f>'Q (t)'!G44</f>
        <v>400</v>
      </c>
      <c r="Y44" s="184">
        <f>'Q (t)'!H44</f>
        <v>0</v>
      </c>
      <c r="Z44" s="178">
        <f>'Q (t)'!I44</f>
        <v>100</v>
      </c>
      <c r="AA44" s="178">
        <f>'Q (t)'!J44</f>
        <v>0</v>
      </c>
      <c r="AB44" s="179">
        <f>'Q (t)'!K44</f>
        <v>100</v>
      </c>
      <c r="AC44" s="178">
        <f>'Q (t)'!L44</f>
        <v>0</v>
      </c>
      <c r="AD44" s="178">
        <f>'Q (t)'!M44</f>
        <v>0</v>
      </c>
      <c r="AE44" s="178">
        <f>'Q (t)'!N44</f>
        <v>0</v>
      </c>
      <c r="AF44" s="179">
        <f>'Q (t)'!O44</f>
        <v>0</v>
      </c>
      <c r="AG44" s="178">
        <f>'Q (t)'!P44</f>
        <v>0</v>
      </c>
      <c r="AH44" s="178">
        <f>'Q (t)'!Q44</f>
        <v>0</v>
      </c>
      <c r="AI44" s="179">
        <f>'Q (t)'!R44</f>
        <v>0</v>
      </c>
      <c r="AJ44" s="184">
        <f>'Q (t)'!S44</f>
        <v>0</v>
      </c>
      <c r="AK44" s="178">
        <f>'Q (t)'!T44</f>
        <v>0</v>
      </c>
      <c r="AL44" s="184">
        <f>'Q (t)'!U44</f>
        <v>0</v>
      </c>
      <c r="AM44" s="179">
        <f>'Q (t)'!V44</f>
        <v>0</v>
      </c>
      <c r="AO44" s="183">
        <f t="shared" si="2"/>
        <v>1.6439999999999996E-2</v>
      </c>
      <c r="AP44" s="184">
        <f t="shared" si="30"/>
        <v>0</v>
      </c>
      <c r="AQ44" s="178">
        <f t="shared" si="30"/>
        <v>1.1400000000000001</v>
      </c>
      <c r="AR44" s="178">
        <f t="shared" si="30"/>
        <v>0</v>
      </c>
      <c r="AS44" s="179">
        <f t="shared" si="30"/>
        <v>0.57000000000000006</v>
      </c>
      <c r="AT44" s="178">
        <f t="shared" si="30"/>
        <v>0</v>
      </c>
      <c r="AU44" s="178">
        <f t="shared" si="30"/>
        <v>0</v>
      </c>
      <c r="AV44" s="178">
        <f t="shared" si="30"/>
        <v>0</v>
      </c>
      <c r="AW44" s="179">
        <f t="shared" si="30"/>
        <v>0</v>
      </c>
      <c r="AX44" s="178">
        <f t="shared" si="1"/>
        <v>0</v>
      </c>
      <c r="AY44" s="178">
        <f t="shared" si="1"/>
        <v>0</v>
      </c>
      <c r="AZ44" s="179">
        <f t="shared" si="1"/>
        <v>0</v>
      </c>
      <c r="BA44" s="184">
        <f t="shared" si="1"/>
        <v>0</v>
      </c>
      <c r="BB44" s="178">
        <f t="shared" si="1"/>
        <v>0</v>
      </c>
      <c r="BC44" s="184">
        <f t="shared" si="1"/>
        <v>0</v>
      </c>
      <c r="BD44" s="178">
        <f t="shared" si="1"/>
        <v>0</v>
      </c>
      <c r="BE44" s="251">
        <f t="shared" si="3"/>
        <v>1.095890410958904</v>
      </c>
      <c r="BF44" s="252">
        <f t="shared" si="4"/>
        <v>200</v>
      </c>
      <c r="BH44" s="262">
        <f>SUM(AO44)</f>
        <v>1.6439999999999996E-2</v>
      </c>
      <c r="BI44" s="262">
        <f>SUM(AP44:AS44)</f>
        <v>1.7100000000000002</v>
      </c>
      <c r="BJ44" s="262">
        <f>SUM(AT44:AW44)</f>
        <v>0</v>
      </c>
      <c r="BK44" s="263">
        <f>SUM(AX44:BB44)</f>
        <v>0</v>
      </c>
      <c r="BL44" s="269">
        <f>SUM(BC44:BD44)</f>
        <v>0</v>
      </c>
      <c r="BM44" s="264">
        <f t="shared" si="5"/>
        <v>1.7264400000000002</v>
      </c>
      <c r="BO44" s="732">
        <f t="shared" si="6"/>
        <v>8.632200000000001</v>
      </c>
    </row>
    <row r="45" spans="2:67" ht="15" customHeight="1" x14ac:dyDescent="0.25">
      <c r="B45" s="156">
        <f t="shared" si="27"/>
        <v>4</v>
      </c>
      <c r="C45" s="180" t="s">
        <v>91</v>
      </c>
      <c r="D45" s="181" t="str">
        <f t="shared" si="34"/>
        <v>LB2RCL</v>
      </c>
      <c r="E45" s="209" t="s">
        <v>92</v>
      </c>
      <c r="G45" s="488">
        <f>G44</f>
        <v>4.1099999999999998E-2</v>
      </c>
      <c r="H45" s="490"/>
      <c r="I45" s="494">
        <f>I44</f>
        <v>1.14E-2</v>
      </c>
      <c r="J45" s="471"/>
      <c r="K45" s="495">
        <f>K44</f>
        <v>5.7000000000000002E-3</v>
      </c>
      <c r="L45" s="494">
        <f>L34</f>
        <v>8.3000000000000001E-3</v>
      </c>
      <c r="M45" s="471"/>
      <c r="N45" s="471"/>
      <c r="O45" s="472"/>
      <c r="P45" s="471"/>
      <c r="Q45" s="471"/>
      <c r="R45" s="472"/>
      <c r="S45" s="490"/>
      <c r="T45" s="471"/>
      <c r="U45" s="491"/>
      <c r="V45" s="492"/>
      <c r="X45" s="183">
        <f>'Q (t)'!G45</f>
        <v>0</v>
      </c>
      <c r="Y45" s="184">
        <f>'Q (t)'!H45</f>
        <v>0</v>
      </c>
      <c r="Z45" s="178">
        <f>'Q (t)'!I45</f>
        <v>0</v>
      </c>
      <c r="AA45" s="178">
        <f>'Q (t)'!J45</f>
        <v>0</v>
      </c>
      <c r="AB45" s="179">
        <f>'Q (t)'!K45</f>
        <v>0</v>
      </c>
      <c r="AC45" s="178">
        <f>'Q (t)'!L45</f>
        <v>0</v>
      </c>
      <c r="AD45" s="178">
        <f>'Q (t)'!M45</f>
        <v>0</v>
      </c>
      <c r="AE45" s="178">
        <f>'Q (t)'!N45</f>
        <v>0</v>
      </c>
      <c r="AF45" s="179">
        <f>'Q (t)'!O45</f>
        <v>0</v>
      </c>
      <c r="AG45" s="178">
        <f>'Q (t)'!P45</f>
        <v>0</v>
      </c>
      <c r="AH45" s="178">
        <f>'Q (t)'!Q45</f>
        <v>0</v>
      </c>
      <c r="AI45" s="179">
        <f>'Q (t)'!R45</f>
        <v>0</v>
      </c>
      <c r="AJ45" s="184">
        <f>'Q (t)'!S45</f>
        <v>0</v>
      </c>
      <c r="AK45" s="178">
        <f>'Q (t)'!T45</f>
        <v>0</v>
      </c>
      <c r="AL45" s="184">
        <f>'Q (t)'!U45</f>
        <v>0</v>
      </c>
      <c r="AM45" s="179">
        <f>'Q (t)'!V45</f>
        <v>0</v>
      </c>
      <c r="AO45" s="183">
        <f t="shared" si="2"/>
        <v>0</v>
      </c>
      <c r="AP45" s="184">
        <f t="shared" si="30"/>
        <v>0</v>
      </c>
      <c r="AQ45" s="178">
        <f t="shared" si="30"/>
        <v>0</v>
      </c>
      <c r="AR45" s="178">
        <f t="shared" si="30"/>
        <v>0</v>
      </c>
      <c r="AS45" s="179">
        <f t="shared" si="30"/>
        <v>0</v>
      </c>
      <c r="AT45" s="178">
        <f t="shared" si="30"/>
        <v>0</v>
      </c>
      <c r="AU45" s="178">
        <f t="shared" si="30"/>
        <v>0</v>
      </c>
      <c r="AV45" s="178">
        <f t="shared" si="30"/>
        <v>0</v>
      </c>
      <c r="AW45" s="179">
        <f t="shared" si="30"/>
        <v>0</v>
      </c>
      <c r="AX45" s="178">
        <f t="shared" si="1"/>
        <v>0</v>
      </c>
      <c r="AY45" s="178">
        <f t="shared" si="1"/>
        <v>0</v>
      </c>
      <c r="AZ45" s="179">
        <f t="shared" si="1"/>
        <v>0</v>
      </c>
      <c r="BA45" s="184">
        <f t="shared" si="1"/>
        <v>0</v>
      </c>
      <c r="BB45" s="178">
        <f t="shared" si="1"/>
        <v>0</v>
      </c>
      <c r="BC45" s="184">
        <f t="shared" si="1"/>
        <v>0</v>
      </c>
      <c r="BD45" s="178">
        <f t="shared" si="1"/>
        <v>0</v>
      </c>
      <c r="BE45" s="251">
        <f t="shared" si="3"/>
        <v>0</v>
      </c>
      <c r="BF45" s="252">
        <f t="shared" si="4"/>
        <v>0</v>
      </c>
      <c r="BH45" s="262">
        <f>SUM(AO45)</f>
        <v>0</v>
      </c>
      <c r="BI45" s="262">
        <f>SUM(AP45:AS45)</f>
        <v>0</v>
      </c>
      <c r="BJ45" s="262">
        <f>SUM(AT45:AW45)</f>
        <v>0</v>
      </c>
      <c r="BK45" s="263">
        <f>SUM(AX45:BB45)</f>
        <v>0</v>
      </c>
      <c r="BL45" s="269">
        <f>SUM(BC45:BD45)</f>
        <v>0</v>
      </c>
      <c r="BM45" s="264">
        <f t="shared" si="5"/>
        <v>0</v>
      </c>
      <c r="BO45" s="732" t="str">
        <f t="shared" si="6"/>
        <v/>
      </c>
    </row>
    <row r="46" spans="2:67" ht="15" customHeight="1" x14ac:dyDescent="0.25">
      <c r="B46" s="156"/>
      <c r="C46" s="126" t="s">
        <v>93</v>
      </c>
      <c r="D46" s="173"/>
      <c r="E46" s="202"/>
      <c r="G46" s="493"/>
      <c r="H46" s="490"/>
      <c r="I46" s="471"/>
      <c r="J46" s="471"/>
      <c r="K46" s="472"/>
      <c r="L46" s="471"/>
      <c r="M46" s="471"/>
      <c r="N46" s="471"/>
      <c r="O46" s="472"/>
      <c r="P46" s="471"/>
      <c r="Q46" s="471"/>
      <c r="R46" s="472"/>
      <c r="S46" s="490"/>
      <c r="T46" s="471"/>
      <c r="U46" s="490"/>
      <c r="V46" s="472"/>
      <c r="X46" s="183">
        <f>'Q (t)'!G46</f>
        <v>0</v>
      </c>
      <c r="Y46" s="184">
        <f>'Q (t)'!H46</f>
        <v>0</v>
      </c>
      <c r="Z46" s="178">
        <f>'Q (t)'!I46</f>
        <v>0</v>
      </c>
      <c r="AA46" s="178">
        <f>'Q (t)'!J46</f>
        <v>0</v>
      </c>
      <c r="AB46" s="179">
        <f>'Q (t)'!K46</f>
        <v>0</v>
      </c>
      <c r="AC46" s="178">
        <f>'Q (t)'!L46</f>
        <v>0</v>
      </c>
      <c r="AD46" s="178">
        <f>'Q (t)'!M46</f>
        <v>0</v>
      </c>
      <c r="AE46" s="178">
        <f>'Q (t)'!N46</f>
        <v>0</v>
      </c>
      <c r="AF46" s="179">
        <f>'Q (t)'!O46</f>
        <v>0</v>
      </c>
      <c r="AG46" s="178">
        <f>'Q (t)'!P46</f>
        <v>0</v>
      </c>
      <c r="AH46" s="178">
        <f>'Q (t)'!Q46</f>
        <v>0</v>
      </c>
      <c r="AI46" s="179">
        <f>'Q (t)'!R46</f>
        <v>0</v>
      </c>
      <c r="AJ46" s="184">
        <f>'Q (t)'!S46</f>
        <v>0</v>
      </c>
      <c r="AK46" s="178">
        <f>'Q (t)'!T46</f>
        <v>0</v>
      </c>
      <c r="AL46" s="184">
        <f>'Q (t)'!U46</f>
        <v>0</v>
      </c>
      <c r="AM46" s="179">
        <f>'Q (t)'!V46</f>
        <v>0</v>
      </c>
      <c r="AO46" s="183">
        <f t="shared" si="2"/>
        <v>0</v>
      </c>
      <c r="AP46" s="184">
        <f t="shared" si="30"/>
        <v>0</v>
      </c>
      <c r="AQ46" s="178">
        <f t="shared" si="30"/>
        <v>0</v>
      </c>
      <c r="AR46" s="178">
        <f t="shared" si="30"/>
        <v>0</v>
      </c>
      <c r="AS46" s="179">
        <f t="shared" si="30"/>
        <v>0</v>
      </c>
      <c r="AT46" s="178">
        <f t="shared" si="30"/>
        <v>0</v>
      </c>
      <c r="AU46" s="178">
        <f t="shared" si="30"/>
        <v>0</v>
      </c>
      <c r="AV46" s="178">
        <f t="shared" si="30"/>
        <v>0</v>
      </c>
      <c r="AW46" s="179">
        <f t="shared" si="30"/>
        <v>0</v>
      </c>
      <c r="AX46" s="178">
        <f t="shared" si="1"/>
        <v>0</v>
      </c>
      <c r="AY46" s="178">
        <f t="shared" si="1"/>
        <v>0</v>
      </c>
      <c r="AZ46" s="179">
        <f t="shared" si="1"/>
        <v>0</v>
      </c>
      <c r="BA46" s="184">
        <f t="shared" si="1"/>
        <v>0</v>
      </c>
      <c r="BB46" s="178">
        <f t="shared" si="1"/>
        <v>0</v>
      </c>
      <c r="BC46" s="184">
        <f t="shared" si="1"/>
        <v>0</v>
      </c>
      <c r="BD46" s="178">
        <f t="shared" si="1"/>
        <v>0</v>
      </c>
      <c r="BE46" s="251">
        <f t="shared" si="3"/>
        <v>0</v>
      </c>
      <c r="BF46" s="252">
        <f t="shared" si="4"/>
        <v>0</v>
      </c>
      <c r="BH46" s="259">
        <f>SUBTOTAL(9,BH47:BH67)</f>
        <v>0</v>
      </c>
      <c r="BI46" s="259">
        <f>SUBTOTAL(9,BI47:BI67)</f>
        <v>14658.439999999999</v>
      </c>
      <c r="BJ46" s="259">
        <f>SUBTOTAL(9,BJ47:BJ67)</f>
        <v>0</v>
      </c>
      <c r="BK46" s="259">
        <f>SUBTOTAL(9,BK47:BK67)</f>
        <v>0</v>
      </c>
      <c r="BL46" s="259">
        <f>SUBTOTAL(9,BL47:BL67)</f>
        <v>0</v>
      </c>
      <c r="BM46" s="264">
        <f t="shared" si="5"/>
        <v>14658.439999999999</v>
      </c>
      <c r="BO46" s="732" t="str">
        <f t="shared" si="6"/>
        <v/>
      </c>
    </row>
    <row r="47" spans="2:67" ht="15" customHeight="1" x14ac:dyDescent="0.25">
      <c r="B47" s="156">
        <f>B45+1</f>
        <v>5</v>
      </c>
      <c r="C47" s="180" t="s">
        <v>599</v>
      </c>
      <c r="D47" s="181" t="s">
        <v>600</v>
      </c>
      <c r="E47" s="210" t="s">
        <v>94</v>
      </c>
      <c r="G47" s="488">
        <v>0</v>
      </c>
      <c r="H47" s="490"/>
      <c r="I47" s="494">
        <v>6.4999999999999997E-3</v>
      </c>
      <c r="J47" s="471"/>
      <c r="K47" s="495">
        <v>4.1000000000000003E-3</v>
      </c>
      <c r="L47" s="471"/>
      <c r="M47" s="471"/>
      <c r="N47" s="471"/>
      <c r="O47" s="472"/>
      <c r="P47" s="471"/>
      <c r="Q47" s="471"/>
      <c r="R47" s="472"/>
      <c r="S47" s="489">
        <v>0</v>
      </c>
      <c r="T47" s="494">
        <v>0</v>
      </c>
      <c r="U47" s="491"/>
      <c r="V47" s="492"/>
      <c r="X47" s="183">
        <f>'Q (t)'!G47</f>
        <v>1389555</v>
      </c>
      <c r="Y47" s="184">
        <f>'Q (t)'!H47</f>
        <v>0</v>
      </c>
      <c r="Z47" s="178">
        <f>'Q (t)'!I47</f>
        <v>1286940</v>
      </c>
      <c r="AA47" s="178">
        <f>'Q (t)'!J47</f>
        <v>0</v>
      </c>
      <c r="AB47" s="179">
        <f>'Q (t)'!K47</f>
        <v>1235550</v>
      </c>
      <c r="AC47" s="178">
        <f>'Q (t)'!L47</f>
        <v>0</v>
      </c>
      <c r="AD47" s="178">
        <f>'Q (t)'!M47</f>
        <v>0</v>
      </c>
      <c r="AE47" s="178">
        <f>'Q (t)'!N47</f>
        <v>0</v>
      </c>
      <c r="AF47" s="179">
        <f>'Q (t)'!O47</f>
        <v>0</v>
      </c>
      <c r="AG47" s="178">
        <f>'Q (t)'!P47</f>
        <v>0</v>
      </c>
      <c r="AH47" s="178">
        <f>'Q (t)'!Q47</f>
        <v>0</v>
      </c>
      <c r="AI47" s="179">
        <f>'Q (t)'!R47</f>
        <v>0</v>
      </c>
      <c r="AJ47" s="184">
        <f>'Q (t)'!S47</f>
        <v>236666000</v>
      </c>
      <c r="AK47" s="178">
        <f>'Q (t)'!T47</f>
        <v>323704630</v>
      </c>
      <c r="AL47" s="184">
        <f>'Q (t)'!U47</f>
        <v>0</v>
      </c>
      <c r="AM47" s="179">
        <f>'Q (t)'!V47</f>
        <v>0</v>
      </c>
      <c r="AO47" s="183">
        <f t="shared" si="2"/>
        <v>0</v>
      </c>
      <c r="AP47" s="184">
        <f t="shared" si="30"/>
        <v>0</v>
      </c>
      <c r="AQ47" s="178">
        <f t="shared" si="30"/>
        <v>8365.1099999999988</v>
      </c>
      <c r="AR47" s="178">
        <f t="shared" si="30"/>
        <v>0</v>
      </c>
      <c r="AS47" s="179">
        <f t="shared" si="30"/>
        <v>5065.7550000000001</v>
      </c>
      <c r="AT47" s="178">
        <f t="shared" si="30"/>
        <v>0</v>
      </c>
      <c r="AU47" s="178">
        <f t="shared" si="30"/>
        <v>0</v>
      </c>
      <c r="AV47" s="178">
        <f t="shared" si="30"/>
        <v>0</v>
      </c>
      <c r="AW47" s="179">
        <f t="shared" si="30"/>
        <v>0</v>
      </c>
      <c r="AX47" s="178">
        <f t="shared" si="1"/>
        <v>0</v>
      </c>
      <c r="AY47" s="178">
        <f t="shared" si="1"/>
        <v>0</v>
      </c>
      <c r="AZ47" s="179">
        <f t="shared" si="1"/>
        <v>0</v>
      </c>
      <c r="BA47" s="184">
        <f t="shared" si="1"/>
        <v>0</v>
      </c>
      <c r="BB47" s="178">
        <f t="shared" si="1"/>
        <v>0</v>
      </c>
      <c r="BC47" s="184">
        <f t="shared" si="1"/>
        <v>0</v>
      </c>
      <c r="BD47" s="178">
        <f t="shared" si="1"/>
        <v>0</v>
      </c>
      <c r="BE47" s="251">
        <f t="shared" si="3"/>
        <v>3807</v>
      </c>
      <c r="BF47" s="252">
        <f t="shared" si="4"/>
        <v>2522490</v>
      </c>
      <c r="BH47" s="262">
        <f t="shared" ref="BH47:BH67" si="35">SUM(AO47)</f>
        <v>0</v>
      </c>
      <c r="BI47" s="262">
        <f t="shared" ref="BI47:BI67" si="36">SUM(AP47:AS47)</f>
        <v>13430.864999999998</v>
      </c>
      <c r="BJ47" s="262">
        <f t="shared" ref="BJ47:BJ67" si="37">SUM(AT47:AW47)</f>
        <v>0</v>
      </c>
      <c r="BK47" s="263">
        <f t="shared" ref="BK47:BK67" si="38">SUM(AX47:BB47)</f>
        <v>0</v>
      </c>
      <c r="BL47" s="269">
        <f t="shared" ref="BL47:BL67" si="39">SUM(BC47:BD47)</f>
        <v>0</v>
      </c>
      <c r="BM47" s="264">
        <f t="shared" si="5"/>
        <v>13430.864999999998</v>
      </c>
      <c r="BO47" s="732">
        <f t="shared" si="6"/>
        <v>5.3244472723380465</v>
      </c>
    </row>
    <row r="48" spans="2:67" ht="15" customHeight="1" x14ac:dyDescent="0.25">
      <c r="B48" s="156">
        <f t="shared" si="27"/>
        <v>6</v>
      </c>
      <c r="C48" s="180" t="s">
        <v>597</v>
      </c>
      <c r="D48" s="181" t="s">
        <v>601</v>
      </c>
      <c r="E48" s="210" t="s">
        <v>95</v>
      </c>
      <c r="G48" s="488">
        <v>0</v>
      </c>
      <c r="H48" s="490"/>
      <c r="I48" s="494">
        <v>6.4999999999999997E-3</v>
      </c>
      <c r="J48" s="471"/>
      <c r="K48" s="495">
        <v>4.1000000000000003E-3</v>
      </c>
      <c r="L48" s="471"/>
      <c r="M48" s="471"/>
      <c r="N48" s="471"/>
      <c r="O48" s="472"/>
      <c r="P48" s="494">
        <v>0</v>
      </c>
      <c r="Q48" s="471"/>
      <c r="R48" s="472"/>
      <c r="S48" s="490"/>
      <c r="T48" s="494">
        <v>0</v>
      </c>
      <c r="U48" s="490"/>
      <c r="V48" s="472"/>
      <c r="X48" s="183">
        <f>'Q (t)'!G48</f>
        <v>109865</v>
      </c>
      <c r="Y48" s="184">
        <f>'Q (t)'!H48</f>
        <v>0</v>
      </c>
      <c r="Z48" s="178">
        <f>'Q (t)'!I48</f>
        <v>79500</v>
      </c>
      <c r="AA48" s="178">
        <f>'Q (t)'!J48</f>
        <v>0</v>
      </c>
      <c r="AB48" s="179">
        <f>'Q (t)'!K48</f>
        <v>54000</v>
      </c>
      <c r="AC48" s="178">
        <f>'Q (t)'!L48</f>
        <v>0</v>
      </c>
      <c r="AD48" s="178">
        <f>'Q (t)'!M48</f>
        <v>0</v>
      </c>
      <c r="AE48" s="178">
        <f>'Q (t)'!N48</f>
        <v>0</v>
      </c>
      <c r="AF48" s="179">
        <f>'Q (t)'!O48</f>
        <v>0</v>
      </c>
      <c r="AG48" s="178">
        <f>'Q (t)'!P48</f>
        <v>3651331</v>
      </c>
      <c r="AH48" s="178">
        <f>'Q (t)'!Q48</f>
        <v>0</v>
      </c>
      <c r="AI48" s="179">
        <f>'Q (t)'!R48</f>
        <v>0</v>
      </c>
      <c r="AJ48" s="184">
        <f>'Q (t)'!S48</f>
        <v>0</v>
      </c>
      <c r="AK48" s="178">
        <f>'Q (t)'!T48</f>
        <v>30277845</v>
      </c>
      <c r="AL48" s="184">
        <f>'Q (t)'!U48</f>
        <v>0</v>
      </c>
      <c r="AM48" s="179">
        <f>'Q (t)'!V48</f>
        <v>0</v>
      </c>
      <c r="AO48" s="183">
        <f t="shared" si="2"/>
        <v>0</v>
      </c>
      <c r="AP48" s="184">
        <f t="shared" si="30"/>
        <v>0</v>
      </c>
      <c r="AQ48" s="178">
        <f>I48*Z48</f>
        <v>516.75</v>
      </c>
      <c r="AR48" s="178">
        <f t="shared" si="30"/>
        <v>0</v>
      </c>
      <c r="AS48" s="179">
        <f t="shared" si="30"/>
        <v>221.4</v>
      </c>
      <c r="AT48" s="178">
        <f t="shared" si="30"/>
        <v>0</v>
      </c>
      <c r="AU48" s="178">
        <f t="shared" si="30"/>
        <v>0</v>
      </c>
      <c r="AV48" s="178">
        <f t="shared" si="30"/>
        <v>0</v>
      </c>
      <c r="AW48" s="179">
        <f t="shared" si="30"/>
        <v>0</v>
      </c>
      <c r="AX48" s="178">
        <f t="shared" si="1"/>
        <v>0</v>
      </c>
      <c r="AY48" s="178">
        <f t="shared" si="1"/>
        <v>0</v>
      </c>
      <c r="AZ48" s="179">
        <f t="shared" si="1"/>
        <v>0</v>
      </c>
      <c r="BA48" s="184">
        <f t="shared" si="1"/>
        <v>0</v>
      </c>
      <c r="BB48" s="178">
        <f t="shared" si="1"/>
        <v>0</v>
      </c>
      <c r="BC48" s="184">
        <f t="shared" si="1"/>
        <v>0</v>
      </c>
      <c r="BD48" s="178">
        <f t="shared" si="1"/>
        <v>0</v>
      </c>
      <c r="BE48" s="251">
        <f t="shared" si="3"/>
        <v>301</v>
      </c>
      <c r="BF48" s="252">
        <f t="shared" si="4"/>
        <v>133500</v>
      </c>
      <c r="BH48" s="262">
        <f t="shared" si="35"/>
        <v>0</v>
      </c>
      <c r="BI48" s="262">
        <f t="shared" si="36"/>
        <v>738.15</v>
      </c>
      <c r="BJ48" s="262">
        <f t="shared" si="37"/>
        <v>0</v>
      </c>
      <c r="BK48" s="263">
        <f t="shared" si="38"/>
        <v>0</v>
      </c>
      <c r="BL48" s="269">
        <f t="shared" si="39"/>
        <v>0</v>
      </c>
      <c r="BM48" s="264">
        <f t="shared" si="5"/>
        <v>738.15</v>
      </c>
      <c r="BO48" s="732">
        <f t="shared" si="6"/>
        <v>5.5292134831460675</v>
      </c>
    </row>
    <row r="49" spans="2:67" ht="15" customHeight="1" x14ac:dyDescent="0.25">
      <c r="B49" s="156">
        <f t="shared" si="27"/>
        <v>7</v>
      </c>
      <c r="C49" s="180" t="s">
        <v>598</v>
      </c>
      <c r="D49" s="181" t="s">
        <v>602</v>
      </c>
      <c r="E49" s="210" t="s">
        <v>96</v>
      </c>
      <c r="G49" s="488"/>
      <c r="H49" s="490"/>
      <c r="I49" s="494"/>
      <c r="J49" s="471"/>
      <c r="K49" s="495"/>
      <c r="L49" s="471"/>
      <c r="M49" s="471"/>
      <c r="N49" s="471"/>
      <c r="O49" s="472"/>
      <c r="P49" s="471"/>
      <c r="Q49" s="471"/>
      <c r="R49" s="472"/>
      <c r="S49" s="490"/>
      <c r="T49" s="471"/>
      <c r="U49" s="490"/>
      <c r="V49" s="472"/>
      <c r="X49" s="183">
        <f>'Q (t)'!G49</f>
        <v>0</v>
      </c>
      <c r="Y49" s="184">
        <f>'Q (t)'!H49</f>
        <v>0</v>
      </c>
      <c r="Z49" s="178">
        <f>'Q (t)'!I49</f>
        <v>0</v>
      </c>
      <c r="AA49" s="178">
        <f>'Q (t)'!J49</f>
        <v>0</v>
      </c>
      <c r="AB49" s="179">
        <f>'Q (t)'!K49</f>
        <v>0</v>
      </c>
      <c r="AC49" s="178">
        <f>'Q (t)'!L49</f>
        <v>0</v>
      </c>
      <c r="AD49" s="178">
        <f>'Q (t)'!M49</f>
        <v>0</v>
      </c>
      <c r="AE49" s="178">
        <f>'Q (t)'!N49</f>
        <v>0</v>
      </c>
      <c r="AF49" s="179">
        <f>'Q (t)'!O49</f>
        <v>0</v>
      </c>
      <c r="AG49" s="178">
        <f>'Q (t)'!P49</f>
        <v>0</v>
      </c>
      <c r="AH49" s="178">
        <f>'Q (t)'!Q49</f>
        <v>0</v>
      </c>
      <c r="AI49" s="179">
        <f>'Q (t)'!R49</f>
        <v>0</v>
      </c>
      <c r="AJ49" s="184">
        <f>'Q (t)'!S49</f>
        <v>0</v>
      </c>
      <c r="AK49" s="178">
        <f>'Q (t)'!T49</f>
        <v>0</v>
      </c>
      <c r="AL49" s="184">
        <f>'Q (t)'!U49</f>
        <v>0</v>
      </c>
      <c r="AM49" s="179">
        <f>'Q (t)'!V49</f>
        <v>0</v>
      </c>
      <c r="AO49" s="183">
        <f t="shared" si="2"/>
        <v>0</v>
      </c>
      <c r="AP49" s="184">
        <f t="shared" si="30"/>
        <v>0</v>
      </c>
      <c r="AQ49" s="178">
        <f t="shared" si="30"/>
        <v>0</v>
      </c>
      <c r="AR49" s="178">
        <f t="shared" si="30"/>
        <v>0</v>
      </c>
      <c r="AS49" s="179">
        <f t="shared" si="30"/>
        <v>0</v>
      </c>
      <c r="AT49" s="178">
        <f t="shared" si="30"/>
        <v>0</v>
      </c>
      <c r="AU49" s="178">
        <f t="shared" si="30"/>
        <v>0</v>
      </c>
      <c r="AV49" s="178">
        <f t="shared" si="30"/>
        <v>0</v>
      </c>
      <c r="AW49" s="179">
        <f t="shared" si="30"/>
        <v>0</v>
      </c>
      <c r="AX49" s="178">
        <f t="shared" si="1"/>
        <v>0</v>
      </c>
      <c r="AY49" s="178">
        <f t="shared" si="1"/>
        <v>0</v>
      </c>
      <c r="AZ49" s="179">
        <f t="shared" si="1"/>
        <v>0</v>
      </c>
      <c r="BA49" s="184">
        <f t="shared" si="1"/>
        <v>0</v>
      </c>
      <c r="BB49" s="178">
        <f t="shared" si="1"/>
        <v>0</v>
      </c>
      <c r="BC49" s="184">
        <f t="shared" si="1"/>
        <v>0</v>
      </c>
      <c r="BD49" s="178">
        <f t="shared" si="1"/>
        <v>0</v>
      </c>
      <c r="BE49" s="251">
        <f t="shared" si="3"/>
        <v>0</v>
      </c>
      <c r="BF49" s="252">
        <f t="shared" si="4"/>
        <v>0</v>
      </c>
      <c r="BH49" s="262">
        <f t="shared" si="35"/>
        <v>0</v>
      </c>
      <c r="BI49" s="262">
        <f t="shared" si="36"/>
        <v>0</v>
      </c>
      <c r="BJ49" s="262">
        <f t="shared" si="37"/>
        <v>0</v>
      </c>
      <c r="BK49" s="263">
        <f t="shared" si="38"/>
        <v>0</v>
      </c>
      <c r="BL49" s="269">
        <f t="shared" si="39"/>
        <v>0</v>
      </c>
      <c r="BM49" s="264">
        <f t="shared" si="5"/>
        <v>0</v>
      </c>
      <c r="BO49" s="732" t="str">
        <f t="shared" si="6"/>
        <v/>
      </c>
    </row>
    <row r="50" spans="2:67" ht="15" customHeight="1" x14ac:dyDescent="0.25">
      <c r="B50" s="156">
        <f t="shared" si="27"/>
        <v>8</v>
      </c>
      <c r="C50" s="180" t="s">
        <v>97</v>
      </c>
      <c r="D50" s="181" t="s">
        <v>97</v>
      </c>
      <c r="E50" s="210" t="s">
        <v>98</v>
      </c>
      <c r="G50" s="488">
        <v>0</v>
      </c>
      <c r="H50" s="489">
        <v>5.1999999999999998E-3</v>
      </c>
      <c r="I50" s="471"/>
      <c r="J50" s="471"/>
      <c r="K50" s="472"/>
      <c r="L50" s="471"/>
      <c r="M50" s="471"/>
      <c r="N50" s="471"/>
      <c r="O50" s="472"/>
      <c r="P50" s="471"/>
      <c r="Q50" s="494">
        <v>0</v>
      </c>
      <c r="R50" s="495">
        <v>0</v>
      </c>
      <c r="S50" s="490"/>
      <c r="T50" s="471"/>
      <c r="U50" s="490"/>
      <c r="V50" s="472"/>
      <c r="X50" s="183">
        <f>'Q (t)'!G50</f>
        <v>79205</v>
      </c>
      <c r="Y50" s="184">
        <f>'Q (t)'!H50</f>
        <v>71000</v>
      </c>
      <c r="Z50" s="178">
        <f>'Q (t)'!I50</f>
        <v>0</v>
      </c>
      <c r="AA50" s="178">
        <f>'Q (t)'!J50</f>
        <v>0</v>
      </c>
      <c r="AB50" s="179">
        <f>'Q (t)'!K50</f>
        <v>0</v>
      </c>
      <c r="AC50" s="178">
        <f>'Q (t)'!L50</f>
        <v>0</v>
      </c>
      <c r="AD50" s="178">
        <f>'Q (t)'!M50</f>
        <v>0</v>
      </c>
      <c r="AE50" s="178">
        <f>'Q (t)'!N50</f>
        <v>0</v>
      </c>
      <c r="AF50" s="179">
        <f>'Q (t)'!O50</f>
        <v>0</v>
      </c>
      <c r="AG50" s="178">
        <f>'Q (t)'!P50</f>
        <v>0</v>
      </c>
      <c r="AH50" s="178">
        <f>'Q (t)'!Q50</f>
        <v>5382848</v>
      </c>
      <c r="AI50" s="179">
        <f>'Q (t)'!R50</f>
        <v>11592765</v>
      </c>
      <c r="AJ50" s="184">
        <f>'Q (t)'!S50</f>
        <v>0</v>
      </c>
      <c r="AK50" s="178">
        <f>'Q (t)'!T50</f>
        <v>0</v>
      </c>
      <c r="AL50" s="184">
        <f>'Q (t)'!U50</f>
        <v>0</v>
      </c>
      <c r="AM50" s="179">
        <f>'Q (t)'!V50</f>
        <v>0</v>
      </c>
      <c r="AO50" s="183">
        <f t="shared" si="2"/>
        <v>0</v>
      </c>
      <c r="AP50" s="184">
        <f t="shared" si="30"/>
        <v>369.2</v>
      </c>
      <c r="AQ50" s="178">
        <f t="shared" si="30"/>
        <v>0</v>
      </c>
      <c r="AR50" s="178">
        <f t="shared" si="30"/>
        <v>0</v>
      </c>
      <c r="AS50" s="179">
        <f t="shared" si="30"/>
        <v>0</v>
      </c>
      <c r="AT50" s="178">
        <f t="shared" si="30"/>
        <v>0</v>
      </c>
      <c r="AU50" s="178">
        <f t="shared" si="30"/>
        <v>0</v>
      </c>
      <c r="AV50" s="178">
        <f t="shared" si="30"/>
        <v>0</v>
      </c>
      <c r="AW50" s="179">
        <f t="shared" si="30"/>
        <v>0</v>
      </c>
      <c r="AX50" s="178">
        <f t="shared" si="1"/>
        <v>0</v>
      </c>
      <c r="AY50" s="178">
        <f t="shared" si="1"/>
        <v>0</v>
      </c>
      <c r="AZ50" s="179">
        <f t="shared" si="1"/>
        <v>0</v>
      </c>
      <c r="BA50" s="184">
        <f t="shared" si="1"/>
        <v>0</v>
      </c>
      <c r="BB50" s="178">
        <f t="shared" si="1"/>
        <v>0</v>
      </c>
      <c r="BC50" s="184">
        <f t="shared" si="1"/>
        <v>0</v>
      </c>
      <c r="BD50" s="178">
        <f t="shared" si="1"/>
        <v>0</v>
      </c>
      <c r="BE50" s="251">
        <f t="shared" si="3"/>
        <v>217</v>
      </c>
      <c r="BF50" s="252">
        <f t="shared" ref="BF50:BF77" si="40">SUM(Y50:AF50)</f>
        <v>71000</v>
      </c>
      <c r="BH50" s="262">
        <f t="shared" si="35"/>
        <v>0</v>
      </c>
      <c r="BI50" s="262">
        <f t="shared" si="36"/>
        <v>369.2</v>
      </c>
      <c r="BJ50" s="262">
        <f t="shared" si="37"/>
        <v>0</v>
      </c>
      <c r="BK50" s="263">
        <f t="shared" si="38"/>
        <v>0</v>
      </c>
      <c r="BL50" s="269">
        <f t="shared" si="39"/>
        <v>0</v>
      </c>
      <c r="BM50" s="264">
        <f t="shared" si="5"/>
        <v>369.2</v>
      </c>
      <c r="BO50" s="732">
        <f t="shared" si="6"/>
        <v>5.2</v>
      </c>
    </row>
    <row r="51" spans="2:67" ht="15" customHeight="1" x14ac:dyDescent="0.25">
      <c r="B51" s="156">
        <f t="shared" si="27"/>
        <v>9</v>
      </c>
      <c r="C51" s="180" t="s">
        <v>603</v>
      </c>
      <c r="D51" s="181" t="s">
        <v>604</v>
      </c>
      <c r="E51" s="210" t="s">
        <v>99</v>
      </c>
      <c r="G51" s="488">
        <v>0</v>
      </c>
      <c r="H51" s="490"/>
      <c r="I51" s="494">
        <v>0</v>
      </c>
      <c r="J51" s="471"/>
      <c r="K51" s="495">
        <v>0</v>
      </c>
      <c r="L51" s="471"/>
      <c r="M51" s="471"/>
      <c r="N51" s="471"/>
      <c r="O51" s="472"/>
      <c r="P51" s="471"/>
      <c r="Q51" s="471"/>
      <c r="R51" s="472"/>
      <c r="S51" s="489">
        <v>0</v>
      </c>
      <c r="T51" s="494">
        <v>0</v>
      </c>
      <c r="U51" s="490"/>
      <c r="V51" s="472"/>
      <c r="X51" s="183">
        <f>'Q (t)'!G51</f>
        <v>365</v>
      </c>
      <c r="Y51" s="184">
        <f>'Q (t)'!H51</f>
        <v>0</v>
      </c>
      <c r="Z51" s="178">
        <f>'Q (t)'!I51</f>
        <v>0</v>
      </c>
      <c r="AA51" s="178">
        <f>'Q (t)'!J51</f>
        <v>0</v>
      </c>
      <c r="AB51" s="179">
        <f>'Q (t)'!K51</f>
        <v>100</v>
      </c>
      <c r="AC51" s="178">
        <f>'Q (t)'!L51</f>
        <v>0</v>
      </c>
      <c r="AD51" s="178">
        <f>'Q (t)'!M51</f>
        <v>0</v>
      </c>
      <c r="AE51" s="178">
        <f>'Q (t)'!N51</f>
        <v>0</v>
      </c>
      <c r="AF51" s="179">
        <f>'Q (t)'!O51</f>
        <v>0</v>
      </c>
      <c r="AG51" s="178">
        <f>'Q (t)'!P51</f>
        <v>0</v>
      </c>
      <c r="AH51" s="178">
        <f>'Q (t)'!Q51</f>
        <v>0</v>
      </c>
      <c r="AI51" s="179">
        <f>'Q (t)'!R51</f>
        <v>0</v>
      </c>
      <c r="AJ51" s="184">
        <f>'Q (t)'!S51</f>
        <v>0</v>
      </c>
      <c r="AK51" s="178">
        <f>'Q (t)'!T51</f>
        <v>0</v>
      </c>
      <c r="AL51" s="184">
        <f>'Q (t)'!U51</f>
        <v>0</v>
      </c>
      <c r="AM51" s="179">
        <f>'Q (t)'!V51</f>
        <v>0</v>
      </c>
      <c r="AO51" s="183">
        <f t="shared" si="2"/>
        <v>0</v>
      </c>
      <c r="AP51" s="184">
        <f t="shared" si="30"/>
        <v>0</v>
      </c>
      <c r="AQ51" s="178">
        <f t="shared" si="30"/>
        <v>0</v>
      </c>
      <c r="AR51" s="178">
        <f t="shared" si="30"/>
        <v>0</v>
      </c>
      <c r="AS51" s="179">
        <f t="shared" si="30"/>
        <v>0</v>
      </c>
      <c r="AT51" s="178">
        <f t="shared" si="30"/>
        <v>0</v>
      </c>
      <c r="AU51" s="178">
        <f t="shared" si="30"/>
        <v>0</v>
      </c>
      <c r="AV51" s="178">
        <f t="shared" si="30"/>
        <v>0</v>
      </c>
      <c r="AW51" s="179">
        <f t="shared" si="30"/>
        <v>0</v>
      </c>
      <c r="AX51" s="178">
        <f t="shared" si="1"/>
        <v>0</v>
      </c>
      <c r="AY51" s="178">
        <f t="shared" si="1"/>
        <v>0</v>
      </c>
      <c r="AZ51" s="179">
        <f t="shared" si="1"/>
        <v>0</v>
      </c>
      <c r="BA51" s="184">
        <f t="shared" ref="BA51:BD111" si="41">S51*AJ51/1000</f>
        <v>0</v>
      </c>
      <c r="BB51" s="178">
        <f t="shared" si="41"/>
        <v>0</v>
      </c>
      <c r="BC51" s="184">
        <f t="shared" si="41"/>
        <v>0</v>
      </c>
      <c r="BD51" s="178">
        <f t="shared" si="41"/>
        <v>0</v>
      </c>
      <c r="BE51" s="251">
        <f t="shared" si="3"/>
        <v>1</v>
      </c>
      <c r="BF51" s="252">
        <f t="shared" si="40"/>
        <v>100</v>
      </c>
      <c r="BH51" s="262">
        <f t="shared" si="35"/>
        <v>0</v>
      </c>
      <c r="BI51" s="262">
        <f t="shared" si="36"/>
        <v>0</v>
      </c>
      <c r="BJ51" s="262">
        <f t="shared" si="37"/>
        <v>0</v>
      </c>
      <c r="BK51" s="263">
        <f t="shared" si="38"/>
        <v>0</v>
      </c>
      <c r="BL51" s="269">
        <f t="shared" si="39"/>
        <v>0</v>
      </c>
      <c r="BM51" s="264">
        <f t="shared" si="5"/>
        <v>0</v>
      </c>
      <c r="BO51" s="732">
        <f t="shared" si="6"/>
        <v>0</v>
      </c>
    </row>
    <row r="52" spans="2:67" ht="15" customHeight="1" x14ac:dyDescent="0.25">
      <c r="B52" s="156">
        <f t="shared" si="27"/>
        <v>10</v>
      </c>
      <c r="C52" s="211"/>
      <c r="D52" s="212"/>
      <c r="E52" s="217" t="s">
        <v>100</v>
      </c>
      <c r="G52" s="493"/>
      <c r="H52" s="490"/>
      <c r="I52" s="471"/>
      <c r="J52" s="471"/>
      <c r="K52" s="472"/>
      <c r="L52" s="471"/>
      <c r="M52" s="471"/>
      <c r="N52" s="471"/>
      <c r="O52" s="472"/>
      <c r="P52" s="471"/>
      <c r="Q52" s="471"/>
      <c r="R52" s="472"/>
      <c r="S52" s="490"/>
      <c r="T52" s="471"/>
      <c r="U52" s="490"/>
      <c r="V52" s="472"/>
      <c r="X52" s="183">
        <f>'Q (t)'!G52</f>
        <v>0</v>
      </c>
      <c r="Y52" s="184">
        <f>'Q (t)'!H52</f>
        <v>0</v>
      </c>
      <c r="Z52" s="178">
        <f>'Q (t)'!I52</f>
        <v>0</v>
      </c>
      <c r="AA52" s="178">
        <f>'Q (t)'!J52</f>
        <v>0</v>
      </c>
      <c r="AB52" s="179">
        <f>'Q (t)'!K52</f>
        <v>0</v>
      </c>
      <c r="AC52" s="178">
        <f>'Q (t)'!L52</f>
        <v>0</v>
      </c>
      <c r="AD52" s="178">
        <f>'Q (t)'!M52</f>
        <v>0</v>
      </c>
      <c r="AE52" s="178">
        <f>'Q (t)'!N52</f>
        <v>0</v>
      </c>
      <c r="AF52" s="179">
        <f>'Q (t)'!O52</f>
        <v>0</v>
      </c>
      <c r="AG52" s="178">
        <f>'Q (t)'!P52</f>
        <v>0</v>
      </c>
      <c r="AH52" s="178">
        <f>'Q (t)'!Q52</f>
        <v>0</v>
      </c>
      <c r="AI52" s="179">
        <f>'Q (t)'!R52</f>
        <v>0</v>
      </c>
      <c r="AJ52" s="184">
        <f>'Q (t)'!S52</f>
        <v>0</v>
      </c>
      <c r="AK52" s="178">
        <f>'Q (t)'!T52</f>
        <v>0</v>
      </c>
      <c r="AL52" s="184">
        <f>'Q (t)'!U52</f>
        <v>0</v>
      </c>
      <c r="AM52" s="179">
        <f>'Q (t)'!V52</f>
        <v>0</v>
      </c>
      <c r="AO52" s="183">
        <f t="shared" si="2"/>
        <v>0</v>
      </c>
      <c r="AP52" s="184">
        <f t="shared" si="30"/>
        <v>0</v>
      </c>
      <c r="AQ52" s="178">
        <f t="shared" si="30"/>
        <v>0</v>
      </c>
      <c r="AR52" s="178">
        <f t="shared" si="30"/>
        <v>0</v>
      </c>
      <c r="AS52" s="179">
        <f t="shared" si="30"/>
        <v>0</v>
      </c>
      <c r="AT52" s="178">
        <f t="shared" si="30"/>
        <v>0</v>
      </c>
      <c r="AU52" s="178">
        <f t="shared" si="30"/>
        <v>0</v>
      </c>
      <c r="AV52" s="178">
        <f t="shared" si="30"/>
        <v>0</v>
      </c>
      <c r="AW52" s="179">
        <f t="shared" si="30"/>
        <v>0</v>
      </c>
      <c r="AX52" s="178">
        <f t="shared" ref="AX52:BC112" si="42">P52*AG52/1000</f>
        <v>0</v>
      </c>
      <c r="AY52" s="178">
        <f t="shared" si="42"/>
        <v>0</v>
      </c>
      <c r="AZ52" s="179">
        <f t="shared" si="42"/>
        <v>0</v>
      </c>
      <c r="BA52" s="184">
        <f t="shared" si="41"/>
        <v>0</v>
      </c>
      <c r="BB52" s="178">
        <f t="shared" si="41"/>
        <v>0</v>
      </c>
      <c r="BC52" s="184">
        <f t="shared" si="41"/>
        <v>0</v>
      </c>
      <c r="BD52" s="178">
        <f t="shared" si="41"/>
        <v>0</v>
      </c>
      <c r="BE52" s="251">
        <f t="shared" si="3"/>
        <v>0</v>
      </c>
      <c r="BF52" s="252">
        <f t="shared" si="40"/>
        <v>0</v>
      </c>
      <c r="BH52" s="262">
        <f t="shared" si="35"/>
        <v>0</v>
      </c>
      <c r="BI52" s="262">
        <f t="shared" si="36"/>
        <v>0</v>
      </c>
      <c r="BJ52" s="262">
        <f t="shared" si="37"/>
        <v>0</v>
      </c>
      <c r="BK52" s="263">
        <f t="shared" si="38"/>
        <v>0</v>
      </c>
      <c r="BL52" s="269">
        <f t="shared" si="39"/>
        <v>0</v>
      </c>
      <c r="BM52" s="264">
        <f t="shared" si="5"/>
        <v>0</v>
      </c>
      <c r="BO52" s="732" t="str">
        <f t="shared" si="6"/>
        <v/>
      </c>
    </row>
    <row r="53" spans="2:67" ht="15" customHeight="1" x14ac:dyDescent="0.25">
      <c r="B53" s="156">
        <f t="shared" si="27"/>
        <v>11</v>
      </c>
      <c r="C53" s="180" t="s">
        <v>585</v>
      </c>
      <c r="D53" s="181"/>
      <c r="E53" s="210" t="s">
        <v>94</v>
      </c>
      <c r="G53" s="488">
        <f>('Cust Specific'!T10)</f>
        <v>0</v>
      </c>
      <c r="H53" s="490"/>
      <c r="I53" s="494">
        <f>'Cust Specific'!T13</f>
        <v>6.4999999999999997E-3</v>
      </c>
      <c r="J53" s="471"/>
      <c r="K53" s="495">
        <f>'Cust Specific'!T14</f>
        <v>4.1000000000000003E-3</v>
      </c>
      <c r="L53" s="471"/>
      <c r="M53" s="471"/>
      <c r="N53" s="471"/>
      <c r="O53" s="472"/>
      <c r="P53" s="471"/>
      <c r="Q53" s="471"/>
      <c r="R53" s="472"/>
      <c r="S53" s="489">
        <f>'Cust Specific'!T11</f>
        <v>0</v>
      </c>
      <c r="T53" s="494">
        <f>'Cust Specific'!T12</f>
        <v>0</v>
      </c>
      <c r="U53" s="491"/>
      <c r="V53" s="492"/>
      <c r="X53" s="183">
        <f>'Q (t)'!G53</f>
        <v>0</v>
      </c>
      <c r="Y53" s="184">
        <f>'Q (t)'!H53</f>
        <v>0</v>
      </c>
      <c r="Z53" s="178">
        <f>'Q (t)'!I53</f>
        <v>0</v>
      </c>
      <c r="AA53" s="178">
        <f>'Q (t)'!J53</f>
        <v>0</v>
      </c>
      <c r="AB53" s="179">
        <f>'Q (t)'!K53</f>
        <v>0</v>
      </c>
      <c r="AC53" s="178">
        <f>'Q (t)'!L53</f>
        <v>0</v>
      </c>
      <c r="AD53" s="178">
        <f>'Q (t)'!M53</f>
        <v>0</v>
      </c>
      <c r="AE53" s="178">
        <f>'Q (t)'!N53</f>
        <v>0</v>
      </c>
      <c r="AF53" s="179">
        <f>'Q (t)'!O53</f>
        <v>0</v>
      </c>
      <c r="AG53" s="178">
        <f>'Q (t)'!P53</f>
        <v>0</v>
      </c>
      <c r="AH53" s="178">
        <f>'Q (t)'!Q53</f>
        <v>0</v>
      </c>
      <c r="AI53" s="179">
        <f>'Q (t)'!R53</f>
        <v>0</v>
      </c>
      <c r="AJ53" s="184">
        <f>'Q (t)'!S53</f>
        <v>0</v>
      </c>
      <c r="AK53" s="178">
        <f>'Q (t)'!T53</f>
        <v>0</v>
      </c>
      <c r="AL53" s="184">
        <f>'Q (t)'!U53</f>
        <v>0</v>
      </c>
      <c r="AM53" s="179">
        <f>'Q (t)'!V53</f>
        <v>0</v>
      </c>
      <c r="AO53" s="183">
        <f t="shared" si="2"/>
        <v>0</v>
      </c>
      <c r="AP53" s="184">
        <f t="shared" si="30"/>
        <v>0</v>
      </c>
      <c r="AQ53" s="178">
        <f t="shared" si="30"/>
        <v>0</v>
      </c>
      <c r="AR53" s="178">
        <f t="shared" si="30"/>
        <v>0</v>
      </c>
      <c r="AS53" s="179">
        <f t="shared" si="30"/>
        <v>0</v>
      </c>
      <c r="AT53" s="178">
        <f t="shared" si="30"/>
        <v>0</v>
      </c>
      <c r="AU53" s="178">
        <f t="shared" si="30"/>
        <v>0</v>
      </c>
      <c r="AV53" s="178">
        <f t="shared" si="30"/>
        <v>0</v>
      </c>
      <c r="AW53" s="179">
        <f t="shared" si="30"/>
        <v>0</v>
      </c>
      <c r="AX53" s="178">
        <f t="shared" si="42"/>
        <v>0</v>
      </c>
      <c r="AY53" s="178">
        <f t="shared" si="42"/>
        <v>0</v>
      </c>
      <c r="AZ53" s="179">
        <f t="shared" si="42"/>
        <v>0</v>
      </c>
      <c r="BA53" s="184">
        <f t="shared" si="41"/>
        <v>0</v>
      </c>
      <c r="BB53" s="178">
        <f t="shared" si="41"/>
        <v>0</v>
      </c>
      <c r="BC53" s="184">
        <f t="shared" si="41"/>
        <v>0</v>
      </c>
      <c r="BD53" s="178">
        <f t="shared" si="41"/>
        <v>0</v>
      </c>
      <c r="BE53" s="251">
        <f t="shared" si="3"/>
        <v>0</v>
      </c>
      <c r="BF53" s="252">
        <f t="shared" si="40"/>
        <v>0</v>
      </c>
      <c r="BH53" s="262">
        <f t="shared" si="35"/>
        <v>0</v>
      </c>
      <c r="BI53" s="262">
        <f t="shared" si="36"/>
        <v>0</v>
      </c>
      <c r="BJ53" s="262">
        <f t="shared" si="37"/>
        <v>0</v>
      </c>
      <c r="BK53" s="263">
        <f t="shared" si="38"/>
        <v>0</v>
      </c>
      <c r="BL53" s="269">
        <f t="shared" si="39"/>
        <v>0</v>
      </c>
      <c r="BM53" s="264">
        <f t="shared" si="5"/>
        <v>0</v>
      </c>
      <c r="BO53" s="732" t="str">
        <f t="shared" si="6"/>
        <v/>
      </c>
    </row>
    <row r="54" spans="2:67" ht="15" customHeight="1" x14ac:dyDescent="0.25">
      <c r="B54" s="156">
        <f t="shared" si="27"/>
        <v>12</v>
      </c>
      <c r="C54" s="180" t="s">
        <v>586</v>
      </c>
      <c r="D54" s="181"/>
      <c r="E54" s="210" t="s">
        <v>94</v>
      </c>
      <c r="G54" s="488">
        <f>('Cust Specific'!T18)</f>
        <v>0</v>
      </c>
      <c r="H54" s="490"/>
      <c r="I54" s="494">
        <f>'Cust Specific'!T21</f>
        <v>6.4999999999999997E-3</v>
      </c>
      <c r="J54" s="471"/>
      <c r="K54" s="495">
        <f>'Cust Specific'!T22</f>
        <v>4.1000000000000003E-3</v>
      </c>
      <c r="L54" s="471"/>
      <c r="M54" s="471"/>
      <c r="N54" s="471"/>
      <c r="O54" s="472"/>
      <c r="P54" s="471"/>
      <c r="Q54" s="471"/>
      <c r="R54" s="472"/>
      <c r="S54" s="489">
        <f>'Cust Specific'!T19</f>
        <v>0</v>
      </c>
      <c r="T54" s="494">
        <f>'Cust Specific'!T20</f>
        <v>0</v>
      </c>
      <c r="U54" s="491"/>
      <c r="V54" s="492"/>
      <c r="X54" s="183">
        <f>'Q (t)'!G54</f>
        <v>0</v>
      </c>
      <c r="Y54" s="184">
        <f>'Q (t)'!H54</f>
        <v>0</v>
      </c>
      <c r="Z54" s="178">
        <f>'Q (t)'!I54</f>
        <v>0</v>
      </c>
      <c r="AA54" s="178">
        <f>'Q (t)'!J54</f>
        <v>0</v>
      </c>
      <c r="AB54" s="179">
        <f>'Q (t)'!K54</f>
        <v>0</v>
      </c>
      <c r="AC54" s="178">
        <f>'Q (t)'!L54</f>
        <v>0</v>
      </c>
      <c r="AD54" s="178">
        <f>'Q (t)'!M54</f>
        <v>0</v>
      </c>
      <c r="AE54" s="178">
        <f>'Q (t)'!N54</f>
        <v>0</v>
      </c>
      <c r="AF54" s="179">
        <f>'Q (t)'!O54</f>
        <v>0</v>
      </c>
      <c r="AG54" s="178">
        <f>'Q (t)'!P54</f>
        <v>0</v>
      </c>
      <c r="AH54" s="178">
        <f>'Q (t)'!Q54</f>
        <v>0</v>
      </c>
      <c r="AI54" s="179">
        <f>'Q (t)'!R54</f>
        <v>0</v>
      </c>
      <c r="AJ54" s="184">
        <f>'Q (t)'!S54</f>
        <v>0</v>
      </c>
      <c r="AK54" s="178">
        <f>'Q (t)'!T54</f>
        <v>0</v>
      </c>
      <c r="AL54" s="184">
        <f>'Q (t)'!U54</f>
        <v>0</v>
      </c>
      <c r="AM54" s="179">
        <f>'Q (t)'!V54</f>
        <v>0</v>
      </c>
      <c r="AO54" s="183">
        <f t="shared" si="2"/>
        <v>0</v>
      </c>
      <c r="AP54" s="184">
        <f t="shared" si="30"/>
        <v>0</v>
      </c>
      <c r="AQ54" s="178">
        <f t="shared" si="30"/>
        <v>0</v>
      </c>
      <c r="AR54" s="178">
        <f t="shared" si="30"/>
        <v>0</v>
      </c>
      <c r="AS54" s="179">
        <f t="shared" si="30"/>
        <v>0</v>
      </c>
      <c r="AT54" s="178">
        <f t="shared" si="30"/>
        <v>0</v>
      </c>
      <c r="AU54" s="178">
        <f t="shared" si="30"/>
        <v>0</v>
      </c>
      <c r="AV54" s="178">
        <f t="shared" si="30"/>
        <v>0</v>
      </c>
      <c r="AW54" s="179">
        <f t="shared" si="30"/>
        <v>0</v>
      </c>
      <c r="AX54" s="178">
        <f t="shared" si="42"/>
        <v>0</v>
      </c>
      <c r="AY54" s="178">
        <f t="shared" si="42"/>
        <v>0</v>
      </c>
      <c r="AZ54" s="179">
        <f t="shared" si="42"/>
        <v>0</v>
      </c>
      <c r="BA54" s="184">
        <f t="shared" si="41"/>
        <v>0</v>
      </c>
      <c r="BB54" s="178">
        <f t="shared" si="41"/>
        <v>0</v>
      </c>
      <c r="BC54" s="184">
        <f t="shared" si="41"/>
        <v>0</v>
      </c>
      <c r="BD54" s="178">
        <f t="shared" si="41"/>
        <v>0</v>
      </c>
      <c r="BE54" s="251">
        <f t="shared" si="3"/>
        <v>0</v>
      </c>
      <c r="BF54" s="252">
        <f t="shared" si="40"/>
        <v>0</v>
      </c>
      <c r="BH54" s="262">
        <f t="shared" si="35"/>
        <v>0</v>
      </c>
      <c r="BI54" s="262">
        <f t="shared" si="36"/>
        <v>0</v>
      </c>
      <c r="BJ54" s="262">
        <f t="shared" si="37"/>
        <v>0</v>
      </c>
      <c r="BK54" s="263">
        <f t="shared" si="38"/>
        <v>0</v>
      </c>
      <c r="BL54" s="269">
        <f t="shared" si="39"/>
        <v>0</v>
      </c>
      <c r="BM54" s="264">
        <f t="shared" si="5"/>
        <v>0</v>
      </c>
      <c r="BO54" s="732" t="str">
        <f t="shared" si="6"/>
        <v/>
      </c>
    </row>
    <row r="55" spans="2:67" ht="15" customHeight="1" x14ac:dyDescent="0.25">
      <c r="B55" s="156">
        <f t="shared" si="27"/>
        <v>13</v>
      </c>
      <c r="C55" s="180" t="s">
        <v>587</v>
      </c>
      <c r="D55" s="181"/>
      <c r="E55" s="210" t="s">
        <v>94</v>
      </c>
      <c r="G55" s="488">
        <f>('Cust Specific'!T26)</f>
        <v>0</v>
      </c>
      <c r="H55" s="490"/>
      <c r="I55" s="494">
        <f>'Cust Specific'!T29</f>
        <v>6.4999999999999997E-3</v>
      </c>
      <c r="J55" s="471"/>
      <c r="K55" s="495">
        <f>'Cust Specific'!T30</f>
        <v>4.1000000000000003E-3</v>
      </c>
      <c r="L55" s="471"/>
      <c r="M55" s="471"/>
      <c r="N55" s="471"/>
      <c r="O55" s="472"/>
      <c r="P55" s="471"/>
      <c r="Q55" s="471"/>
      <c r="R55" s="472"/>
      <c r="S55" s="489">
        <f>'Cust Specific'!T27</f>
        <v>0</v>
      </c>
      <c r="T55" s="494">
        <f>'Cust Specific'!T28</f>
        <v>0</v>
      </c>
      <c r="U55" s="491"/>
      <c r="V55" s="492"/>
      <c r="X55" s="183">
        <f>'Q (t)'!G55</f>
        <v>0</v>
      </c>
      <c r="Y55" s="184">
        <f>'Q (t)'!H55</f>
        <v>0</v>
      </c>
      <c r="Z55" s="178">
        <f>'Q (t)'!I55</f>
        <v>0</v>
      </c>
      <c r="AA55" s="178">
        <f>'Q (t)'!J55</f>
        <v>0</v>
      </c>
      <c r="AB55" s="179">
        <f>'Q (t)'!K55</f>
        <v>0</v>
      </c>
      <c r="AC55" s="178">
        <f>'Q (t)'!L55</f>
        <v>0</v>
      </c>
      <c r="AD55" s="178">
        <f>'Q (t)'!M55</f>
        <v>0</v>
      </c>
      <c r="AE55" s="178">
        <f>'Q (t)'!N55</f>
        <v>0</v>
      </c>
      <c r="AF55" s="179">
        <f>'Q (t)'!O55</f>
        <v>0</v>
      </c>
      <c r="AG55" s="178">
        <f>'Q (t)'!P55</f>
        <v>0</v>
      </c>
      <c r="AH55" s="178">
        <f>'Q (t)'!Q55</f>
        <v>0</v>
      </c>
      <c r="AI55" s="179">
        <f>'Q (t)'!R55</f>
        <v>0</v>
      </c>
      <c r="AJ55" s="184">
        <f>'Q (t)'!S55</f>
        <v>0</v>
      </c>
      <c r="AK55" s="178">
        <f>'Q (t)'!T55</f>
        <v>0</v>
      </c>
      <c r="AL55" s="184">
        <f>'Q (t)'!U55</f>
        <v>0</v>
      </c>
      <c r="AM55" s="179">
        <f>'Q (t)'!V55</f>
        <v>0</v>
      </c>
      <c r="AO55" s="183">
        <f t="shared" si="2"/>
        <v>0</v>
      </c>
      <c r="AP55" s="184">
        <f t="shared" si="30"/>
        <v>0</v>
      </c>
      <c r="AQ55" s="178">
        <f t="shared" si="30"/>
        <v>0</v>
      </c>
      <c r="AR55" s="178">
        <f t="shared" si="30"/>
        <v>0</v>
      </c>
      <c r="AS55" s="179">
        <f t="shared" si="30"/>
        <v>0</v>
      </c>
      <c r="AT55" s="178">
        <f t="shared" si="30"/>
        <v>0</v>
      </c>
      <c r="AU55" s="178">
        <f t="shared" si="30"/>
        <v>0</v>
      </c>
      <c r="AV55" s="178">
        <f t="shared" si="30"/>
        <v>0</v>
      </c>
      <c r="AW55" s="179">
        <f t="shared" si="30"/>
        <v>0</v>
      </c>
      <c r="AX55" s="178">
        <f t="shared" si="42"/>
        <v>0</v>
      </c>
      <c r="AY55" s="178">
        <f t="shared" si="42"/>
        <v>0</v>
      </c>
      <c r="AZ55" s="179">
        <f t="shared" si="42"/>
        <v>0</v>
      </c>
      <c r="BA55" s="184">
        <f t="shared" si="41"/>
        <v>0</v>
      </c>
      <c r="BB55" s="178">
        <f t="shared" si="41"/>
        <v>0</v>
      </c>
      <c r="BC55" s="184">
        <f t="shared" si="41"/>
        <v>0</v>
      </c>
      <c r="BD55" s="178">
        <f t="shared" si="41"/>
        <v>0</v>
      </c>
      <c r="BE55" s="251">
        <f t="shared" si="3"/>
        <v>0</v>
      </c>
      <c r="BF55" s="252">
        <f t="shared" si="40"/>
        <v>0</v>
      </c>
      <c r="BH55" s="262">
        <f t="shared" si="35"/>
        <v>0</v>
      </c>
      <c r="BI55" s="262">
        <f t="shared" si="36"/>
        <v>0</v>
      </c>
      <c r="BJ55" s="262">
        <f t="shared" si="37"/>
        <v>0</v>
      </c>
      <c r="BK55" s="263">
        <f t="shared" si="38"/>
        <v>0</v>
      </c>
      <c r="BL55" s="269">
        <f t="shared" si="39"/>
        <v>0</v>
      </c>
      <c r="BM55" s="264">
        <f t="shared" si="5"/>
        <v>0</v>
      </c>
      <c r="BO55" s="732" t="str">
        <f t="shared" si="6"/>
        <v/>
      </c>
    </row>
    <row r="56" spans="2:67" ht="15" customHeight="1" x14ac:dyDescent="0.25">
      <c r="B56" s="156">
        <f t="shared" si="27"/>
        <v>14</v>
      </c>
      <c r="C56" s="180" t="s">
        <v>589</v>
      </c>
      <c r="D56" s="181"/>
      <c r="E56" s="210" t="s">
        <v>94</v>
      </c>
      <c r="G56" s="488">
        <f>('Cust Specific'!T34)</f>
        <v>0</v>
      </c>
      <c r="H56" s="490"/>
      <c r="I56" s="494">
        <f>'Cust Specific'!T37</f>
        <v>6.4999999999999997E-3</v>
      </c>
      <c r="J56" s="471"/>
      <c r="K56" s="495">
        <f>'Cust Specific'!T38</f>
        <v>4.1000000000000003E-3</v>
      </c>
      <c r="L56" s="471"/>
      <c r="M56" s="471"/>
      <c r="N56" s="471"/>
      <c r="O56" s="472"/>
      <c r="P56" s="471"/>
      <c r="Q56" s="471"/>
      <c r="R56" s="472"/>
      <c r="S56" s="489">
        <f>'Cust Specific'!T35</f>
        <v>0</v>
      </c>
      <c r="T56" s="494">
        <f>'Cust Specific'!T36</f>
        <v>0</v>
      </c>
      <c r="U56" s="491"/>
      <c r="V56" s="492"/>
      <c r="X56" s="183">
        <f>'Q (t)'!G56</f>
        <v>0</v>
      </c>
      <c r="Y56" s="184">
        <f>'Q (t)'!H56</f>
        <v>0</v>
      </c>
      <c r="Z56" s="178">
        <f>'Q (t)'!I56</f>
        <v>0</v>
      </c>
      <c r="AA56" s="178">
        <f>'Q (t)'!J56</f>
        <v>0</v>
      </c>
      <c r="AB56" s="179">
        <f>'Q (t)'!K56</f>
        <v>0</v>
      </c>
      <c r="AC56" s="178">
        <f>'Q (t)'!L56</f>
        <v>0</v>
      </c>
      <c r="AD56" s="178">
        <f>'Q (t)'!M56</f>
        <v>0</v>
      </c>
      <c r="AE56" s="178">
        <f>'Q (t)'!N56</f>
        <v>0</v>
      </c>
      <c r="AF56" s="179">
        <f>'Q (t)'!O56</f>
        <v>0</v>
      </c>
      <c r="AG56" s="178">
        <f>'Q (t)'!P56</f>
        <v>0</v>
      </c>
      <c r="AH56" s="178">
        <f>'Q (t)'!Q56</f>
        <v>0</v>
      </c>
      <c r="AI56" s="179">
        <f>'Q (t)'!R56</f>
        <v>0</v>
      </c>
      <c r="AJ56" s="184">
        <f>'Q (t)'!S56</f>
        <v>0</v>
      </c>
      <c r="AK56" s="178">
        <f>'Q (t)'!T56</f>
        <v>0</v>
      </c>
      <c r="AL56" s="184">
        <f>'Q (t)'!U56</f>
        <v>0</v>
      </c>
      <c r="AM56" s="179">
        <f>'Q (t)'!V56</f>
        <v>0</v>
      </c>
      <c r="AO56" s="183">
        <f t="shared" si="2"/>
        <v>0</v>
      </c>
      <c r="AP56" s="184">
        <f t="shared" si="30"/>
        <v>0</v>
      </c>
      <c r="AQ56" s="178">
        <f t="shared" si="30"/>
        <v>0</v>
      </c>
      <c r="AR56" s="178">
        <f t="shared" si="30"/>
        <v>0</v>
      </c>
      <c r="AS56" s="179">
        <f t="shared" si="30"/>
        <v>0</v>
      </c>
      <c r="AT56" s="178">
        <f t="shared" si="30"/>
        <v>0</v>
      </c>
      <c r="AU56" s="178">
        <f t="shared" si="30"/>
        <v>0</v>
      </c>
      <c r="AV56" s="178">
        <f t="shared" si="30"/>
        <v>0</v>
      </c>
      <c r="AW56" s="179">
        <f t="shared" si="30"/>
        <v>0</v>
      </c>
      <c r="AX56" s="178">
        <f t="shared" si="42"/>
        <v>0</v>
      </c>
      <c r="AY56" s="178">
        <f t="shared" si="42"/>
        <v>0</v>
      </c>
      <c r="AZ56" s="179">
        <f t="shared" si="42"/>
        <v>0</v>
      </c>
      <c r="BA56" s="184">
        <f t="shared" si="41"/>
        <v>0</v>
      </c>
      <c r="BB56" s="178">
        <f t="shared" si="41"/>
        <v>0</v>
      </c>
      <c r="BC56" s="184">
        <f t="shared" si="41"/>
        <v>0</v>
      </c>
      <c r="BD56" s="178">
        <f t="shared" si="41"/>
        <v>0</v>
      </c>
      <c r="BE56" s="251">
        <f t="shared" si="3"/>
        <v>0</v>
      </c>
      <c r="BF56" s="252">
        <f t="shared" si="40"/>
        <v>0</v>
      </c>
      <c r="BH56" s="262">
        <f t="shared" si="35"/>
        <v>0</v>
      </c>
      <c r="BI56" s="262">
        <f t="shared" si="36"/>
        <v>0</v>
      </c>
      <c r="BJ56" s="262">
        <f t="shared" si="37"/>
        <v>0</v>
      </c>
      <c r="BK56" s="263">
        <f t="shared" si="38"/>
        <v>0</v>
      </c>
      <c r="BL56" s="269">
        <f t="shared" si="39"/>
        <v>0</v>
      </c>
      <c r="BM56" s="264">
        <f t="shared" si="5"/>
        <v>0</v>
      </c>
      <c r="BO56" s="732" t="str">
        <f t="shared" si="6"/>
        <v/>
      </c>
    </row>
    <row r="57" spans="2:67" ht="15" customHeight="1" x14ac:dyDescent="0.25">
      <c r="B57" s="156">
        <f t="shared" si="27"/>
        <v>15</v>
      </c>
      <c r="C57" s="180" t="s">
        <v>591</v>
      </c>
      <c r="D57" s="181"/>
      <c r="E57" s="210" t="s">
        <v>94</v>
      </c>
      <c r="G57" s="488">
        <f>('Cust Specific'!T42)</f>
        <v>0</v>
      </c>
      <c r="H57" s="490"/>
      <c r="I57" s="494">
        <f>'Cust Specific'!T45</f>
        <v>6.4999999999999997E-3</v>
      </c>
      <c r="J57" s="471"/>
      <c r="K57" s="495">
        <f>'Cust Specific'!T46</f>
        <v>4.1000000000000003E-3</v>
      </c>
      <c r="L57" s="471"/>
      <c r="M57" s="471"/>
      <c r="N57" s="471"/>
      <c r="O57" s="472"/>
      <c r="P57" s="471"/>
      <c r="Q57" s="471"/>
      <c r="R57" s="472"/>
      <c r="S57" s="489">
        <f>'Cust Specific'!T43</f>
        <v>0</v>
      </c>
      <c r="T57" s="494">
        <f>'Cust Specific'!T44</f>
        <v>0</v>
      </c>
      <c r="U57" s="491"/>
      <c r="V57" s="492"/>
      <c r="X57" s="183">
        <f>'Q (t)'!G57</f>
        <v>365</v>
      </c>
      <c r="Y57" s="184">
        <f>'Q (t)'!H57</f>
        <v>0</v>
      </c>
      <c r="Z57" s="178">
        <f>'Q (t)'!I57</f>
        <v>4140</v>
      </c>
      <c r="AA57" s="178">
        <f>'Q (t)'!J57</f>
        <v>0</v>
      </c>
      <c r="AB57" s="179">
        <f>'Q (t)'!K57</f>
        <v>5830</v>
      </c>
      <c r="AC57" s="178">
        <f>'Q (t)'!L57</f>
        <v>0</v>
      </c>
      <c r="AD57" s="178">
        <f>'Q (t)'!M57</f>
        <v>0</v>
      </c>
      <c r="AE57" s="178">
        <f>'Q (t)'!N57</f>
        <v>0</v>
      </c>
      <c r="AF57" s="179">
        <f>'Q (t)'!O57</f>
        <v>0</v>
      </c>
      <c r="AG57" s="178">
        <f>'Q (t)'!P57</f>
        <v>0</v>
      </c>
      <c r="AH57" s="178">
        <f>'Q (t)'!Q57</f>
        <v>0</v>
      </c>
      <c r="AI57" s="179">
        <f>'Q (t)'!R57</f>
        <v>0</v>
      </c>
      <c r="AJ57" s="184">
        <f>'Q (t)'!S57</f>
        <v>738395</v>
      </c>
      <c r="AK57" s="178">
        <f>'Q (t)'!T57</f>
        <v>911040</v>
      </c>
      <c r="AL57" s="184">
        <f>'Q (t)'!U57</f>
        <v>0</v>
      </c>
      <c r="AM57" s="179">
        <f>'Q (t)'!V57</f>
        <v>0</v>
      </c>
      <c r="AO57" s="183">
        <f t="shared" si="2"/>
        <v>0</v>
      </c>
      <c r="AP57" s="184">
        <f t="shared" si="30"/>
        <v>0</v>
      </c>
      <c r="AQ57" s="178">
        <f t="shared" si="30"/>
        <v>26.91</v>
      </c>
      <c r="AR57" s="178">
        <f t="shared" si="30"/>
        <v>0</v>
      </c>
      <c r="AS57" s="179">
        <f t="shared" si="30"/>
        <v>23.903000000000002</v>
      </c>
      <c r="AT57" s="178">
        <f t="shared" si="30"/>
        <v>0</v>
      </c>
      <c r="AU57" s="178">
        <f t="shared" si="30"/>
        <v>0</v>
      </c>
      <c r="AV57" s="178">
        <f t="shared" si="30"/>
        <v>0</v>
      </c>
      <c r="AW57" s="179">
        <f t="shared" si="30"/>
        <v>0</v>
      </c>
      <c r="AX57" s="178">
        <f t="shared" si="42"/>
        <v>0</v>
      </c>
      <c r="AY57" s="178">
        <f t="shared" si="42"/>
        <v>0</v>
      </c>
      <c r="AZ57" s="179">
        <f t="shared" si="42"/>
        <v>0</v>
      </c>
      <c r="BA57" s="184">
        <f t="shared" si="41"/>
        <v>0</v>
      </c>
      <c r="BB57" s="178">
        <f t="shared" si="41"/>
        <v>0</v>
      </c>
      <c r="BC57" s="184">
        <f t="shared" si="41"/>
        <v>0</v>
      </c>
      <c r="BD57" s="178">
        <f t="shared" si="41"/>
        <v>0</v>
      </c>
      <c r="BE57" s="251">
        <f t="shared" si="3"/>
        <v>1</v>
      </c>
      <c r="BF57" s="252">
        <f t="shared" si="40"/>
        <v>9970</v>
      </c>
      <c r="BH57" s="262">
        <f t="shared" si="35"/>
        <v>0</v>
      </c>
      <c r="BI57" s="262">
        <f t="shared" si="36"/>
        <v>50.813000000000002</v>
      </c>
      <c r="BJ57" s="262">
        <f t="shared" si="37"/>
        <v>0</v>
      </c>
      <c r="BK57" s="263">
        <f t="shared" si="38"/>
        <v>0</v>
      </c>
      <c r="BL57" s="269">
        <f t="shared" si="39"/>
        <v>0</v>
      </c>
      <c r="BM57" s="264">
        <f t="shared" si="5"/>
        <v>50.813000000000002</v>
      </c>
      <c r="BO57" s="732">
        <f t="shared" si="6"/>
        <v>5.0965897693079238</v>
      </c>
    </row>
    <row r="58" spans="2:67" ht="15" customHeight="1" x14ac:dyDescent="0.25">
      <c r="B58" s="156">
        <f t="shared" si="27"/>
        <v>16</v>
      </c>
      <c r="C58" s="180" t="s">
        <v>679</v>
      </c>
      <c r="D58" s="181"/>
      <c r="E58" s="210" t="s">
        <v>94</v>
      </c>
      <c r="G58" s="488">
        <f>('Cust Specific'!T50)</f>
        <v>0</v>
      </c>
      <c r="H58" s="490"/>
      <c r="I58" s="494">
        <f>'Cust Specific'!T53</f>
        <v>6.4999999999999997E-3</v>
      </c>
      <c r="J58" s="471"/>
      <c r="K58" s="495">
        <f>'Cust Specific'!T54</f>
        <v>4.1000000000000003E-3</v>
      </c>
      <c r="L58" s="471"/>
      <c r="M58" s="471"/>
      <c r="N58" s="471"/>
      <c r="O58" s="472"/>
      <c r="P58" s="471"/>
      <c r="Q58" s="471"/>
      <c r="R58" s="472"/>
      <c r="S58" s="489">
        <f>'Cust Specific'!T51</f>
        <v>0</v>
      </c>
      <c r="T58" s="494">
        <f>'Cust Specific'!T52</f>
        <v>0</v>
      </c>
      <c r="U58" s="491"/>
      <c r="V58" s="492"/>
      <c r="X58" s="183">
        <f>'Q (t)'!G58</f>
        <v>365</v>
      </c>
      <c r="Y58" s="184">
        <f>'Q (t)'!H58</f>
        <v>0</v>
      </c>
      <c r="Z58" s="178">
        <f>'Q (t)'!I58</f>
        <v>420</v>
      </c>
      <c r="AA58" s="178">
        <f>'Q (t)'!J58</f>
        <v>0</v>
      </c>
      <c r="AB58" s="179">
        <f>'Q (t)'!K58</f>
        <v>1020</v>
      </c>
      <c r="AC58" s="178">
        <f>'Q (t)'!L58</f>
        <v>0</v>
      </c>
      <c r="AD58" s="178">
        <f>'Q (t)'!M58</f>
        <v>0</v>
      </c>
      <c r="AE58" s="178">
        <f>'Q (t)'!N58</f>
        <v>0</v>
      </c>
      <c r="AF58" s="179">
        <f>'Q (t)'!O58</f>
        <v>0</v>
      </c>
      <c r="AG58" s="178">
        <f>'Q (t)'!P58</f>
        <v>0</v>
      </c>
      <c r="AH58" s="178">
        <f>'Q (t)'!Q58</f>
        <v>0</v>
      </c>
      <c r="AI58" s="179">
        <f>'Q (t)'!R58</f>
        <v>0</v>
      </c>
      <c r="AJ58" s="184">
        <f>'Q (t)'!S58</f>
        <v>287620</v>
      </c>
      <c r="AK58" s="178">
        <f>'Q (t)'!T58</f>
        <v>514650</v>
      </c>
      <c r="AL58" s="184">
        <f>'Q (t)'!U58</f>
        <v>0</v>
      </c>
      <c r="AM58" s="179">
        <f>'Q (t)'!V58</f>
        <v>0</v>
      </c>
      <c r="AO58" s="183">
        <f>G58*X58/1000</f>
        <v>0</v>
      </c>
      <c r="AP58" s="184">
        <f t="shared" ref="AP58:AW58" si="43">H58*Y58</f>
        <v>0</v>
      </c>
      <c r="AQ58" s="178">
        <f t="shared" si="43"/>
        <v>2.73</v>
      </c>
      <c r="AR58" s="178">
        <f t="shared" si="43"/>
        <v>0</v>
      </c>
      <c r="AS58" s="179">
        <f t="shared" si="43"/>
        <v>4.1820000000000004</v>
      </c>
      <c r="AT58" s="178">
        <f t="shared" si="43"/>
        <v>0</v>
      </c>
      <c r="AU58" s="178">
        <f t="shared" si="43"/>
        <v>0</v>
      </c>
      <c r="AV58" s="178">
        <f t="shared" si="43"/>
        <v>0</v>
      </c>
      <c r="AW58" s="179">
        <f t="shared" si="43"/>
        <v>0</v>
      </c>
      <c r="AX58" s="178">
        <f t="shared" ref="AX58:BD58" si="44">P58*AG58/1000</f>
        <v>0</v>
      </c>
      <c r="AY58" s="178">
        <f t="shared" si="44"/>
        <v>0</v>
      </c>
      <c r="AZ58" s="179">
        <f t="shared" si="44"/>
        <v>0</v>
      </c>
      <c r="BA58" s="184">
        <f t="shared" si="44"/>
        <v>0</v>
      </c>
      <c r="BB58" s="178">
        <f t="shared" si="44"/>
        <v>0</v>
      </c>
      <c r="BC58" s="184">
        <f t="shared" si="44"/>
        <v>0</v>
      </c>
      <c r="BD58" s="178">
        <f t="shared" si="44"/>
        <v>0</v>
      </c>
      <c r="BE58" s="251">
        <f>X58/$BE$7</f>
        <v>1</v>
      </c>
      <c r="BF58" s="252">
        <f>SUM(Y58:AF58)</f>
        <v>1440</v>
      </c>
      <c r="BH58" s="262">
        <f>SUM(AO58)</f>
        <v>0</v>
      </c>
      <c r="BI58" s="262">
        <f>SUM(AP58:AS58)</f>
        <v>6.9120000000000008</v>
      </c>
      <c r="BJ58" s="262">
        <f>SUM(AT58:AW58)</f>
        <v>0</v>
      </c>
      <c r="BK58" s="263">
        <f>SUM(AX58:BB58)</f>
        <v>0</v>
      </c>
      <c r="BL58" s="269">
        <f>SUM(BC58:BD58)</f>
        <v>0</v>
      </c>
      <c r="BM58" s="264">
        <f>SUM(BH58:BL58)</f>
        <v>6.9120000000000008</v>
      </c>
      <c r="BO58" s="732">
        <f>IF(BF58=0,"",BM58*1000/BF58)</f>
        <v>4.8000000000000007</v>
      </c>
    </row>
    <row r="59" spans="2:67" ht="15" customHeight="1" x14ac:dyDescent="0.25">
      <c r="B59" s="156">
        <f t="shared" si="27"/>
        <v>17</v>
      </c>
      <c r="C59" s="180" t="s">
        <v>590</v>
      </c>
      <c r="D59" s="181"/>
      <c r="E59" s="210" t="s">
        <v>94</v>
      </c>
      <c r="G59" s="488">
        <f>('Cust Specific'!T58)</f>
        <v>0</v>
      </c>
      <c r="H59" s="490"/>
      <c r="I59" s="494">
        <f>'Cust Specific'!T61</f>
        <v>6.4999999999999997E-3</v>
      </c>
      <c r="J59" s="471"/>
      <c r="K59" s="495">
        <f>'Cust Specific'!T62</f>
        <v>4.1000000000000003E-3</v>
      </c>
      <c r="L59" s="471"/>
      <c r="M59" s="471"/>
      <c r="N59" s="471"/>
      <c r="O59" s="472"/>
      <c r="P59" s="471"/>
      <c r="Q59" s="471"/>
      <c r="R59" s="472"/>
      <c r="S59" s="489">
        <f>'Cust Specific'!T59</f>
        <v>0</v>
      </c>
      <c r="T59" s="494">
        <f>'Cust Specific'!T60</f>
        <v>0</v>
      </c>
      <c r="U59" s="491"/>
      <c r="V59" s="492"/>
      <c r="X59" s="183">
        <f>'Q (t)'!G59</f>
        <v>0</v>
      </c>
      <c r="Y59" s="184">
        <f>'Q (t)'!H59</f>
        <v>0</v>
      </c>
      <c r="Z59" s="178">
        <f>'Q (t)'!I59</f>
        <v>0</v>
      </c>
      <c r="AA59" s="178">
        <f>'Q (t)'!J59</f>
        <v>0</v>
      </c>
      <c r="AB59" s="179">
        <f>'Q (t)'!K59</f>
        <v>0</v>
      </c>
      <c r="AC59" s="178">
        <f>'Q (t)'!L59</f>
        <v>0</v>
      </c>
      <c r="AD59" s="178">
        <f>'Q (t)'!M59</f>
        <v>0</v>
      </c>
      <c r="AE59" s="178">
        <f>'Q (t)'!N59</f>
        <v>0</v>
      </c>
      <c r="AF59" s="179">
        <f>'Q (t)'!O59</f>
        <v>0</v>
      </c>
      <c r="AG59" s="178">
        <f>'Q (t)'!P59</f>
        <v>0</v>
      </c>
      <c r="AH59" s="178">
        <f>'Q (t)'!Q59</f>
        <v>0</v>
      </c>
      <c r="AI59" s="179">
        <f>'Q (t)'!R59</f>
        <v>0</v>
      </c>
      <c r="AJ59" s="184">
        <f>'Q (t)'!S59</f>
        <v>0</v>
      </c>
      <c r="AK59" s="178">
        <f>'Q (t)'!T59</f>
        <v>0</v>
      </c>
      <c r="AL59" s="184">
        <f>'Q (t)'!U59</f>
        <v>0</v>
      </c>
      <c r="AM59" s="179">
        <f>'Q (t)'!V59</f>
        <v>0</v>
      </c>
      <c r="AO59" s="183">
        <f t="shared" si="2"/>
        <v>0</v>
      </c>
      <c r="AP59" s="184">
        <f t="shared" si="30"/>
        <v>0</v>
      </c>
      <c r="AQ59" s="178">
        <f t="shared" si="30"/>
        <v>0</v>
      </c>
      <c r="AR59" s="178">
        <f t="shared" si="30"/>
        <v>0</v>
      </c>
      <c r="AS59" s="179">
        <f t="shared" si="30"/>
        <v>0</v>
      </c>
      <c r="AT59" s="178">
        <f t="shared" si="30"/>
        <v>0</v>
      </c>
      <c r="AU59" s="178">
        <f t="shared" si="30"/>
        <v>0</v>
      </c>
      <c r="AV59" s="178">
        <f t="shared" si="30"/>
        <v>0</v>
      </c>
      <c r="AW59" s="179">
        <f t="shared" si="30"/>
        <v>0</v>
      </c>
      <c r="AX59" s="178">
        <f t="shared" si="42"/>
        <v>0</v>
      </c>
      <c r="AY59" s="178">
        <f t="shared" si="42"/>
        <v>0</v>
      </c>
      <c r="AZ59" s="179">
        <f t="shared" si="42"/>
        <v>0</v>
      </c>
      <c r="BA59" s="184">
        <f t="shared" si="41"/>
        <v>0</v>
      </c>
      <c r="BB59" s="178">
        <f t="shared" si="41"/>
        <v>0</v>
      </c>
      <c r="BC59" s="184">
        <f t="shared" si="41"/>
        <v>0</v>
      </c>
      <c r="BD59" s="178">
        <f t="shared" si="41"/>
        <v>0</v>
      </c>
      <c r="BE59" s="251">
        <f t="shared" si="3"/>
        <v>0</v>
      </c>
      <c r="BF59" s="252">
        <f t="shared" si="40"/>
        <v>0</v>
      </c>
      <c r="BH59" s="262">
        <f t="shared" si="35"/>
        <v>0</v>
      </c>
      <c r="BI59" s="262">
        <f t="shared" si="36"/>
        <v>0</v>
      </c>
      <c r="BJ59" s="262">
        <f t="shared" si="37"/>
        <v>0</v>
      </c>
      <c r="BK59" s="263">
        <f t="shared" si="38"/>
        <v>0</v>
      </c>
      <c r="BL59" s="269">
        <f t="shared" si="39"/>
        <v>0</v>
      </c>
      <c r="BM59" s="264">
        <f t="shared" si="5"/>
        <v>0</v>
      </c>
      <c r="BO59" s="732" t="str">
        <f t="shared" si="6"/>
        <v/>
      </c>
    </row>
    <row r="60" spans="2:67" ht="15" customHeight="1" x14ac:dyDescent="0.25">
      <c r="B60" s="156">
        <f t="shared" si="27"/>
        <v>18</v>
      </c>
      <c r="C60" s="180" t="s">
        <v>592</v>
      </c>
      <c r="D60" s="181"/>
      <c r="E60" s="210" t="s">
        <v>94</v>
      </c>
      <c r="G60" s="488">
        <f>('Cust Specific'!T66)</f>
        <v>0</v>
      </c>
      <c r="H60" s="490"/>
      <c r="I60" s="494">
        <f>'Cust Specific'!T69</f>
        <v>6.4999999999999997E-3</v>
      </c>
      <c r="J60" s="471"/>
      <c r="K60" s="495">
        <f>'Cust Specific'!T70</f>
        <v>4.1000000000000003E-3</v>
      </c>
      <c r="L60" s="471"/>
      <c r="M60" s="471"/>
      <c r="N60" s="471"/>
      <c r="O60" s="472"/>
      <c r="P60" s="471"/>
      <c r="Q60" s="471"/>
      <c r="R60" s="472"/>
      <c r="S60" s="489">
        <f>'Cust Specific'!T67</f>
        <v>0</v>
      </c>
      <c r="T60" s="494">
        <f>'Cust Specific'!T68</f>
        <v>0</v>
      </c>
      <c r="U60" s="491"/>
      <c r="V60" s="492"/>
      <c r="X60" s="183">
        <f>'Q (t)'!G60</f>
        <v>0</v>
      </c>
      <c r="Y60" s="184">
        <f>'Q (t)'!H60</f>
        <v>0</v>
      </c>
      <c r="Z60" s="178">
        <f>'Q (t)'!I60</f>
        <v>0</v>
      </c>
      <c r="AA60" s="178">
        <f>'Q (t)'!J60</f>
        <v>0</v>
      </c>
      <c r="AB60" s="179">
        <f>'Q (t)'!K60</f>
        <v>0</v>
      </c>
      <c r="AC60" s="178">
        <f>'Q (t)'!L60</f>
        <v>0</v>
      </c>
      <c r="AD60" s="178">
        <f>'Q (t)'!M60</f>
        <v>0</v>
      </c>
      <c r="AE60" s="178">
        <f>'Q (t)'!N60</f>
        <v>0</v>
      </c>
      <c r="AF60" s="179">
        <f>'Q (t)'!O60</f>
        <v>0</v>
      </c>
      <c r="AG60" s="178">
        <f>'Q (t)'!P60</f>
        <v>0</v>
      </c>
      <c r="AH60" s="178">
        <f>'Q (t)'!Q60</f>
        <v>0</v>
      </c>
      <c r="AI60" s="179">
        <f>'Q (t)'!R60</f>
        <v>0</v>
      </c>
      <c r="AJ60" s="184">
        <f>'Q (t)'!S60</f>
        <v>0</v>
      </c>
      <c r="AK60" s="178">
        <f>'Q (t)'!T60</f>
        <v>0</v>
      </c>
      <c r="AL60" s="184">
        <f>'Q (t)'!U60</f>
        <v>0</v>
      </c>
      <c r="AM60" s="179">
        <f>'Q (t)'!V60</f>
        <v>0</v>
      </c>
      <c r="AO60" s="183">
        <f t="shared" si="2"/>
        <v>0</v>
      </c>
      <c r="AP60" s="184">
        <f t="shared" si="30"/>
        <v>0</v>
      </c>
      <c r="AQ60" s="178">
        <f t="shared" si="30"/>
        <v>0</v>
      </c>
      <c r="AR60" s="178">
        <f t="shared" si="30"/>
        <v>0</v>
      </c>
      <c r="AS60" s="179">
        <f t="shared" si="30"/>
        <v>0</v>
      </c>
      <c r="AT60" s="178">
        <f t="shared" si="30"/>
        <v>0</v>
      </c>
      <c r="AU60" s="178">
        <f t="shared" si="30"/>
        <v>0</v>
      </c>
      <c r="AV60" s="178">
        <f t="shared" si="30"/>
        <v>0</v>
      </c>
      <c r="AW60" s="179">
        <f t="shared" si="30"/>
        <v>0</v>
      </c>
      <c r="AX60" s="178">
        <f t="shared" si="42"/>
        <v>0</v>
      </c>
      <c r="AY60" s="178">
        <f t="shared" si="42"/>
        <v>0</v>
      </c>
      <c r="AZ60" s="179">
        <f t="shared" si="42"/>
        <v>0</v>
      </c>
      <c r="BA60" s="184">
        <f t="shared" si="41"/>
        <v>0</v>
      </c>
      <c r="BB60" s="178">
        <f t="shared" si="41"/>
        <v>0</v>
      </c>
      <c r="BC60" s="184">
        <f t="shared" si="41"/>
        <v>0</v>
      </c>
      <c r="BD60" s="178">
        <f t="shared" si="41"/>
        <v>0</v>
      </c>
      <c r="BE60" s="251">
        <f t="shared" si="3"/>
        <v>0</v>
      </c>
      <c r="BF60" s="252">
        <f t="shared" si="40"/>
        <v>0</v>
      </c>
      <c r="BH60" s="262">
        <f t="shared" si="35"/>
        <v>0</v>
      </c>
      <c r="BI60" s="262">
        <f t="shared" si="36"/>
        <v>0</v>
      </c>
      <c r="BJ60" s="262">
        <f t="shared" si="37"/>
        <v>0</v>
      </c>
      <c r="BK60" s="263">
        <f t="shared" si="38"/>
        <v>0</v>
      </c>
      <c r="BL60" s="269">
        <f t="shared" si="39"/>
        <v>0</v>
      </c>
      <c r="BM60" s="264">
        <f t="shared" si="5"/>
        <v>0</v>
      </c>
      <c r="BO60" s="732" t="str">
        <f t="shared" si="6"/>
        <v/>
      </c>
    </row>
    <row r="61" spans="2:67" ht="15" customHeight="1" x14ac:dyDescent="0.25">
      <c r="B61" s="156">
        <f t="shared" si="27"/>
        <v>19</v>
      </c>
      <c r="C61" s="180" t="s">
        <v>593</v>
      </c>
      <c r="D61" s="181"/>
      <c r="E61" s="210" t="s">
        <v>94</v>
      </c>
      <c r="G61" s="488">
        <f>('Cust Specific'!T74)</f>
        <v>0</v>
      </c>
      <c r="H61" s="490"/>
      <c r="I61" s="494">
        <f>'Cust Specific'!T77</f>
        <v>6.4999999999999997E-3</v>
      </c>
      <c r="J61" s="471"/>
      <c r="K61" s="495">
        <f>'Cust Specific'!T78</f>
        <v>4.1000000000000003E-3</v>
      </c>
      <c r="L61" s="471"/>
      <c r="M61" s="471"/>
      <c r="N61" s="471"/>
      <c r="O61" s="472"/>
      <c r="P61" s="471"/>
      <c r="Q61" s="471"/>
      <c r="R61" s="472"/>
      <c r="S61" s="489">
        <f>'Cust Specific'!T75</f>
        <v>0</v>
      </c>
      <c r="T61" s="494">
        <f>'Cust Specific'!T76</f>
        <v>0</v>
      </c>
      <c r="U61" s="491"/>
      <c r="V61" s="492"/>
      <c r="X61" s="183">
        <f>'Q (t)'!G61</f>
        <v>0</v>
      </c>
      <c r="Y61" s="184">
        <f>'Q (t)'!H61</f>
        <v>0</v>
      </c>
      <c r="Z61" s="178">
        <f>'Q (t)'!I61</f>
        <v>0</v>
      </c>
      <c r="AA61" s="178">
        <f>'Q (t)'!J61</f>
        <v>0</v>
      </c>
      <c r="AB61" s="179">
        <f>'Q (t)'!K61</f>
        <v>0</v>
      </c>
      <c r="AC61" s="178">
        <f>'Q (t)'!L61</f>
        <v>0</v>
      </c>
      <c r="AD61" s="178">
        <f>'Q (t)'!M61</f>
        <v>0</v>
      </c>
      <c r="AE61" s="178">
        <f>'Q (t)'!N61</f>
        <v>0</v>
      </c>
      <c r="AF61" s="179">
        <f>'Q (t)'!O61</f>
        <v>0</v>
      </c>
      <c r="AG61" s="178">
        <f>'Q (t)'!P61</f>
        <v>0</v>
      </c>
      <c r="AH61" s="178">
        <f>'Q (t)'!Q61</f>
        <v>0</v>
      </c>
      <c r="AI61" s="179">
        <f>'Q (t)'!R61</f>
        <v>0</v>
      </c>
      <c r="AJ61" s="184">
        <f>'Q (t)'!S61</f>
        <v>0</v>
      </c>
      <c r="AK61" s="178">
        <f>'Q (t)'!T61</f>
        <v>0</v>
      </c>
      <c r="AL61" s="184">
        <f>'Q (t)'!U61</f>
        <v>0</v>
      </c>
      <c r="AM61" s="179">
        <f>'Q (t)'!V61</f>
        <v>0</v>
      </c>
      <c r="AO61" s="183">
        <f t="shared" si="2"/>
        <v>0</v>
      </c>
      <c r="AP61" s="184">
        <f t="shared" si="30"/>
        <v>0</v>
      </c>
      <c r="AQ61" s="178">
        <f t="shared" si="30"/>
        <v>0</v>
      </c>
      <c r="AR61" s="178">
        <f t="shared" si="30"/>
        <v>0</v>
      </c>
      <c r="AS61" s="179">
        <f t="shared" si="30"/>
        <v>0</v>
      </c>
      <c r="AT61" s="178">
        <f t="shared" si="30"/>
        <v>0</v>
      </c>
      <c r="AU61" s="178">
        <f t="shared" si="30"/>
        <v>0</v>
      </c>
      <c r="AV61" s="178">
        <f t="shared" si="30"/>
        <v>0</v>
      </c>
      <c r="AW61" s="179">
        <f t="shared" si="30"/>
        <v>0</v>
      </c>
      <c r="AX61" s="178">
        <f t="shared" si="42"/>
        <v>0</v>
      </c>
      <c r="AY61" s="178">
        <f t="shared" si="42"/>
        <v>0</v>
      </c>
      <c r="AZ61" s="179">
        <f t="shared" si="42"/>
        <v>0</v>
      </c>
      <c r="BA61" s="184">
        <f t="shared" si="41"/>
        <v>0</v>
      </c>
      <c r="BB61" s="178">
        <f t="shared" si="41"/>
        <v>0</v>
      </c>
      <c r="BC61" s="184">
        <f t="shared" si="41"/>
        <v>0</v>
      </c>
      <c r="BD61" s="178">
        <f t="shared" si="41"/>
        <v>0</v>
      </c>
      <c r="BE61" s="251">
        <f t="shared" si="3"/>
        <v>0</v>
      </c>
      <c r="BF61" s="252">
        <f t="shared" si="40"/>
        <v>0</v>
      </c>
      <c r="BH61" s="262">
        <f t="shared" si="35"/>
        <v>0</v>
      </c>
      <c r="BI61" s="262">
        <f t="shared" si="36"/>
        <v>0</v>
      </c>
      <c r="BJ61" s="262">
        <f t="shared" si="37"/>
        <v>0</v>
      </c>
      <c r="BK61" s="263">
        <f t="shared" si="38"/>
        <v>0</v>
      </c>
      <c r="BL61" s="269">
        <f t="shared" si="39"/>
        <v>0</v>
      </c>
      <c r="BM61" s="264">
        <f t="shared" si="5"/>
        <v>0</v>
      </c>
      <c r="BO61" s="732" t="str">
        <f t="shared" si="6"/>
        <v/>
      </c>
    </row>
    <row r="62" spans="2:67" ht="15" customHeight="1" x14ac:dyDescent="0.25">
      <c r="B62" s="156">
        <f t="shared" si="27"/>
        <v>20</v>
      </c>
      <c r="C62" s="180" t="s">
        <v>594</v>
      </c>
      <c r="D62" s="181"/>
      <c r="E62" s="210" t="s">
        <v>94</v>
      </c>
      <c r="G62" s="488">
        <f>('Cust Specific'!T82)</f>
        <v>0</v>
      </c>
      <c r="H62" s="490"/>
      <c r="I62" s="494">
        <f>'Cust Specific'!T85</f>
        <v>6.4999999999999997E-3</v>
      </c>
      <c r="J62" s="471"/>
      <c r="K62" s="495">
        <f>'Cust Specific'!T86</f>
        <v>4.1000000000000003E-3</v>
      </c>
      <c r="L62" s="471"/>
      <c r="M62" s="471"/>
      <c r="N62" s="471"/>
      <c r="O62" s="472"/>
      <c r="P62" s="471"/>
      <c r="Q62" s="471"/>
      <c r="R62" s="472"/>
      <c r="S62" s="489">
        <f>'Cust Specific'!T83</f>
        <v>0</v>
      </c>
      <c r="T62" s="494">
        <f>'Cust Specific'!T84</f>
        <v>0</v>
      </c>
      <c r="U62" s="491"/>
      <c r="V62" s="492"/>
      <c r="X62" s="183">
        <f>'Q (t)'!G62</f>
        <v>0</v>
      </c>
      <c r="Y62" s="184">
        <f>'Q (t)'!H62</f>
        <v>0</v>
      </c>
      <c r="Z62" s="178">
        <f>'Q (t)'!I62</f>
        <v>0</v>
      </c>
      <c r="AA62" s="178">
        <f>'Q (t)'!J62</f>
        <v>0</v>
      </c>
      <c r="AB62" s="179">
        <f>'Q (t)'!K62</f>
        <v>0</v>
      </c>
      <c r="AC62" s="178">
        <f>'Q (t)'!L62</f>
        <v>0</v>
      </c>
      <c r="AD62" s="178">
        <f>'Q (t)'!M62</f>
        <v>0</v>
      </c>
      <c r="AE62" s="178">
        <f>'Q (t)'!N62</f>
        <v>0</v>
      </c>
      <c r="AF62" s="179">
        <f>'Q (t)'!O62</f>
        <v>0</v>
      </c>
      <c r="AG62" s="178">
        <f>'Q (t)'!P62</f>
        <v>0</v>
      </c>
      <c r="AH62" s="178">
        <f>'Q (t)'!Q62</f>
        <v>0</v>
      </c>
      <c r="AI62" s="179">
        <f>'Q (t)'!R62</f>
        <v>0</v>
      </c>
      <c r="AJ62" s="184">
        <f>'Q (t)'!S62</f>
        <v>0</v>
      </c>
      <c r="AK62" s="178">
        <f>'Q (t)'!T62</f>
        <v>0</v>
      </c>
      <c r="AL62" s="184">
        <f>'Q (t)'!U62</f>
        <v>0</v>
      </c>
      <c r="AM62" s="179">
        <f>'Q (t)'!V62</f>
        <v>0</v>
      </c>
      <c r="AO62" s="183">
        <f t="shared" si="2"/>
        <v>0</v>
      </c>
      <c r="AP62" s="184">
        <f t="shared" si="30"/>
        <v>0</v>
      </c>
      <c r="AQ62" s="178">
        <f t="shared" si="30"/>
        <v>0</v>
      </c>
      <c r="AR62" s="178">
        <f t="shared" si="30"/>
        <v>0</v>
      </c>
      <c r="AS62" s="179">
        <f t="shared" si="30"/>
        <v>0</v>
      </c>
      <c r="AT62" s="178">
        <f t="shared" si="30"/>
        <v>0</v>
      </c>
      <c r="AU62" s="178">
        <f t="shared" si="30"/>
        <v>0</v>
      </c>
      <c r="AV62" s="178">
        <f t="shared" si="30"/>
        <v>0</v>
      </c>
      <c r="AW62" s="179">
        <f t="shared" si="30"/>
        <v>0</v>
      </c>
      <c r="AX62" s="178">
        <f t="shared" si="42"/>
        <v>0</v>
      </c>
      <c r="AY62" s="178">
        <f t="shared" si="42"/>
        <v>0</v>
      </c>
      <c r="AZ62" s="179">
        <f t="shared" si="42"/>
        <v>0</v>
      </c>
      <c r="BA62" s="184">
        <f t="shared" si="41"/>
        <v>0</v>
      </c>
      <c r="BB62" s="178">
        <f t="shared" si="41"/>
        <v>0</v>
      </c>
      <c r="BC62" s="184">
        <f t="shared" si="41"/>
        <v>0</v>
      </c>
      <c r="BD62" s="178">
        <f t="shared" si="41"/>
        <v>0</v>
      </c>
      <c r="BE62" s="251">
        <f t="shared" si="3"/>
        <v>0</v>
      </c>
      <c r="BF62" s="252">
        <f t="shared" si="40"/>
        <v>0</v>
      </c>
      <c r="BH62" s="262">
        <f t="shared" si="35"/>
        <v>0</v>
      </c>
      <c r="BI62" s="262">
        <f t="shared" si="36"/>
        <v>0</v>
      </c>
      <c r="BJ62" s="262">
        <f t="shared" si="37"/>
        <v>0</v>
      </c>
      <c r="BK62" s="263">
        <f t="shared" si="38"/>
        <v>0</v>
      </c>
      <c r="BL62" s="269">
        <f t="shared" si="39"/>
        <v>0</v>
      </c>
      <c r="BM62" s="264">
        <f t="shared" si="5"/>
        <v>0</v>
      </c>
      <c r="BO62" s="732" t="str">
        <f t="shared" si="6"/>
        <v/>
      </c>
    </row>
    <row r="63" spans="2:67" ht="15" customHeight="1" x14ac:dyDescent="0.25">
      <c r="B63" s="156">
        <f t="shared" si="27"/>
        <v>21</v>
      </c>
      <c r="C63" s="180" t="s">
        <v>595</v>
      </c>
      <c r="D63" s="181"/>
      <c r="E63" s="210" t="s">
        <v>94</v>
      </c>
      <c r="G63" s="488">
        <f>('Cust Specific'!T90)</f>
        <v>0</v>
      </c>
      <c r="H63" s="490"/>
      <c r="I63" s="494">
        <f>'Cust Specific'!T93</f>
        <v>6.4999999999999997E-3</v>
      </c>
      <c r="J63" s="471"/>
      <c r="K63" s="495">
        <f>'Cust Specific'!T94</f>
        <v>4.1000000000000003E-3</v>
      </c>
      <c r="L63" s="471"/>
      <c r="M63" s="471"/>
      <c r="N63" s="471"/>
      <c r="O63" s="472"/>
      <c r="P63" s="471"/>
      <c r="Q63" s="471"/>
      <c r="R63" s="472"/>
      <c r="S63" s="489">
        <f>'Cust Specific'!T91</f>
        <v>0</v>
      </c>
      <c r="T63" s="494">
        <f>'Cust Specific'!T92</f>
        <v>0</v>
      </c>
      <c r="U63" s="491"/>
      <c r="V63" s="492"/>
      <c r="X63" s="183">
        <f>'Q (t)'!G63</f>
        <v>365</v>
      </c>
      <c r="Y63" s="184">
        <f>'Q (t)'!H63</f>
        <v>0</v>
      </c>
      <c r="Z63" s="178">
        <f>'Q (t)'!I63</f>
        <v>4100</v>
      </c>
      <c r="AA63" s="178">
        <f>'Q (t)'!J63</f>
        <v>0</v>
      </c>
      <c r="AB63" s="179">
        <f>'Q (t)'!K63</f>
        <v>5400</v>
      </c>
      <c r="AC63" s="178">
        <f>'Q (t)'!L63</f>
        <v>0</v>
      </c>
      <c r="AD63" s="178">
        <f>'Q (t)'!M63</f>
        <v>0</v>
      </c>
      <c r="AE63" s="178">
        <f>'Q (t)'!N63</f>
        <v>0</v>
      </c>
      <c r="AF63" s="179">
        <f>'Q (t)'!O63</f>
        <v>0</v>
      </c>
      <c r="AG63" s="178">
        <f>'Q (t)'!P63</f>
        <v>0</v>
      </c>
      <c r="AH63" s="178">
        <f>'Q (t)'!Q63</f>
        <v>0</v>
      </c>
      <c r="AI63" s="179">
        <f>'Q (t)'!R63</f>
        <v>0</v>
      </c>
      <c r="AJ63" s="184">
        <f>'Q (t)'!S63</f>
        <v>1069450</v>
      </c>
      <c r="AK63" s="178">
        <f>'Q (t)'!T63</f>
        <v>1800910</v>
      </c>
      <c r="AL63" s="184">
        <f>'Q (t)'!U63</f>
        <v>0</v>
      </c>
      <c r="AM63" s="179">
        <f>'Q (t)'!V63</f>
        <v>0</v>
      </c>
      <c r="AO63" s="183">
        <f t="shared" si="2"/>
        <v>0</v>
      </c>
      <c r="AP63" s="184">
        <f t="shared" ref="AP63:AW77" si="45">H63*Y63</f>
        <v>0</v>
      </c>
      <c r="AQ63" s="178">
        <f t="shared" si="45"/>
        <v>26.65</v>
      </c>
      <c r="AR63" s="178">
        <f t="shared" si="45"/>
        <v>0</v>
      </c>
      <c r="AS63" s="179">
        <f t="shared" si="45"/>
        <v>22.14</v>
      </c>
      <c r="AT63" s="178">
        <f t="shared" si="45"/>
        <v>0</v>
      </c>
      <c r="AU63" s="178">
        <f t="shared" si="45"/>
        <v>0</v>
      </c>
      <c r="AV63" s="178">
        <f t="shared" si="45"/>
        <v>0</v>
      </c>
      <c r="AW63" s="179">
        <f t="shared" si="45"/>
        <v>0</v>
      </c>
      <c r="AX63" s="178">
        <f t="shared" si="42"/>
        <v>0</v>
      </c>
      <c r="AY63" s="178">
        <f t="shared" si="42"/>
        <v>0</v>
      </c>
      <c r="AZ63" s="179">
        <f t="shared" si="42"/>
        <v>0</v>
      </c>
      <c r="BA63" s="184">
        <f t="shared" si="41"/>
        <v>0</v>
      </c>
      <c r="BB63" s="178">
        <f t="shared" si="41"/>
        <v>0</v>
      </c>
      <c r="BC63" s="184">
        <f t="shared" si="41"/>
        <v>0</v>
      </c>
      <c r="BD63" s="178">
        <f t="shared" si="41"/>
        <v>0</v>
      </c>
      <c r="BE63" s="251">
        <f t="shared" si="3"/>
        <v>1</v>
      </c>
      <c r="BF63" s="252">
        <f t="shared" si="40"/>
        <v>9500</v>
      </c>
      <c r="BH63" s="262">
        <f t="shared" si="35"/>
        <v>0</v>
      </c>
      <c r="BI63" s="262">
        <f t="shared" si="36"/>
        <v>48.79</v>
      </c>
      <c r="BJ63" s="262">
        <f t="shared" si="37"/>
        <v>0</v>
      </c>
      <c r="BK63" s="263">
        <f t="shared" si="38"/>
        <v>0</v>
      </c>
      <c r="BL63" s="269">
        <f t="shared" si="39"/>
        <v>0</v>
      </c>
      <c r="BM63" s="264">
        <f t="shared" si="5"/>
        <v>48.79</v>
      </c>
      <c r="BO63" s="732">
        <f t="shared" si="6"/>
        <v>5.1357894736842109</v>
      </c>
    </row>
    <row r="64" spans="2:67" ht="15" customHeight="1" x14ac:dyDescent="0.25">
      <c r="B64" s="156">
        <f t="shared" si="27"/>
        <v>22</v>
      </c>
      <c r="C64" s="180" t="s">
        <v>660</v>
      </c>
      <c r="D64" s="181"/>
      <c r="E64" s="210" t="s">
        <v>680</v>
      </c>
      <c r="G64" s="488">
        <f>('Cust Specific'!T98)</f>
        <v>0</v>
      </c>
      <c r="H64" s="490"/>
      <c r="I64" s="494">
        <f>'Cust Specific'!T101</f>
        <v>6.4999999999999997E-3</v>
      </c>
      <c r="J64" s="471"/>
      <c r="K64" s="495">
        <f>'Cust Specific'!T102</f>
        <v>4.1000000000000003E-3</v>
      </c>
      <c r="L64" s="471"/>
      <c r="M64" s="471"/>
      <c r="N64" s="471"/>
      <c r="O64" s="472"/>
      <c r="P64" s="494">
        <f>'Cust Specific'!T99</f>
        <v>0</v>
      </c>
      <c r="Q64" s="471"/>
      <c r="R64" s="472"/>
      <c r="S64" s="490"/>
      <c r="T64" s="494">
        <f>'Cust Specific'!T100</f>
        <v>0</v>
      </c>
      <c r="U64" s="491"/>
      <c r="V64" s="492"/>
      <c r="X64" s="183">
        <f>'Q (t)'!G64</f>
        <v>365</v>
      </c>
      <c r="Y64" s="184">
        <f>'Q (t)'!H64</f>
        <v>0</v>
      </c>
      <c r="Z64" s="178">
        <f>'Q (t)'!I64</f>
        <v>1100</v>
      </c>
      <c r="AA64" s="178">
        <f>'Q (t)'!J64</f>
        <v>0</v>
      </c>
      <c r="AB64" s="179">
        <f>'Q (t)'!K64</f>
        <v>1600</v>
      </c>
      <c r="AC64" s="178">
        <f>'Q (t)'!L64</f>
        <v>0</v>
      </c>
      <c r="AD64" s="178">
        <f>'Q (t)'!M64</f>
        <v>0</v>
      </c>
      <c r="AE64" s="178">
        <f>'Q (t)'!N64</f>
        <v>0</v>
      </c>
      <c r="AF64" s="179">
        <f>'Q (t)'!O64</f>
        <v>0</v>
      </c>
      <c r="AG64" s="178">
        <f>'Q (t)'!P64</f>
        <v>109475</v>
      </c>
      <c r="AH64" s="178">
        <f>'Q (t)'!Q64</f>
        <v>0</v>
      </c>
      <c r="AI64" s="179">
        <f>'Q (t)'!R64</f>
        <v>0</v>
      </c>
      <c r="AJ64" s="184">
        <f>'Q (t)'!S64</f>
        <v>0</v>
      </c>
      <c r="AK64" s="178">
        <f>'Q (t)'!T64</f>
        <v>572320</v>
      </c>
      <c r="AL64" s="184">
        <f>'Q (t)'!U64</f>
        <v>0</v>
      </c>
      <c r="AM64" s="179">
        <f>'Q (t)'!V64</f>
        <v>0</v>
      </c>
      <c r="AO64" s="183">
        <f t="shared" si="2"/>
        <v>0</v>
      </c>
      <c r="AP64" s="184">
        <f t="shared" si="45"/>
        <v>0</v>
      </c>
      <c r="AQ64" s="178">
        <f t="shared" si="45"/>
        <v>7.1499999999999995</v>
      </c>
      <c r="AR64" s="178">
        <f t="shared" si="45"/>
        <v>0</v>
      </c>
      <c r="AS64" s="179">
        <f t="shared" si="45"/>
        <v>6.5600000000000005</v>
      </c>
      <c r="AT64" s="178">
        <f t="shared" si="45"/>
        <v>0</v>
      </c>
      <c r="AU64" s="178">
        <f t="shared" si="45"/>
        <v>0</v>
      </c>
      <c r="AV64" s="178">
        <f t="shared" si="45"/>
        <v>0</v>
      </c>
      <c r="AW64" s="179">
        <f t="shared" si="45"/>
        <v>0</v>
      </c>
      <c r="AX64" s="178">
        <f t="shared" si="42"/>
        <v>0</v>
      </c>
      <c r="AY64" s="178">
        <f t="shared" si="42"/>
        <v>0</v>
      </c>
      <c r="AZ64" s="179">
        <f t="shared" si="42"/>
        <v>0</v>
      </c>
      <c r="BA64" s="184">
        <f t="shared" si="41"/>
        <v>0</v>
      </c>
      <c r="BB64" s="178">
        <f t="shared" si="41"/>
        <v>0</v>
      </c>
      <c r="BC64" s="184">
        <f t="shared" si="41"/>
        <v>0</v>
      </c>
      <c r="BD64" s="178">
        <f t="shared" si="41"/>
        <v>0</v>
      </c>
      <c r="BE64" s="251">
        <f t="shared" si="3"/>
        <v>1</v>
      </c>
      <c r="BF64" s="252">
        <f t="shared" si="40"/>
        <v>2700</v>
      </c>
      <c r="BH64" s="262">
        <f t="shared" si="35"/>
        <v>0</v>
      </c>
      <c r="BI64" s="262">
        <f t="shared" si="36"/>
        <v>13.71</v>
      </c>
      <c r="BJ64" s="262">
        <f t="shared" si="37"/>
        <v>0</v>
      </c>
      <c r="BK64" s="263">
        <f t="shared" si="38"/>
        <v>0</v>
      </c>
      <c r="BL64" s="269">
        <f t="shared" si="39"/>
        <v>0</v>
      </c>
      <c r="BM64" s="264">
        <f t="shared" si="5"/>
        <v>13.71</v>
      </c>
      <c r="BO64" s="732">
        <f t="shared" si="6"/>
        <v>5.0777777777777775</v>
      </c>
    </row>
    <row r="65" spans="2:67" ht="15" customHeight="1" x14ac:dyDescent="0.25">
      <c r="B65" s="156">
        <f t="shared" si="27"/>
        <v>23</v>
      </c>
      <c r="C65" s="211"/>
      <c r="D65" s="212"/>
      <c r="E65" s="213"/>
      <c r="G65" s="493"/>
      <c r="H65" s="490"/>
      <c r="I65" s="471"/>
      <c r="J65" s="471"/>
      <c r="K65" s="472"/>
      <c r="L65" s="471"/>
      <c r="M65" s="471"/>
      <c r="N65" s="471"/>
      <c r="O65" s="472"/>
      <c r="P65" s="471"/>
      <c r="Q65" s="471"/>
      <c r="R65" s="472"/>
      <c r="S65" s="490"/>
      <c r="T65" s="471"/>
      <c r="U65" s="490"/>
      <c r="V65" s="472"/>
      <c r="X65" s="183">
        <f>'Q (t)'!G65</f>
        <v>0</v>
      </c>
      <c r="Y65" s="184">
        <f>'Q (t)'!H65</f>
        <v>0</v>
      </c>
      <c r="Z65" s="178">
        <f>'Q (t)'!I65</f>
        <v>0</v>
      </c>
      <c r="AA65" s="178">
        <f>'Q (t)'!J65</f>
        <v>0</v>
      </c>
      <c r="AB65" s="179">
        <f>'Q (t)'!K65</f>
        <v>0</v>
      </c>
      <c r="AC65" s="178">
        <f>'Q (t)'!L65</f>
        <v>0</v>
      </c>
      <c r="AD65" s="178">
        <f>'Q (t)'!M65</f>
        <v>0</v>
      </c>
      <c r="AE65" s="178">
        <f>'Q (t)'!N65</f>
        <v>0</v>
      </c>
      <c r="AF65" s="179">
        <f>'Q (t)'!O65</f>
        <v>0</v>
      </c>
      <c r="AG65" s="178">
        <f>'Q (t)'!P65</f>
        <v>0</v>
      </c>
      <c r="AH65" s="178">
        <f>'Q (t)'!Q65</f>
        <v>0</v>
      </c>
      <c r="AI65" s="179">
        <f>'Q (t)'!R65</f>
        <v>0</v>
      </c>
      <c r="AJ65" s="184">
        <f>'Q (t)'!S65</f>
        <v>0</v>
      </c>
      <c r="AK65" s="178">
        <f>'Q (t)'!T65</f>
        <v>0</v>
      </c>
      <c r="AL65" s="184">
        <f>'Q (t)'!U65</f>
        <v>0</v>
      </c>
      <c r="AM65" s="179">
        <f>'Q (t)'!V65</f>
        <v>0</v>
      </c>
      <c r="AO65" s="183">
        <f t="shared" si="2"/>
        <v>0</v>
      </c>
      <c r="AP65" s="184">
        <f t="shared" si="45"/>
        <v>0</v>
      </c>
      <c r="AQ65" s="178">
        <f t="shared" si="45"/>
        <v>0</v>
      </c>
      <c r="AR65" s="178">
        <f t="shared" si="45"/>
        <v>0</v>
      </c>
      <c r="AS65" s="179">
        <f t="shared" si="45"/>
        <v>0</v>
      </c>
      <c r="AT65" s="178">
        <f t="shared" si="45"/>
        <v>0</v>
      </c>
      <c r="AU65" s="178">
        <f t="shared" si="45"/>
        <v>0</v>
      </c>
      <c r="AV65" s="178">
        <f t="shared" si="45"/>
        <v>0</v>
      </c>
      <c r="AW65" s="179">
        <f t="shared" si="45"/>
        <v>0</v>
      </c>
      <c r="AX65" s="178">
        <f t="shared" si="42"/>
        <v>0</v>
      </c>
      <c r="AY65" s="178">
        <f t="shared" si="42"/>
        <v>0</v>
      </c>
      <c r="AZ65" s="179">
        <f t="shared" si="42"/>
        <v>0</v>
      </c>
      <c r="BA65" s="184">
        <f t="shared" si="41"/>
        <v>0</v>
      </c>
      <c r="BB65" s="178">
        <f t="shared" si="41"/>
        <v>0</v>
      </c>
      <c r="BC65" s="184">
        <f t="shared" si="41"/>
        <v>0</v>
      </c>
      <c r="BD65" s="178">
        <f t="shared" si="41"/>
        <v>0</v>
      </c>
      <c r="BE65" s="251">
        <f t="shared" si="3"/>
        <v>0</v>
      </c>
      <c r="BF65" s="252">
        <f t="shared" si="40"/>
        <v>0</v>
      </c>
      <c r="BH65" s="262">
        <f t="shared" si="35"/>
        <v>0</v>
      </c>
      <c r="BI65" s="262">
        <f t="shared" si="36"/>
        <v>0</v>
      </c>
      <c r="BJ65" s="262">
        <f t="shared" si="37"/>
        <v>0</v>
      </c>
      <c r="BK65" s="263">
        <f t="shared" si="38"/>
        <v>0</v>
      </c>
      <c r="BL65" s="269">
        <f t="shared" si="39"/>
        <v>0</v>
      </c>
      <c r="BM65" s="264">
        <f t="shared" si="5"/>
        <v>0</v>
      </c>
      <c r="BO65" s="732" t="str">
        <f t="shared" si="6"/>
        <v/>
      </c>
    </row>
    <row r="66" spans="2:67" ht="15" customHeight="1" x14ac:dyDescent="0.25">
      <c r="B66" s="156">
        <f t="shared" si="27"/>
        <v>24</v>
      </c>
      <c r="C66" s="211"/>
      <c r="D66" s="212"/>
      <c r="E66" s="213"/>
      <c r="G66" s="493"/>
      <c r="H66" s="490"/>
      <c r="I66" s="471"/>
      <c r="J66" s="471"/>
      <c r="K66" s="472"/>
      <c r="L66" s="471"/>
      <c r="M66" s="471"/>
      <c r="N66" s="471"/>
      <c r="O66" s="472"/>
      <c r="P66" s="471"/>
      <c r="Q66" s="471"/>
      <c r="R66" s="472"/>
      <c r="S66" s="490"/>
      <c r="T66" s="471"/>
      <c r="U66" s="490"/>
      <c r="V66" s="472"/>
      <c r="X66" s="183">
        <f>'Q (t)'!G66</f>
        <v>0</v>
      </c>
      <c r="Y66" s="184">
        <f>'Q (t)'!H66</f>
        <v>0</v>
      </c>
      <c r="Z66" s="178">
        <f>'Q (t)'!I66</f>
        <v>0</v>
      </c>
      <c r="AA66" s="178">
        <f>'Q (t)'!J66</f>
        <v>0</v>
      </c>
      <c r="AB66" s="179">
        <f>'Q (t)'!K66</f>
        <v>0</v>
      </c>
      <c r="AC66" s="178">
        <f>'Q (t)'!L66</f>
        <v>0</v>
      </c>
      <c r="AD66" s="178">
        <f>'Q (t)'!M66</f>
        <v>0</v>
      </c>
      <c r="AE66" s="178">
        <f>'Q (t)'!N66</f>
        <v>0</v>
      </c>
      <c r="AF66" s="179">
        <f>'Q (t)'!O66</f>
        <v>0</v>
      </c>
      <c r="AG66" s="178">
        <f>'Q (t)'!P66</f>
        <v>0</v>
      </c>
      <c r="AH66" s="178">
        <f>'Q (t)'!Q66</f>
        <v>0</v>
      </c>
      <c r="AI66" s="179">
        <f>'Q (t)'!R66</f>
        <v>0</v>
      </c>
      <c r="AJ66" s="184">
        <f>'Q (t)'!S66</f>
        <v>0</v>
      </c>
      <c r="AK66" s="178">
        <f>'Q (t)'!T66</f>
        <v>0</v>
      </c>
      <c r="AL66" s="184">
        <f>'Q (t)'!U66</f>
        <v>0</v>
      </c>
      <c r="AM66" s="179">
        <f>'Q (t)'!V66</f>
        <v>0</v>
      </c>
      <c r="AO66" s="183">
        <f t="shared" si="2"/>
        <v>0</v>
      </c>
      <c r="AP66" s="184">
        <f t="shared" si="45"/>
        <v>0</v>
      </c>
      <c r="AQ66" s="178">
        <f t="shared" si="45"/>
        <v>0</v>
      </c>
      <c r="AR66" s="178">
        <f t="shared" si="45"/>
        <v>0</v>
      </c>
      <c r="AS66" s="179">
        <f t="shared" si="45"/>
        <v>0</v>
      </c>
      <c r="AT66" s="178">
        <f t="shared" si="45"/>
        <v>0</v>
      </c>
      <c r="AU66" s="178">
        <f t="shared" si="45"/>
        <v>0</v>
      </c>
      <c r="AV66" s="178">
        <f t="shared" si="45"/>
        <v>0</v>
      </c>
      <c r="AW66" s="179">
        <f t="shared" si="45"/>
        <v>0</v>
      </c>
      <c r="AX66" s="178">
        <f t="shared" si="42"/>
        <v>0</v>
      </c>
      <c r="AY66" s="178">
        <f t="shared" si="42"/>
        <v>0</v>
      </c>
      <c r="AZ66" s="179">
        <f t="shared" si="42"/>
        <v>0</v>
      </c>
      <c r="BA66" s="184">
        <f t="shared" si="41"/>
        <v>0</v>
      </c>
      <c r="BB66" s="178">
        <f t="shared" si="41"/>
        <v>0</v>
      </c>
      <c r="BC66" s="184">
        <f t="shared" si="41"/>
        <v>0</v>
      </c>
      <c r="BD66" s="178">
        <f t="shared" si="41"/>
        <v>0</v>
      </c>
      <c r="BE66" s="251">
        <f t="shared" si="3"/>
        <v>0</v>
      </c>
      <c r="BF66" s="252">
        <f t="shared" si="40"/>
        <v>0</v>
      </c>
      <c r="BH66" s="262">
        <f t="shared" si="35"/>
        <v>0</v>
      </c>
      <c r="BI66" s="262">
        <f t="shared" si="36"/>
        <v>0</v>
      </c>
      <c r="BJ66" s="262">
        <f t="shared" si="37"/>
        <v>0</v>
      </c>
      <c r="BK66" s="263">
        <f t="shared" si="38"/>
        <v>0</v>
      </c>
      <c r="BL66" s="269">
        <f t="shared" si="39"/>
        <v>0</v>
      </c>
      <c r="BM66" s="264">
        <f t="shared" si="5"/>
        <v>0</v>
      </c>
      <c r="BO66" s="732" t="str">
        <f t="shared" si="6"/>
        <v/>
      </c>
    </row>
    <row r="67" spans="2:67" ht="15" customHeight="1" x14ac:dyDescent="0.25">
      <c r="B67" s="162">
        <f t="shared" si="27"/>
        <v>25</v>
      </c>
      <c r="C67" s="214"/>
      <c r="D67" s="215"/>
      <c r="E67" s="216"/>
      <c r="G67" s="509"/>
      <c r="H67" s="502"/>
      <c r="I67" s="498"/>
      <c r="J67" s="498"/>
      <c r="K67" s="499"/>
      <c r="L67" s="498"/>
      <c r="M67" s="498"/>
      <c r="N67" s="498"/>
      <c r="O67" s="499"/>
      <c r="P67" s="498"/>
      <c r="Q67" s="498"/>
      <c r="R67" s="499"/>
      <c r="S67" s="502"/>
      <c r="T67" s="498"/>
      <c r="U67" s="502"/>
      <c r="V67" s="499"/>
      <c r="X67" s="190">
        <f>'Q (t)'!G67</f>
        <v>0</v>
      </c>
      <c r="Y67" s="197">
        <f>'Q (t)'!H67</f>
        <v>0</v>
      </c>
      <c r="Z67" s="192">
        <f>'Q (t)'!I67</f>
        <v>0</v>
      </c>
      <c r="AA67" s="192">
        <f>'Q (t)'!J67</f>
        <v>0</v>
      </c>
      <c r="AB67" s="193">
        <f>'Q (t)'!K67</f>
        <v>0</v>
      </c>
      <c r="AC67" s="192">
        <f>'Q (t)'!L67</f>
        <v>0</v>
      </c>
      <c r="AD67" s="192">
        <f>'Q (t)'!M67</f>
        <v>0</v>
      </c>
      <c r="AE67" s="192">
        <f>'Q (t)'!N67</f>
        <v>0</v>
      </c>
      <c r="AF67" s="193">
        <f>'Q (t)'!O67</f>
        <v>0</v>
      </c>
      <c r="AG67" s="192">
        <f>'Q (t)'!P67</f>
        <v>0</v>
      </c>
      <c r="AH67" s="192">
        <f>'Q (t)'!Q67</f>
        <v>0</v>
      </c>
      <c r="AI67" s="193">
        <f>'Q (t)'!R67</f>
        <v>0</v>
      </c>
      <c r="AJ67" s="197">
        <f>'Q (t)'!S67</f>
        <v>0</v>
      </c>
      <c r="AK67" s="192">
        <f>'Q (t)'!T67</f>
        <v>0</v>
      </c>
      <c r="AL67" s="197">
        <f>'Q (t)'!U67</f>
        <v>0</v>
      </c>
      <c r="AM67" s="193">
        <f>'Q (t)'!V67</f>
        <v>0</v>
      </c>
      <c r="AO67" s="190">
        <f t="shared" si="2"/>
        <v>0</v>
      </c>
      <c r="AP67" s="197">
        <f t="shared" si="45"/>
        <v>0</v>
      </c>
      <c r="AQ67" s="192">
        <f t="shared" si="45"/>
        <v>0</v>
      </c>
      <c r="AR67" s="192">
        <f t="shared" si="45"/>
        <v>0</v>
      </c>
      <c r="AS67" s="193">
        <f t="shared" si="45"/>
        <v>0</v>
      </c>
      <c r="AT67" s="192">
        <f t="shared" si="45"/>
        <v>0</v>
      </c>
      <c r="AU67" s="192">
        <f t="shared" si="45"/>
        <v>0</v>
      </c>
      <c r="AV67" s="192">
        <f t="shared" si="45"/>
        <v>0</v>
      </c>
      <c r="AW67" s="193">
        <f t="shared" si="45"/>
        <v>0</v>
      </c>
      <c r="AX67" s="192">
        <f t="shared" si="42"/>
        <v>0</v>
      </c>
      <c r="AY67" s="192">
        <f t="shared" si="42"/>
        <v>0</v>
      </c>
      <c r="AZ67" s="193">
        <f t="shared" si="42"/>
        <v>0</v>
      </c>
      <c r="BA67" s="197">
        <f t="shared" si="41"/>
        <v>0</v>
      </c>
      <c r="BB67" s="192">
        <f t="shared" si="41"/>
        <v>0</v>
      </c>
      <c r="BC67" s="197">
        <f t="shared" si="41"/>
        <v>0</v>
      </c>
      <c r="BD67" s="192">
        <f t="shared" si="41"/>
        <v>0</v>
      </c>
      <c r="BE67" s="253">
        <f t="shared" si="3"/>
        <v>0</v>
      </c>
      <c r="BF67" s="254">
        <f t="shared" si="40"/>
        <v>0</v>
      </c>
      <c r="BH67" s="262">
        <f t="shared" si="35"/>
        <v>0</v>
      </c>
      <c r="BI67" s="262">
        <f t="shared" si="36"/>
        <v>0</v>
      </c>
      <c r="BJ67" s="262">
        <f t="shared" si="37"/>
        <v>0</v>
      </c>
      <c r="BK67" s="263">
        <f t="shared" si="38"/>
        <v>0</v>
      </c>
      <c r="BL67" s="269">
        <f t="shared" si="39"/>
        <v>0</v>
      </c>
      <c r="BM67" s="264">
        <f t="shared" si="5"/>
        <v>0</v>
      </c>
      <c r="BO67" s="732" t="str">
        <f t="shared" si="6"/>
        <v/>
      </c>
    </row>
    <row r="68" spans="2:67" ht="15" customHeight="1" x14ac:dyDescent="0.25">
      <c r="B68" s="167" t="s">
        <v>101</v>
      </c>
      <c r="C68" s="151" t="s">
        <v>102</v>
      </c>
      <c r="D68" s="151"/>
      <c r="E68" s="204"/>
      <c r="G68" s="505"/>
      <c r="H68" s="506"/>
      <c r="I68" s="507"/>
      <c r="J68" s="507"/>
      <c r="K68" s="508"/>
      <c r="L68" s="507"/>
      <c r="M68" s="507"/>
      <c r="N68" s="507"/>
      <c r="O68" s="508"/>
      <c r="P68" s="507"/>
      <c r="Q68" s="507"/>
      <c r="R68" s="508"/>
      <c r="S68" s="506"/>
      <c r="T68" s="507"/>
      <c r="U68" s="506"/>
      <c r="V68" s="508"/>
      <c r="X68" s="205">
        <f>'Q (t)'!G68</f>
        <v>0</v>
      </c>
      <c r="Y68" s="206">
        <f>'Q (t)'!H68</f>
        <v>0</v>
      </c>
      <c r="Z68" s="207">
        <f>'Q (t)'!I68</f>
        <v>0</v>
      </c>
      <c r="AA68" s="207">
        <f>'Q (t)'!J68</f>
        <v>0</v>
      </c>
      <c r="AB68" s="208">
        <f>'Q (t)'!K68</f>
        <v>0</v>
      </c>
      <c r="AC68" s="207">
        <f>'Q (t)'!L68</f>
        <v>0</v>
      </c>
      <c r="AD68" s="207">
        <f>'Q (t)'!M68</f>
        <v>0</v>
      </c>
      <c r="AE68" s="207">
        <f>'Q (t)'!N68</f>
        <v>0</v>
      </c>
      <c r="AF68" s="208">
        <f>'Q (t)'!O68</f>
        <v>0</v>
      </c>
      <c r="AG68" s="207">
        <f>'Q (t)'!P68</f>
        <v>0</v>
      </c>
      <c r="AH68" s="207">
        <f>'Q (t)'!Q68</f>
        <v>0</v>
      </c>
      <c r="AI68" s="208">
        <f>'Q (t)'!R68</f>
        <v>0</v>
      </c>
      <c r="AJ68" s="206">
        <f>'Q (t)'!S68</f>
        <v>0</v>
      </c>
      <c r="AK68" s="207">
        <f>'Q (t)'!T68</f>
        <v>0</v>
      </c>
      <c r="AL68" s="206">
        <f>'Q (t)'!U68</f>
        <v>0</v>
      </c>
      <c r="AM68" s="208">
        <f>'Q (t)'!V68</f>
        <v>0</v>
      </c>
      <c r="AO68" s="205">
        <f t="shared" si="2"/>
        <v>0</v>
      </c>
      <c r="AP68" s="206">
        <f t="shared" si="45"/>
        <v>0</v>
      </c>
      <c r="AQ68" s="207">
        <f t="shared" si="45"/>
        <v>0</v>
      </c>
      <c r="AR68" s="207">
        <f t="shared" si="45"/>
        <v>0</v>
      </c>
      <c r="AS68" s="208">
        <f t="shared" si="45"/>
        <v>0</v>
      </c>
      <c r="AT68" s="207">
        <f t="shared" si="45"/>
        <v>0</v>
      </c>
      <c r="AU68" s="207">
        <f t="shared" si="45"/>
        <v>0</v>
      </c>
      <c r="AV68" s="207">
        <f t="shared" si="45"/>
        <v>0</v>
      </c>
      <c r="AW68" s="208">
        <f t="shared" si="45"/>
        <v>0</v>
      </c>
      <c r="AX68" s="207">
        <f t="shared" si="42"/>
        <v>0</v>
      </c>
      <c r="AY68" s="207">
        <f t="shared" si="42"/>
        <v>0</v>
      </c>
      <c r="AZ68" s="208">
        <f t="shared" si="42"/>
        <v>0</v>
      </c>
      <c r="BA68" s="206">
        <f t="shared" si="41"/>
        <v>0</v>
      </c>
      <c r="BB68" s="207">
        <f t="shared" si="41"/>
        <v>0</v>
      </c>
      <c r="BC68" s="206">
        <f t="shared" si="41"/>
        <v>0</v>
      </c>
      <c r="BD68" s="207">
        <f t="shared" si="41"/>
        <v>0</v>
      </c>
      <c r="BE68" s="249">
        <f t="shared" si="3"/>
        <v>0</v>
      </c>
      <c r="BF68" s="250">
        <f t="shared" si="40"/>
        <v>0</v>
      </c>
      <c r="BH68" s="260">
        <f>SUBTOTAL(9,BH69:BH91)</f>
        <v>0</v>
      </c>
      <c r="BI68" s="260">
        <f>SUBTOTAL(9,BI69:BI91)</f>
        <v>2658.1200000000003</v>
      </c>
      <c r="BJ68" s="260">
        <f>SUBTOTAL(9,BJ69:BJ91)</f>
        <v>0</v>
      </c>
      <c r="BK68" s="260">
        <f>SUBTOTAL(9,BK69:BK91)</f>
        <v>0</v>
      </c>
      <c r="BL68" s="260">
        <f>SUBTOTAL(9,BL69:BL91)</f>
        <v>0</v>
      </c>
      <c r="BM68" s="264">
        <f t="shared" si="5"/>
        <v>2658.1200000000003</v>
      </c>
      <c r="BO68" s="732" t="str">
        <f t="shared" si="6"/>
        <v/>
      </c>
    </row>
    <row r="69" spans="2:67" ht="15" customHeight="1" x14ac:dyDescent="0.25">
      <c r="B69" s="156"/>
      <c r="C69" s="126" t="s">
        <v>103</v>
      </c>
      <c r="D69" s="202"/>
      <c r="E69" s="202"/>
      <c r="G69" s="493"/>
      <c r="H69" s="490"/>
      <c r="I69" s="471"/>
      <c r="J69" s="471"/>
      <c r="K69" s="472"/>
      <c r="L69" s="471"/>
      <c r="M69" s="471"/>
      <c r="N69" s="471"/>
      <c r="O69" s="472"/>
      <c r="P69" s="471"/>
      <c r="Q69" s="471"/>
      <c r="R69" s="472"/>
      <c r="S69" s="490"/>
      <c r="T69" s="471"/>
      <c r="U69" s="490"/>
      <c r="V69" s="472"/>
      <c r="X69" s="183">
        <f>'Q (t)'!G69</f>
        <v>0</v>
      </c>
      <c r="Y69" s="184">
        <f>'Q (t)'!H69</f>
        <v>0</v>
      </c>
      <c r="Z69" s="178">
        <f>'Q (t)'!I69</f>
        <v>0</v>
      </c>
      <c r="AA69" s="178">
        <f>'Q (t)'!J69</f>
        <v>0</v>
      </c>
      <c r="AB69" s="179">
        <f>'Q (t)'!K69</f>
        <v>0</v>
      </c>
      <c r="AC69" s="178">
        <f>'Q (t)'!L69</f>
        <v>0</v>
      </c>
      <c r="AD69" s="178">
        <f>'Q (t)'!M69</f>
        <v>0</v>
      </c>
      <c r="AE69" s="178">
        <f>'Q (t)'!N69</f>
        <v>0</v>
      </c>
      <c r="AF69" s="179">
        <f>'Q (t)'!O69</f>
        <v>0</v>
      </c>
      <c r="AG69" s="178">
        <f>'Q (t)'!P69</f>
        <v>0</v>
      </c>
      <c r="AH69" s="178">
        <f>'Q (t)'!Q69</f>
        <v>0</v>
      </c>
      <c r="AI69" s="179">
        <f>'Q (t)'!R69</f>
        <v>0</v>
      </c>
      <c r="AJ69" s="184">
        <f>'Q (t)'!S69</f>
        <v>0</v>
      </c>
      <c r="AK69" s="178">
        <f>'Q (t)'!T69</f>
        <v>0</v>
      </c>
      <c r="AL69" s="184">
        <f>'Q (t)'!U69</f>
        <v>0</v>
      </c>
      <c r="AM69" s="179">
        <f>'Q (t)'!V69</f>
        <v>0</v>
      </c>
      <c r="AO69" s="183">
        <f t="shared" si="2"/>
        <v>0</v>
      </c>
      <c r="AP69" s="184">
        <f t="shared" si="45"/>
        <v>0</v>
      </c>
      <c r="AQ69" s="178">
        <f t="shared" si="45"/>
        <v>0</v>
      </c>
      <c r="AR69" s="178">
        <f t="shared" si="45"/>
        <v>0</v>
      </c>
      <c r="AS69" s="179">
        <f t="shared" si="45"/>
        <v>0</v>
      </c>
      <c r="AT69" s="178">
        <f t="shared" si="45"/>
        <v>0</v>
      </c>
      <c r="AU69" s="178">
        <f t="shared" si="45"/>
        <v>0</v>
      </c>
      <c r="AV69" s="178">
        <f t="shared" si="45"/>
        <v>0</v>
      </c>
      <c r="AW69" s="179">
        <f t="shared" si="45"/>
        <v>0</v>
      </c>
      <c r="AX69" s="178">
        <f t="shared" si="42"/>
        <v>0</v>
      </c>
      <c r="AY69" s="178">
        <f t="shared" si="42"/>
        <v>0</v>
      </c>
      <c r="AZ69" s="179">
        <f t="shared" si="42"/>
        <v>0</v>
      </c>
      <c r="BA69" s="184">
        <f t="shared" si="41"/>
        <v>0</v>
      </c>
      <c r="BB69" s="178">
        <f t="shared" si="41"/>
        <v>0</v>
      </c>
      <c r="BC69" s="184">
        <f t="shared" si="41"/>
        <v>0</v>
      </c>
      <c r="BD69" s="178">
        <f t="shared" si="41"/>
        <v>0</v>
      </c>
      <c r="BE69" s="251">
        <f t="shared" si="3"/>
        <v>0</v>
      </c>
      <c r="BF69" s="252">
        <f t="shared" si="40"/>
        <v>0</v>
      </c>
      <c r="BH69" s="259">
        <f>SUBTOTAL(9,BH70:BH75)</f>
        <v>0</v>
      </c>
      <c r="BI69" s="259">
        <f>SUBTOTAL(9,BI70:BI75)</f>
        <v>2101.1200000000003</v>
      </c>
      <c r="BJ69" s="259">
        <f>SUBTOTAL(9,BJ70:BJ75)</f>
        <v>0</v>
      </c>
      <c r="BK69" s="259">
        <f>SUBTOTAL(9,BK70:BK75)</f>
        <v>0</v>
      </c>
      <c r="BL69" s="259">
        <f>SUBTOTAL(9,BL70:BL75)</f>
        <v>0</v>
      </c>
      <c r="BM69" s="264">
        <f t="shared" si="5"/>
        <v>2101.1200000000003</v>
      </c>
      <c r="BO69" s="732" t="str">
        <f t="shared" si="6"/>
        <v/>
      </c>
    </row>
    <row r="70" spans="2:67" ht="15" customHeight="1" x14ac:dyDescent="0.25">
      <c r="B70" s="156">
        <v>1</v>
      </c>
      <c r="C70" s="180" t="s">
        <v>605</v>
      </c>
      <c r="D70" s="181" t="s">
        <v>606</v>
      </c>
      <c r="E70" s="210" t="s">
        <v>104</v>
      </c>
      <c r="G70" s="488">
        <v>0</v>
      </c>
      <c r="H70" s="490"/>
      <c r="I70" s="494">
        <v>4.4000000000000003E-3</v>
      </c>
      <c r="J70" s="471"/>
      <c r="K70" s="495">
        <v>2.8E-3</v>
      </c>
      <c r="L70" s="471"/>
      <c r="M70" s="471"/>
      <c r="N70" s="471"/>
      <c r="O70" s="472"/>
      <c r="P70" s="471"/>
      <c r="Q70" s="471"/>
      <c r="R70" s="472"/>
      <c r="S70" s="489">
        <v>0</v>
      </c>
      <c r="T70" s="494">
        <v>0</v>
      </c>
      <c r="U70" s="491"/>
      <c r="V70" s="492"/>
      <c r="X70" s="183">
        <f>'Q (t)'!G70</f>
        <v>50370</v>
      </c>
      <c r="Y70" s="184">
        <f>'Q (t)'!H70</f>
        <v>0</v>
      </c>
      <c r="Z70" s="178">
        <f>'Q (t)'!I70</f>
        <v>265600</v>
      </c>
      <c r="AA70" s="178">
        <f>'Q (t)'!J70</f>
        <v>0</v>
      </c>
      <c r="AB70" s="179">
        <f>'Q (t)'!K70</f>
        <v>284700</v>
      </c>
      <c r="AC70" s="178">
        <f>'Q (t)'!L70</f>
        <v>0</v>
      </c>
      <c r="AD70" s="178">
        <f>'Q (t)'!M70</f>
        <v>0</v>
      </c>
      <c r="AE70" s="178">
        <f>'Q (t)'!N70</f>
        <v>0</v>
      </c>
      <c r="AF70" s="179">
        <f>'Q (t)'!O70</f>
        <v>0</v>
      </c>
      <c r="AG70" s="178">
        <f>'Q (t)'!P70</f>
        <v>0</v>
      </c>
      <c r="AH70" s="178">
        <f>'Q (t)'!Q70</f>
        <v>0</v>
      </c>
      <c r="AI70" s="179">
        <f>'Q (t)'!R70</f>
        <v>0</v>
      </c>
      <c r="AJ70" s="184">
        <f>'Q (t)'!S70</f>
        <v>50549580</v>
      </c>
      <c r="AK70" s="178">
        <f>'Q (t)'!T70</f>
        <v>65300325</v>
      </c>
      <c r="AL70" s="184">
        <f>'Q (t)'!U70</f>
        <v>0</v>
      </c>
      <c r="AM70" s="179">
        <f>'Q (t)'!V70</f>
        <v>0</v>
      </c>
      <c r="AO70" s="183">
        <f t="shared" si="2"/>
        <v>0</v>
      </c>
      <c r="AP70" s="184">
        <f t="shared" si="45"/>
        <v>0</v>
      </c>
      <c r="AQ70" s="178">
        <f t="shared" si="45"/>
        <v>1168.6400000000001</v>
      </c>
      <c r="AR70" s="178">
        <f t="shared" si="45"/>
        <v>0</v>
      </c>
      <c r="AS70" s="179">
        <f t="shared" si="45"/>
        <v>797.16</v>
      </c>
      <c r="AT70" s="178">
        <f t="shared" si="45"/>
        <v>0</v>
      </c>
      <c r="AU70" s="178">
        <f t="shared" si="45"/>
        <v>0</v>
      </c>
      <c r="AV70" s="178">
        <f t="shared" si="45"/>
        <v>0</v>
      </c>
      <c r="AW70" s="179">
        <f t="shared" si="45"/>
        <v>0</v>
      </c>
      <c r="AX70" s="178">
        <f t="shared" si="42"/>
        <v>0</v>
      </c>
      <c r="AY70" s="178">
        <f t="shared" si="42"/>
        <v>0</v>
      </c>
      <c r="AZ70" s="179">
        <f t="shared" si="42"/>
        <v>0</v>
      </c>
      <c r="BA70" s="184">
        <f t="shared" si="41"/>
        <v>0</v>
      </c>
      <c r="BB70" s="178">
        <f t="shared" si="41"/>
        <v>0</v>
      </c>
      <c r="BC70" s="184">
        <f t="shared" si="41"/>
        <v>0</v>
      </c>
      <c r="BD70" s="178">
        <f t="shared" si="41"/>
        <v>0</v>
      </c>
      <c r="BE70" s="251">
        <f t="shared" si="3"/>
        <v>138</v>
      </c>
      <c r="BF70" s="252">
        <f t="shared" si="40"/>
        <v>550300</v>
      </c>
      <c r="BH70" s="262">
        <f t="shared" ref="BH70:BH90" si="46">SUM(AO70)</f>
        <v>0</v>
      </c>
      <c r="BI70" s="262">
        <f t="shared" ref="BI70:BI90" si="47">SUM(AP70:AS70)</f>
        <v>1965.8000000000002</v>
      </c>
      <c r="BJ70" s="262">
        <f t="shared" ref="BJ70:BJ90" si="48">SUM(AT70:AW70)</f>
        <v>0</v>
      </c>
      <c r="BK70" s="263">
        <f t="shared" ref="BK70:BK90" si="49">SUM(AX70:BB70)</f>
        <v>0</v>
      </c>
      <c r="BL70" s="269">
        <f t="shared" ref="BL70:BL90" si="50">SUM(BC70:BD70)</f>
        <v>0</v>
      </c>
      <c r="BM70" s="264">
        <f t="shared" si="5"/>
        <v>1965.8000000000002</v>
      </c>
      <c r="BO70" s="732">
        <f t="shared" si="6"/>
        <v>3.5722333272760318</v>
      </c>
    </row>
    <row r="71" spans="2:67" ht="15" customHeight="1" x14ac:dyDescent="0.25">
      <c r="B71" s="156">
        <f t="shared" si="27"/>
        <v>2</v>
      </c>
      <c r="C71" s="180" t="s">
        <v>607</v>
      </c>
      <c r="D71" s="181" t="s">
        <v>608</v>
      </c>
      <c r="E71" s="210" t="s">
        <v>105</v>
      </c>
      <c r="G71" s="488">
        <v>0</v>
      </c>
      <c r="H71" s="490"/>
      <c r="I71" s="494">
        <v>4.4000000000000003E-3</v>
      </c>
      <c r="J71" s="471"/>
      <c r="K71" s="495">
        <v>2.8E-3</v>
      </c>
      <c r="L71" s="471"/>
      <c r="M71" s="471"/>
      <c r="N71" s="471"/>
      <c r="O71" s="472"/>
      <c r="P71" s="494">
        <v>0</v>
      </c>
      <c r="Q71" s="471"/>
      <c r="R71" s="472"/>
      <c r="S71" s="490"/>
      <c r="T71" s="494">
        <v>0</v>
      </c>
      <c r="U71" s="491"/>
      <c r="V71" s="492"/>
      <c r="X71" s="183">
        <f>'Q (t)'!G71</f>
        <v>2190</v>
      </c>
      <c r="Y71" s="184">
        <f>'Q (t)'!H71</f>
        <v>0</v>
      </c>
      <c r="Z71" s="178">
        <f>'Q (t)'!I71</f>
        <v>7600</v>
      </c>
      <c r="AA71" s="178">
        <f>'Q (t)'!J71</f>
        <v>0</v>
      </c>
      <c r="AB71" s="179">
        <f>'Q (t)'!K71</f>
        <v>10800</v>
      </c>
      <c r="AC71" s="178">
        <f>'Q (t)'!L71</f>
        <v>0</v>
      </c>
      <c r="AD71" s="178">
        <f>'Q (t)'!M71</f>
        <v>0</v>
      </c>
      <c r="AE71" s="178">
        <f>'Q (t)'!N71</f>
        <v>0</v>
      </c>
      <c r="AF71" s="179">
        <f>'Q (t)'!O71</f>
        <v>0</v>
      </c>
      <c r="AG71" s="178">
        <f>'Q (t)'!P71</f>
        <v>546922</v>
      </c>
      <c r="AH71" s="178">
        <f>'Q (t)'!Q71</f>
        <v>0</v>
      </c>
      <c r="AI71" s="179">
        <f>'Q (t)'!R71</f>
        <v>0</v>
      </c>
      <c r="AJ71" s="184">
        <f>'Q (t)'!S71</f>
        <v>0</v>
      </c>
      <c r="AK71" s="178">
        <f>'Q (t)'!T71</f>
        <v>3293760</v>
      </c>
      <c r="AL71" s="184">
        <f>'Q (t)'!U71</f>
        <v>0</v>
      </c>
      <c r="AM71" s="179">
        <f>'Q (t)'!V71</f>
        <v>0</v>
      </c>
      <c r="AO71" s="183">
        <f t="shared" si="2"/>
        <v>0</v>
      </c>
      <c r="AP71" s="184">
        <f t="shared" si="45"/>
        <v>0</v>
      </c>
      <c r="AQ71" s="178">
        <f t="shared" si="45"/>
        <v>33.440000000000005</v>
      </c>
      <c r="AR71" s="178">
        <f t="shared" si="45"/>
        <v>0</v>
      </c>
      <c r="AS71" s="179">
        <f t="shared" si="45"/>
        <v>30.24</v>
      </c>
      <c r="AT71" s="178">
        <f t="shared" si="45"/>
        <v>0</v>
      </c>
      <c r="AU71" s="178">
        <f t="shared" si="45"/>
        <v>0</v>
      </c>
      <c r="AV71" s="178">
        <f t="shared" si="45"/>
        <v>0</v>
      </c>
      <c r="AW71" s="179">
        <f t="shared" si="45"/>
        <v>0</v>
      </c>
      <c r="AX71" s="178">
        <f t="shared" si="42"/>
        <v>0</v>
      </c>
      <c r="AY71" s="178">
        <f t="shared" si="42"/>
        <v>0</v>
      </c>
      <c r="AZ71" s="179">
        <f t="shared" si="42"/>
        <v>0</v>
      </c>
      <c r="BA71" s="184">
        <f t="shared" si="41"/>
        <v>0</v>
      </c>
      <c r="BB71" s="178">
        <f t="shared" si="41"/>
        <v>0</v>
      </c>
      <c r="BC71" s="184">
        <f t="shared" si="41"/>
        <v>0</v>
      </c>
      <c r="BD71" s="178">
        <f t="shared" si="41"/>
        <v>0</v>
      </c>
      <c r="BE71" s="251">
        <f t="shared" si="3"/>
        <v>6</v>
      </c>
      <c r="BF71" s="252">
        <f t="shared" si="40"/>
        <v>18400</v>
      </c>
      <c r="BH71" s="262">
        <f t="shared" si="46"/>
        <v>0</v>
      </c>
      <c r="BI71" s="262">
        <f t="shared" si="47"/>
        <v>63.680000000000007</v>
      </c>
      <c r="BJ71" s="262">
        <f t="shared" si="48"/>
        <v>0</v>
      </c>
      <c r="BK71" s="263">
        <f t="shared" si="49"/>
        <v>0</v>
      </c>
      <c r="BL71" s="269">
        <f t="shared" si="50"/>
        <v>0</v>
      </c>
      <c r="BM71" s="264">
        <f t="shared" si="5"/>
        <v>63.680000000000007</v>
      </c>
      <c r="BO71" s="732">
        <f t="shared" si="6"/>
        <v>3.4608695652173918</v>
      </c>
    </row>
    <row r="72" spans="2:67" ht="15" customHeight="1" x14ac:dyDescent="0.25">
      <c r="B72" s="156">
        <f t="shared" si="27"/>
        <v>3</v>
      </c>
      <c r="C72" s="180" t="s">
        <v>609</v>
      </c>
      <c r="D72" s="181" t="s">
        <v>610</v>
      </c>
      <c r="E72" s="210" t="s">
        <v>106</v>
      </c>
      <c r="G72" s="488"/>
      <c r="H72" s="490"/>
      <c r="I72" s="494"/>
      <c r="J72" s="471"/>
      <c r="K72" s="495"/>
      <c r="L72" s="471"/>
      <c r="M72" s="471"/>
      <c r="N72" s="471"/>
      <c r="O72" s="472"/>
      <c r="P72" s="471"/>
      <c r="Q72" s="471"/>
      <c r="R72" s="472"/>
      <c r="S72" s="490"/>
      <c r="T72" s="471"/>
      <c r="U72" s="491"/>
      <c r="V72" s="492"/>
      <c r="X72" s="183">
        <f>'Q (t)'!G72</f>
        <v>0</v>
      </c>
      <c r="Y72" s="184">
        <f>'Q (t)'!H72</f>
        <v>0</v>
      </c>
      <c r="Z72" s="178">
        <f>'Q (t)'!I72</f>
        <v>0</v>
      </c>
      <c r="AA72" s="178">
        <f>'Q (t)'!J72</f>
        <v>0</v>
      </c>
      <c r="AB72" s="179">
        <f>'Q (t)'!K72</f>
        <v>0</v>
      </c>
      <c r="AC72" s="178">
        <f>'Q (t)'!L72</f>
        <v>0</v>
      </c>
      <c r="AD72" s="178">
        <f>'Q (t)'!M72</f>
        <v>0</v>
      </c>
      <c r="AE72" s="178">
        <f>'Q (t)'!N72</f>
        <v>0</v>
      </c>
      <c r="AF72" s="179">
        <f>'Q (t)'!O72</f>
        <v>0</v>
      </c>
      <c r="AG72" s="178">
        <f>'Q (t)'!P72</f>
        <v>0</v>
      </c>
      <c r="AH72" s="178">
        <f>'Q (t)'!Q72</f>
        <v>0</v>
      </c>
      <c r="AI72" s="179">
        <f>'Q (t)'!R72</f>
        <v>0</v>
      </c>
      <c r="AJ72" s="184">
        <f>'Q (t)'!S72</f>
        <v>0</v>
      </c>
      <c r="AK72" s="178">
        <f>'Q (t)'!T72</f>
        <v>0</v>
      </c>
      <c r="AL72" s="184">
        <f>'Q (t)'!U72</f>
        <v>0</v>
      </c>
      <c r="AM72" s="179">
        <f>'Q (t)'!V72</f>
        <v>0</v>
      </c>
      <c r="AO72" s="183">
        <f t="shared" si="2"/>
        <v>0</v>
      </c>
      <c r="AP72" s="184">
        <f t="shared" si="45"/>
        <v>0</v>
      </c>
      <c r="AQ72" s="178">
        <f t="shared" si="45"/>
        <v>0</v>
      </c>
      <c r="AR72" s="178">
        <f t="shared" si="45"/>
        <v>0</v>
      </c>
      <c r="AS72" s="179">
        <f t="shared" si="45"/>
        <v>0</v>
      </c>
      <c r="AT72" s="178">
        <f t="shared" si="45"/>
        <v>0</v>
      </c>
      <c r="AU72" s="178">
        <f t="shared" si="45"/>
        <v>0</v>
      </c>
      <c r="AV72" s="178">
        <f t="shared" si="45"/>
        <v>0</v>
      </c>
      <c r="AW72" s="179">
        <f t="shared" si="45"/>
        <v>0</v>
      </c>
      <c r="AX72" s="178">
        <f t="shared" si="42"/>
        <v>0</v>
      </c>
      <c r="AY72" s="178">
        <f t="shared" si="42"/>
        <v>0</v>
      </c>
      <c r="AZ72" s="179">
        <f t="shared" si="42"/>
        <v>0</v>
      </c>
      <c r="BA72" s="184">
        <f t="shared" si="41"/>
        <v>0</v>
      </c>
      <c r="BB72" s="178">
        <f t="shared" si="41"/>
        <v>0</v>
      </c>
      <c r="BC72" s="184">
        <f t="shared" si="41"/>
        <v>0</v>
      </c>
      <c r="BD72" s="178">
        <f t="shared" si="41"/>
        <v>0</v>
      </c>
      <c r="BE72" s="251">
        <f t="shared" si="3"/>
        <v>0</v>
      </c>
      <c r="BF72" s="252">
        <f t="shared" si="40"/>
        <v>0</v>
      </c>
      <c r="BH72" s="262">
        <f t="shared" si="46"/>
        <v>0</v>
      </c>
      <c r="BI72" s="262">
        <f t="shared" si="47"/>
        <v>0</v>
      </c>
      <c r="BJ72" s="262">
        <f t="shared" si="48"/>
        <v>0</v>
      </c>
      <c r="BK72" s="263">
        <f t="shared" si="49"/>
        <v>0</v>
      </c>
      <c r="BL72" s="269">
        <f t="shared" si="50"/>
        <v>0</v>
      </c>
      <c r="BM72" s="264">
        <f t="shared" si="5"/>
        <v>0</v>
      </c>
      <c r="BO72" s="732" t="str">
        <f t="shared" si="6"/>
        <v/>
      </c>
    </row>
    <row r="73" spans="2:67" ht="15" customHeight="1" x14ac:dyDescent="0.25">
      <c r="B73" s="156">
        <f t="shared" si="27"/>
        <v>4</v>
      </c>
      <c r="C73" s="180" t="s">
        <v>107</v>
      </c>
      <c r="D73" s="181" t="s">
        <v>107</v>
      </c>
      <c r="E73" s="210" t="s">
        <v>108</v>
      </c>
      <c r="G73" s="488">
        <v>0</v>
      </c>
      <c r="H73" s="489">
        <v>3.5999999999999999E-3</v>
      </c>
      <c r="I73" s="471"/>
      <c r="J73" s="471"/>
      <c r="K73" s="472"/>
      <c r="L73" s="471"/>
      <c r="M73" s="471"/>
      <c r="N73" s="471"/>
      <c r="O73" s="472"/>
      <c r="P73" s="471"/>
      <c r="Q73" s="494">
        <v>0</v>
      </c>
      <c r="R73" s="495">
        <v>0</v>
      </c>
      <c r="S73" s="490"/>
      <c r="T73" s="471"/>
      <c r="U73" s="491"/>
      <c r="V73" s="492"/>
      <c r="X73" s="183">
        <f>'Q (t)'!G73</f>
        <v>4745</v>
      </c>
      <c r="Y73" s="184">
        <f>'Q (t)'!H73</f>
        <v>12500</v>
      </c>
      <c r="Z73" s="178">
        <f>'Q (t)'!I73</f>
        <v>0</v>
      </c>
      <c r="AA73" s="178">
        <f>'Q (t)'!J73</f>
        <v>0</v>
      </c>
      <c r="AB73" s="179">
        <f>'Q (t)'!K73</f>
        <v>0</v>
      </c>
      <c r="AC73" s="178">
        <f>'Q (t)'!L73</f>
        <v>0</v>
      </c>
      <c r="AD73" s="178">
        <f>'Q (t)'!M73</f>
        <v>0</v>
      </c>
      <c r="AE73" s="178">
        <f>'Q (t)'!N73</f>
        <v>0</v>
      </c>
      <c r="AF73" s="179">
        <f>'Q (t)'!O73</f>
        <v>0</v>
      </c>
      <c r="AG73" s="178">
        <f>'Q (t)'!P73</f>
        <v>0</v>
      </c>
      <c r="AH73" s="178">
        <f>'Q (t)'!Q73</f>
        <v>449678</v>
      </c>
      <c r="AI73" s="179">
        <f>'Q (t)'!R73</f>
        <v>1623520</v>
      </c>
      <c r="AJ73" s="184">
        <f>'Q (t)'!S73</f>
        <v>0</v>
      </c>
      <c r="AK73" s="178">
        <f>'Q (t)'!T73</f>
        <v>0</v>
      </c>
      <c r="AL73" s="184">
        <f>'Q (t)'!U73</f>
        <v>0</v>
      </c>
      <c r="AM73" s="179">
        <f>'Q (t)'!V73</f>
        <v>0</v>
      </c>
      <c r="AO73" s="183">
        <f t="shared" si="2"/>
        <v>0</v>
      </c>
      <c r="AP73" s="184">
        <f t="shared" si="45"/>
        <v>45</v>
      </c>
      <c r="AQ73" s="178">
        <f t="shared" si="45"/>
        <v>0</v>
      </c>
      <c r="AR73" s="178">
        <f t="shared" si="45"/>
        <v>0</v>
      </c>
      <c r="AS73" s="179">
        <f t="shared" si="45"/>
        <v>0</v>
      </c>
      <c r="AT73" s="178">
        <f t="shared" si="45"/>
        <v>0</v>
      </c>
      <c r="AU73" s="178">
        <f t="shared" si="45"/>
        <v>0</v>
      </c>
      <c r="AV73" s="178">
        <f t="shared" si="45"/>
        <v>0</v>
      </c>
      <c r="AW73" s="179">
        <f t="shared" si="45"/>
        <v>0</v>
      </c>
      <c r="AX73" s="178">
        <f t="shared" si="42"/>
        <v>0</v>
      </c>
      <c r="AY73" s="178">
        <f t="shared" si="42"/>
        <v>0</v>
      </c>
      <c r="AZ73" s="179">
        <f t="shared" si="42"/>
        <v>0</v>
      </c>
      <c r="BA73" s="184">
        <f t="shared" si="41"/>
        <v>0</v>
      </c>
      <c r="BB73" s="178">
        <f t="shared" si="41"/>
        <v>0</v>
      </c>
      <c r="BC73" s="184">
        <f t="shared" si="41"/>
        <v>0</v>
      </c>
      <c r="BD73" s="178">
        <f t="shared" si="41"/>
        <v>0</v>
      </c>
      <c r="BE73" s="251">
        <f t="shared" si="3"/>
        <v>13</v>
      </c>
      <c r="BF73" s="252">
        <f t="shared" si="40"/>
        <v>12500</v>
      </c>
      <c r="BH73" s="262">
        <f t="shared" si="46"/>
        <v>0</v>
      </c>
      <c r="BI73" s="262">
        <f t="shared" si="47"/>
        <v>45</v>
      </c>
      <c r="BJ73" s="262">
        <f t="shared" si="48"/>
        <v>0</v>
      </c>
      <c r="BK73" s="263">
        <f t="shared" si="49"/>
        <v>0</v>
      </c>
      <c r="BL73" s="269">
        <f t="shared" si="50"/>
        <v>0</v>
      </c>
      <c r="BM73" s="264">
        <f t="shared" si="5"/>
        <v>45</v>
      </c>
      <c r="BO73" s="732">
        <f t="shared" si="6"/>
        <v>3.6</v>
      </c>
    </row>
    <row r="74" spans="2:67" ht="15" customHeight="1" x14ac:dyDescent="0.25">
      <c r="B74" s="156">
        <f t="shared" si="27"/>
        <v>5</v>
      </c>
      <c r="C74" s="180" t="s">
        <v>611</v>
      </c>
      <c r="D74" s="181" t="s">
        <v>612</v>
      </c>
      <c r="E74" s="210" t="s">
        <v>109</v>
      </c>
      <c r="G74" s="488">
        <v>0</v>
      </c>
      <c r="H74" s="490"/>
      <c r="I74" s="494">
        <v>4.4000000000000003E-3</v>
      </c>
      <c r="J74" s="471"/>
      <c r="K74" s="495">
        <v>2.8E-3</v>
      </c>
      <c r="L74" s="471"/>
      <c r="M74" s="471"/>
      <c r="N74" s="471"/>
      <c r="O74" s="472"/>
      <c r="P74" s="471"/>
      <c r="Q74" s="471"/>
      <c r="R74" s="472"/>
      <c r="S74" s="489">
        <f>S47</f>
        <v>0</v>
      </c>
      <c r="T74" s="494">
        <v>0</v>
      </c>
      <c r="U74" s="491"/>
      <c r="V74" s="492"/>
      <c r="X74" s="183">
        <f>'Q (t)'!G74</f>
        <v>9125</v>
      </c>
      <c r="Y74" s="184">
        <f>'Q (t)'!H74</f>
        <v>0</v>
      </c>
      <c r="Z74" s="178">
        <f>'Q (t)'!I74</f>
        <v>3700</v>
      </c>
      <c r="AA74" s="178">
        <f>'Q (t)'!J74</f>
        <v>0</v>
      </c>
      <c r="AB74" s="179">
        <f>'Q (t)'!K74</f>
        <v>3700</v>
      </c>
      <c r="AC74" s="178">
        <f>'Q (t)'!L74</f>
        <v>0</v>
      </c>
      <c r="AD74" s="178">
        <f>'Q (t)'!M74</f>
        <v>0</v>
      </c>
      <c r="AE74" s="178">
        <f>'Q (t)'!N74</f>
        <v>0</v>
      </c>
      <c r="AF74" s="179">
        <f>'Q (t)'!O74</f>
        <v>0</v>
      </c>
      <c r="AG74" s="178">
        <f>'Q (t)'!P74</f>
        <v>0</v>
      </c>
      <c r="AH74" s="178">
        <f>'Q (t)'!Q74</f>
        <v>0</v>
      </c>
      <c r="AI74" s="179">
        <f>'Q (t)'!R74</f>
        <v>0</v>
      </c>
      <c r="AJ74" s="184">
        <f>'Q (t)'!S74</f>
        <v>662840</v>
      </c>
      <c r="AK74" s="178">
        <f>'Q (t)'!T74</f>
        <v>1369115</v>
      </c>
      <c r="AL74" s="184">
        <f>'Q (t)'!U74</f>
        <v>0</v>
      </c>
      <c r="AM74" s="179">
        <f>'Q (t)'!V74</f>
        <v>0</v>
      </c>
      <c r="AO74" s="183">
        <f t="shared" si="2"/>
        <v>0</v>
      </c>
      <c r="AP74" s="184">
        <f t="shared" si="45"/>
        <v>0</v>
      </c>
      <c r="AQ74" s="178">
        <f t="shared" si="45"/>
        <v>16.28</v>
      </c>
      <c r="AR74" s="178">
        <f t="shared" si="45"/>
        <v>0</v>
      </c>
      <c r="AS74" s="179">
        <f t="shared" si="45"/>
        <v>10.36</v>
      </c>
      <c r="AT74" s="178">
        <f t="shared" si="45"/>
        <v>0</v>
      </c>
      <c r="AU74" s="178">
        <f t="shared" si="45"/>
        <v>0</v>
      </c>
      <c r="AV74" s="178">
        <f t="shared" si="45"/>
        <v>0</v>
      </c>
      <c r="AW74" s="179">
        <f t="shared" si="45"/>
        <v>0</v>
      </c>
      <c r="AX74" s="178">
        <f t="shared" si="42"/>
        <v>0</v>
      </c>
      <c r="AY74" s="178">
        <f t="shared" si="42"/>
        <v>0</v>
      </c>
      <c r="AZ74" s="179">
        <f t="shared" si="42"/>
        <v>0</v>
      </c>
      <c r="BA74" s="184">
        <f t="shared" si="41"/>
        <v>0</v>
      </c>
      <c r="BB74" s="178">
        <f t="shared" si="41"/>
        <v>0</v>
      </c>
      <c r="BC74" s="184">
        <f t="shared" si="41"/>
        <v>0</v>
      </c>
      <c r="BD74" s="178">
        <f t="shared" si="41"/>
        <v>0</v>
      </c>
      <c r="BE74" s="251">
        <f t="shared" si="3"/>
        <v>25</v>
      </c>
      <c r="BF74" s="252">
        <f t="shared" si="40"/>
        <v>7400</v>
      </c>
      <c r="BH74" s="262">
        <f t="shared" si="46"/>
        <v>0</v>
      </c>
      <c r="BI74" s="262">
        <f t="shared" si="47"/>
        <v>26.64</v>
      </c>
      <c r="BJ74" s="262">
        <f t="shared" si="48"/>
        <v>0</v>
      </c>
      <c r="BK74" s="263">
        <f t="shared" si="49"/>
        <v>0</v>
      </c>
      <c r="BL74" s="269">
        <f t="shared" si="50"/>
        <v>0</v>
      </c>
      <c r="BM74" s="264">
        <f t="shared" si="5"/>
        <v>26.64</v>
      </c>
      <c r="BO74" s="732">
        <f t="shared" si="6"/>
        <v>3.6</v>
      </c>
    </row>
    <row r="75" spans="2:67" ht="15" customHeight="1" x14ac:dyDescent="0.25">
      <c r="B75" s="156">
        <f t="shared" si="27"/>
        <v>6</v>
      </c>
      <c r="C75" s="180" t="s">
        <v>613</v>
      </c>
      <c r="D75" s="181" t="s">
        <v>614</v>
      </c>
      <c r="E75" s="210" t="s">
        <v>110</v>
      </c>
      <c r="G75" s="488">
        <v>0</v>
      </c>
      <c r="H75" s="490"/>
      <c r="I75" s="494">
        <v>0</v>
      </c>
      <c r="J75" s="471"/>
      <c r="K75" s="495">
        <v>0</v>
      </c>
      <c r="L75" s="471"/>
      <c r="M75" s="471"/>
      <c r="N75" s="471"/>
      <c r="O75" s="472"/>
      <c r="P75" s="471"/>
      <c r="Q75" s="471"/>
      <c r="R75" s="472"/>
      <c r="S75" s="489">
        <v>0</v>
      </c>
      <c r="T75" s="495">
        <v>0</v>
      </c>
      <c r="U75" s="491"/>
      <c r="V75" s="492"/>
      <c r="X75" s="183">
        <f>'Q (t)'!G75</f>
        <v>0</v>
      </c>
      <c r="Y75" s="184">
        <f>'Q (t)'!H75</f>
        <v>0</v>
      </c>
      <c r="Z75" s="178">
        <f>'Q (t)'!I75</f>
        <v>0</v>
      </c>
      <c r="AA75" s="178">
        <f>'Q (t)'!J75</f>
        <v>0</v>
      </c>
      <c r="AB75" s="179">
        <f>'Q (t)'!K75</f>
        <v>0</v>
      </c>
      <c r="AC75" s="178">
        <f>'Q (t)'!L75</f>
        <v>0</v>
      </c>
      <c r="AD75" s="178">
        <f>'Q (t)'!M75</f>
        <v>0</v>
      </c>
      <c r="AE75" s="178">
        <f>'Q (t)'!N75</f>
        <v>0</v>
      </c>
      <c r="AF75" s="179">
        <f>'Q (t)'!O75</f>
        <v>0</v>
      </c>
      <c r="AG75" s="178">
        <f>'Q (t)'!P75</f>
        <v>0</v>
      </c>
      <c r="AH75" s="178">
        <f>'Q (t)'!Q75</f>
        <v>0</v>
      </c>
      <c r="AI75" s="179">
        <f>'Q (t)'!R75</f>
        <v>0</v>
      </c>
      <c r="AJ75" s="184">
        <f>'Q (t)'!S75</f>
        <v>0</v>
      </c>
      <c r="AK75" s="178">
        <f>'Q (t)'!T75</f>
        <v>0</v>
      </c>
      <c r="AL75" s="184">
        <f>'Q (t)'!U75</f>
        <v>0</v>
      </c>
      <c r="AM75" s="179">
        <f>'Q (t)'!V75</f>
        <v>0</v>
      </c>
      <c r="AO75" s="183">
        <f t="shared" si="2"/>
        <v>0</v>
      </c>
      <c r="AP75" s="184">
        <f t="shared" si="45"/>
        <v>0</v>
      </c>
      <c r="AQ75" s="178">
        <f t="shared" si="45"/>
        <v>0</v>
      </c>
      <c r="AR75" s="178">
        <f t="shared" si="45"/>
        <v>0</v>
      </c>
      <c r="AS75" s="179">
        <f t="shared" si="45"/>
        <v>0</v>
      </c>
      <c r="AT75" s="178">
        <f t="shared" si="45"/>
        <v>0</v>
      </c>
      <c r="AU75" s="178">
        <f t="shared" si="45"/>
        <v>0</v>
      </c>
      <c r="AV75" s="178">
        <f t="shared" si="45"/>
        <v>0</v>
      </c>
      <c r="AW75" s="179">
        <f t="shared" si="45"/>
        <v>0</v>
      </c>
      <c r="AX75" s="178">
        <f t="shared" si="42"/>
        <v>0</v>
      </c>
      <c r="AY75" s="178">
        <f t="shared" si="42"/>
        <v>0</v>
      </c>
      <c r="AZ75" s="179">
        <f t="shared" si="42"/>
        <v>0</v>
      </c>
      <c r="BA75" s="184">
        <f t="shared" si="41"/>
        <v>0</v>
      </c>
      <c r="BB75" s="178">
        <f t="shared" si="41"/>
        <v>0</v>
      </c>
      <c r="BC75" s="184">
        <f t="shared" si="41"/>
        <v>0</v>
      </c>
      <c r="BD75" s="178">
        <f t="shared" si="41"/>
        <v>0</v>
      </c>
      <c r="BE75" s="251">
        <f t="shared" si="3"/>
        <v>0</v>
      </c>
      <c r="BF75" s="252">
        <f t="shared" si="40"/>
        <v>0</v>
      </c>
      <c r="BH75" s="262">
        <f t="shared" si="46"/>
        <v>0</v>
      </c>
      <c r="BI75" s="262">
        <f t="shared" si="47"/>
        <v>0</v>
      </c>
      <c r="BJ75" s="262">
        <f t="shared" si="48"/>
        <v>0</v>
      </c>
      <c r="BK75" s="263">
        <f t="shared" si="49"/>
        <v>0</v>
      </c>
      <c r="BL75" s="269">
        <f t="shared" si="50"/>
        <v>0</v>
      </c>
      <c r="BM75" s="264">
        <f t="shared" si="5"/>
        <v>0</v>
      </c>
      <c r="BO75" s="732" t="str">
        <f t="shared" si="6"/>
        <v/>
      </c>
    </row>
    <row r="76" spans="2:67" ht="15" customHeight="1" x14ac:dyDescent="0.25">
      <c r="B76" s="156">
        <f t="shared" si="27"/>
        <v>7</v>
      </c>
      <c r="C76" s="211"/>
      <c r="D76" s="212"/>
      <c r="E76" s="217" t="s">
        <v>111</v>
      </c>
      <c r="G76" s="493"/>
      <c r="H76" s="490"/>
      <c r="I76" s="471"/>
      <c r="J76" s="471"/>
      <c r="K76" s="472"/>
      <c r="L76" s="471"/>
      <c r="M76" s="471"/>
      <c r="N76" s="471"/>
      <c r="O76" s="472"/>
      <c r="P76" s="471"/>
      <c r="Q76" s="471"/>
      <c r="R76" s="472"/>
      <c r="S76" s="490"/>
      <c r="T76" s="471"/>
      <c r="U76" s="491"/>
      <c r="V76" s="492"/>
      <c r="X76" s="183">
        <f>'Q (t)'!G76</f>
        <v>0</v>
      </c>
      <c r="Y76" s="184">
        <f>'Q (t)'!H76</f>
        <v>0</v>
      </c>
      <c r="Z76" s="178">
        <f>'Q (t)'!I76</f>
        <v>0</v>
      </c>
      <c r="AA76" s="178">
        <f>'Q (t)'!J76</f>
        <v>0</v>
      </c>
      <c r="AB76" s="179">
        <f>'Q (t)'!K76</f>
        <v>0</v>
      </c>
      <c r="AC76" s="178">
        <f>'Q (t)'!L76</f>
        <v>0</v>
      </c>
      <c r="AD76" s="178">
        <f>'Q (t)'!M76</f>
        <v>0</v>
      </c>
      <c r="AE76" s="178">
        <f>'Q (t)'!N76</f>
        <v>0</v>
      </c>
      <c r="AF76" s="179">
        <f>'Q (t)'!O76</f>
        <v>0</v>
      </c>
      <c r="AG76" s="178">
        <f>'Q (t)'!P76</f>
        <v>0</v>
      </c>
      <c r="AH76" s="178">
        <f>'Q (t)'!Q76</f>
        <v>0</v>
      </c>
      <c r="AI76" s="179">
        <f>'Q (t)'!R76</f>
        <v>0</v>
      </c>
      <c r="AJ76" s="184">
        <f>'Q (t)'!S76</f>
        <v>0</v>
      </c>
      <c r="AK76" s="178">
        <f>'Q (t)'!T76</f>
        <v>0</v>
      </c>
      <c r="AL76" s="184">
        <f>'Q (t)'!U76</f>
        <v>0</v>
      </c>
      <c r="AM76" s="179">
        <f>'Q (t)'!V76</f>
        <v>0</v>
      </c>
      <c r="AO76" s="183">
        <f t="shared" si="2"/>
        <v>0</v>
      </c>
      <c r="AP76" s="184">
        <f t="shared" si="45"/>
        <v>0</v>
      </c>
      <c r="AQ76" s="178">
        <f t="shared" si="45"/>
        <v>0</v>
      </c>
      <c r="AR76" s="178">
        <f t="shared" si="45"/>
        <v>0</v>
      </c>
      <c r="AS76" s="179">
        <f t="shared" si="45"/>
        <v>0</v>
      </c>
      <c r="AT76" s="178">
        <f t="shared" si="45"/>
        <v>0</v>
      </c>
      <c r="AU76" s="178">
        <f t="shared" si="45"/>
        <v>0</v>
      </c>
      <c r="AV76" s="178">
        <f t="shared" si="45"/>
        <v>0</v>
      </c>
      <c r="AW76" s="179">
        <f t="shared" si="45"/>
        <v>0</v>
      </c>
      <c r="AX76" s="178">
        <f t="shared" si="42"/>
        <v>0</v>
      </c>
      <c r="AY76" s="178">
        <f t="shared" si="42"/>
        <v>0</v>
      </c>
      <c r="AZ76" s="179">
        <f t="shared" si="42"/>
        <v>0</v>
      </c>
      <c r="BA76" s="184">
        <f t="shared" si="41"/>
        <v>0</v>
      </c>
      <c r="BB76" s="178">
        <f t="shared" si="41"/>
        <v>0</v>
      </c>
      <c r="BC76" s="184">
        <f t="shared" si="41"/>
        <v>0</v>
      </c>
      <c r="BD76" s="178">
        <f t="shared" si="41"/>
        <v>0</v>
      </c>
      <c r="BE76" s="251">
        <f t="shared" si="3"/>
        <v>0</v>
      </c>
      <c r="BF76" s="252">
        <f t="shared" si="40"/>
        <v>0</v>
      </c>
      <c r="BH76" s="262">
        <f t="shared" si="46"/>
        <v>0</v>
      </c>
      <c r="BI76" s="262">
        <f t="shared" si="47"/>
        <v>0</v>
      </c>
      <c r="BJ76" s="262">
        <f t="shared" si="48"/>
        <v>0</v>
      </c>
      <c r="BK76" s="263">
        <f t="shared" si="49"/>
        <v>0</v>
      </c>
      <c r="BL76" s="269">
        <f t="shared" si="50"/>
        <v>0</v>
      </c>
      <c r="BM76" s="264">
        <f t="shared" si="5"/>
        <v>0</v>
      </c>
      <c r="BO76" s="732" t="str">
        <f t="shared" si="6"/>
        <v/>
      </c>
    </row>
    <row r="77" spans="2:67" ht="15" customHeight="1" x14ac:dyDescent="0.25">
      <c r="B77" s="156">
        <f t="shared" si="27"/>
        <v>8</v>
      </c>
      <c r="C77" s="180" t="s">
        <v>571</v>
      </c>
      <c r="D77" s="181"/>
      <c r="E77" s="210" t="s">
        <v>104</v>
      </c>
      <c r="G77" s="488">
        <f>'Cust Specific'!T110</f>
        <v>0</v>
      </c>
      <c r="H77" s="490"/>
      <c r="I77" s="494">
        <f>'Cust Specific'!T113</f>
        <v>4.4000000000000003E-3</v>
      </c>
      <c r="J77" s="471"/>
      <c r="K77" s="495">
        <f>'Cust Specific'!T114</f>
        <v>2.8E-3</v>
      </c>
      <c r="L77" s="471"/>
      <c r="M77" s="471"/>
      <c r="N77" s="471"/>
      <c r="O77" s="472"/>
      <c r="P77" s="471"/>
      <c r="Q77" s="471"/>
      <c r="R77" s="472"/>
      <c r="S77" s="489">
        <f>'Cust Specific'!T111</f>
        <v>0</v>
      </c>
      <c r="T77" s="494">
        <f>'Cust Specific'!T112</f>
        <v>0</v>
      </c>
      <c r="U77" s="491"/>
      <c r="V77" s="492"/>
      <c r="X77" s="183">
        <f>'Q (t)'!G77</f>
        <v>365</v>
      </c>
      <c r="Y77" s="184">
        <f>'Q (t)'!H77</f>
        <v>0</v>
      </c>
      <c r="Z77" s="178">
        <f>'Q (t)'!I77</f>
        <v>12700</v>
      </c>
      <c r="AA77" s="178">
        <f>'Q (t)'!J77</f>
        <v>0</v>
      </c>
      <c r="AB77" s="179">
        <f>'Q (t)'!K77</f>
        <v>12500</v>
      </c>
      <c r="AC77" s="178">
        <f>'Q (t)'!L77</f>
        <v>0</v>
      </c>
      <c r="AD77" s="178">
        <f>'Q (t)'!M77</f>
        <v>0</v>
      </c>
      <c r="AE77" s="178">
        <f>'Q (t)'!N77</f>
        <v>0</v>
      </c>
      <c r="AF77" s="179">
        <f>'Q (t)'!O77</f>
        <v>0</v>
      </c>
      <c r="AG77" s="178">
        <f>'Q (t)'!P77</f>
        <v>0</v>
      </c>
      <c r="AH77" s="178">
        <f>'Q (t)'!Q77</f>
        <v>0</v>
      </c>
      <c r="AI77" s="179">
        <f>'Q (t)'!R77</f>
        <v>0</v>
      </c>
      <c r="AJ77" s="184">
        <f>'Q (t)'!S77</f>
        <v>1564390</v>
      </c>
      <c r="AK77" s="178">
        <f>'Q (t)'!T77</f>
        <v>2384180</v>
      </c>
      <c r="AL77" s="184">
        <f>'Q (t)'!U77</f>
        <v>0</v>
      </c>
      <c r="AM77" s="179">
        <f>'Q (t)'!V77</f>
        <v>0</v>
      </c>
      <c r="AO77" s="183">
        <f t="shared" si="2"/>
        <v>0</v>
      </c>
      <c r="AP77" s="184">
        <f t="shared" si="45"/>
        <v>0</v>
      </c>
      <c r="AQ77" s="178">
        <f t="shared" si="45"/>
        <v>55.88</v>
      </c>
      <c r="AR77" s="178">
        <f t="shared" si="45"/>
        <v>0</v>
      </c>
      <c r="AS77" s="179">
        <f t="shared" si="45"/>
        <v>35</v>
      </c>
      <c r="AT77" s="178">
        <f t="shared" si="45"/>
        <v>0</v>
      </c>
      <c r="AU77" s="178">
        <f t="shared" si="45"/>
        <v>0</v>
      </c>
      <c r="AV77" s="178">
        <f t="shared" si="45"/>
        <v>0</v>
      </c>
      <c r="AW77" s="179">
        <f t="shared" si="45"/>
        <v>0</v>
      </c>
      <c r="AX77" s="178">
        <f t="shared" si="42"/>
        <v>0</v>
      </c>
      <c r="AY77" s="178">
        <f t="shared" si="42"/>
        <v>0</v>
      </c>
      <c r="AZ77" s="179">
        <f t="shared" si="42"/>
        <v>0</v>
      </c>
      <c r="BA77" s="184">
        <f t="shared" si="41"/>
        <v>0</v>
      </c>
      <c r="BB77" s="178">
        <f t="shared" si="41"/>
        <v>0</v>
      </c>
      <c r="BC77" s="184">
        <f t="shared" si="41"/>
        <v>0</v>
      </c>
      <c r="BD77" s="178">
        <f t="shared" si="41"/>
        <v>0</v>
      </c>
      <c r="BE77" s="251">
        <f t="shared" si="3"/>
        <v>1</v>
      </c>
      <c r="BF77" s="252">
        <f t="shared" si="40"/>
        <v>25200</v>
      </c>
      <c r="BH77" s="262">
        <f t="shared" si="46"/>
        <v>0</v>
      </c>
      <c r="BI77" s="262">
        <f t="shared" si="47"/>
        <v>90.88</v>
      </c>
      <c r="BJ77" s="262">
        <f t="shared" si="48"/>
        <v>0</v>
      </c>
      <c r="BK77" s="263">
        <f t="shared" si="49"/>
        <v>0</v>
      </c>
      <c r="BL77" s="269">
        <f t="shared" si="50"/>
        <v>0</v>
      </c>
      <c r="BM77" s="264">
        <f t="shared" si="5"/>
        <v>90.88</v>
      </c>
      <c r="BO77" s="732">
        <f t="shared" si="6"/>
        <v>3.6063492063492064</v>
      </c>
    </row>
    <row r="78" spans="2:67" ht="15" customHeight="1" x14ac:dyDescent="0.25">
      <c r="B78" s="156">
        <f t="shared" si="27"/>
        <v>9</v>
      </c>
      <c r="C78" s="180" t="s">
        <v>572</v>
      </c>
      <c r="D78" s="181"/>
      <c r="E78" s="210" t="s">
        <v>104</v>
      </c>
      <c r="G78" s="488">
        <f>('Cust Specific'!T118)</f>
        <v>0</v>
      </c>
      <c r="H78" s="490"/>
      <c r="I78" s="494">
        <f>'Cust Specific'!T121</f>
        <v>4.4000000000000003E-3</v>
      </c>
      <c r="J78" s="471"/>
      <c r="K78" s="495">
        <f>'Cust Specific'!T122</f>
        <v>2.8E-3</v>
      </c>
      <c r="L78" s="471"/>
      <c r="M78" s="471"/>
      <c r="N78" s="471"/>
      <c r="O78" s="472"/>
      <c r="P78" s="471"/>
      <c r="Q78" s="471"/>
      <c r="R78" s="472"/>
      <c r="S78" s="489">
        <f>'Cust Specific'!T119</f>
        <v>0</v>
      </c>
      <c r="T78" s="494">
        <f>'Cust Specific'!T120</f>
        <v>0</v>
      </c>
      <c r="U78" s="491"/>
      <c r="V78" s="492"/>
      <c r="X78" s="183">
        <f>'Q (t)'!G78</f>
        <v>365</v>
      </c>
      <c r="Y78" s="184">
        <f>'Q (t)'!H78</f>
        <v>0</v>
      </c>
      <c r="Z78" s="178">
        <f>'Q (t)'!I78</f>
        <v>7300</v>
      </c>
      <c r="AA78" s="178">
        <f>'Q (t)'!J78</f>
        <v>0</v>
      </c>
      <c r="AB78" s="179">
        <f>'Q (t)'!K78</f>
        <v>5700</v>
      </c>
      <c r="AC78" s="178">
        <f>'Q (t)'!L78</f>
        <v>0</v>
      </c>
      <c r="AD78" s="178">
        <f>'Q (t)'!M78</f>
        <v>0</v>
      </c>
      <c r="AE78" s="178">
        <f>'Q (t)'!N78</f>
        <v>0</v>
      </c>
      <c r="AF78" s="179">
        <f>'Q (t)'!O78</f>
        <v>0</v>
      </c>
      <c r="AG78" s="178">
        <f>'Q (t)'!P78</f>
        <v>0</v>
      </c>
      <c r="AH78" s="178">
        <f>'Q (t)'!Q78</f>
        <v>0</v>
      </c>
      <c r="AI78" s="179">
        <f>'Q (t)'!R78</f>
        <v>0</v>
      </c>
      <c r="AJ78" s="184">
        <f>'Q (t)'!S78</f>
        <v>1600890</v>
      </c>
      <c r="AK78" s="178">
        <f>'Q (t)'!T78</f>
        <v>1700170</v>
      </c>
      <c r="AL78" s="184">
        <f>'Q (t)'!U78</f>
        <v>0</v>
      </c>
      <c r="AM78" s="179">
        <f>'Q (t)'!V78</f>
        <v>0</v>
      </c>
      <c r="AO78" s="183">
        <f t="shared" ref="AO78:AO126" si="51">G78*X78/1000</f>
        <v>0</v>
      </c>
      <c r="AP78" s="184">
        <f t="shared" ref="AP78:AW94" si="52">H78*Y78</f>
        <v>0</v>
      </c>
      <c r="AQ78" s="178">
        <f t="shared" si="52"/>
        <v>32.120000000000005</v>
      </c>
      <c r="AR78" s="178">
        <f t="shared" si="52"/>
        <v>0</v>
      </c>
      <c r="AS78" s="179">
        <f t="shared" si="52"/>
        <v>15.959999999999999</v>
      </c>
      <c r="AT78" s="178">
        <f t="shared" si="52"/>
        <v>0</v>
      </c>
      <c r="AU78" s="178">
        <f t="shared" si="52"/>
        <v>0</v>
      </c>
      <c r="AV78" s="178">
        <f t="shared" si="52"/>
        <v>0</v>
      </c>
      <c r="AW78" s="179">
        <f t="shared" si="52"/>
        <v>0</v>
      </c>
      <c r="AX78" s="178">
        <f t="shared" si="42"/>
        <v>0</v>
      </c>
      <c r="AY78" s="178">
        <f t="shared" si="42"/>
        <v>0</v>
      </c>
      <c r="AZ78" s="179">
        <f t="shared" si="42"/>
        <v>0</v>
      </c>
      <c r="BA78" s="184">
        <f t="shared" si="41"/>
        <v>0</v>
      </c>
      <c r="BB78" s="178">
        <f t="shared" si="41"/>
        <v>0</v>
      </c>
      <c r="BC78" s="184">
        <f t="shared" si="41"/>
        <v>0</v>
      </c>
      <c r="BD78" s="178">
        <f t="shared" si="41"/>
        <v>0</v>
      </c>
      <c r="BE78" s="251">
        <f t="shared" ref="BE78:BE81" si="53">X78/$BE$7</f>
        <v>1</v>
      </c>
      <c r="BF78" s="252">
        <f t="shared" ref="BF78:BF108" si="54">SUM(Y78:AF78)</f>
        <v>13000</v>
      </c>
      <c r="BH78" s="262">
        <f t="shared" si="46"/>
        <v>0</v>
      </c>
      <c r="BI78" s="262">
        <f t="shared" si="47"/>
        <v>48.080000000000005</v>
      </c>
      <c r="BJ78" s="262">
        <f t="shared" si="48"/>
        <v>0</v>
      </c>
      <c r="BK78" s="263">
        <f t="shared" si="49"/>
        <v>0</v>
      </c>
      <c r="BL78" s="269">
        <f t="shared" si="50"/>
        <v>0</v>
      </c>
      <c r="BM78" s="264">
        <f t="shared" ref="BM78:BM126" si="55">SUM(BH78:BL78)</f>
        <v>48.080000000000005</v>
      </c>
      <c r="BO78" s="732">
        <f t="shared" ref="BO78:BO126" si="56">IF(BF78=0,"",BM78*1000/BF78)</f>
        <v>3.6984615384615389</v>
      </c>
    </row>
    <row r="79" spans="2:67" ht="15" customHeight="1" x14ac:dyDescent="0.25">
      <c r="B79" s="156">
        <f t="shared" si="27"/>
        <v>10</v>
      </c>
      <c r="C79" s="180" t="s">
        <v>584</v>
      </c>
      <c r="D79" s="181"/>
      <c r="E79" s="210" t="s">
        <v>104</v>
      </c>
      <c r="G79" s="488">
        <f>('Cust Specific'!T126)</f>
        <v>0</v>
      </c>
      <c r="H79" s="490"/>
      <c r="I79" s="494">
        <f>'Cust Specific'!T129</f>
        <v>4.4000000000000003E-3</v>
      </c>
      <c r="J79" s="471"/>
      <c r="K79" s="495">
        <f>'Cust Specific'!T130</f>
        <v>2.8E-3</v>
      </c>
      <c r="L79" s="471"/>
      <c r="M79" s="471"/>
      <c r="N79" s="471"/>
      <c r="O79" s="472"/>
      <c r="P79" s="471"/>
      <c r="Q79" s="471"/>
      <c r="R79" s="472"/>
      <c r="S79" s="489">
        <f>'Cust Specific'!T127</f>
        <v>0</v>
      </c>
      <c r="T79" s="494">
        <f>'Cust Specific'!T128</f>
        <v>0</v>
      </c>
      <c r="U79" s="491"/>
      <c r="V79" s="492"/>
      <c r="X79" s="183">
        <f>'Q (t)'!G79</f>
        <v>365</v>
      </c>
      <c r="Y79" s="184">
        <f>'Q (t)'!H79</f>
        <v>0</v>
      </c>
      <c r="Z79" s="178">
        <f>'Q (t)'!I79</f>
        <v>5000</v>
      </c>
      <c r="AA79" s="178">
        <f>'Q (t)'!J79</f>
        <v>0</v>
      </c>
      <c r="AB79" s="179">
        <f>'Q (t)'!K79</f>
        <v>16000</v>
      </c>
      <c r="AC79" s="178">
        <f>'Q (t)'!L79</f>
        <v>0</v>
      </c>
      <c r="AD79" s="178">
        <f>'Q (t)'!M79</f>
        <v>0</v>
      </c>
      <c r="AE79" s="178">
        <f>'Q (t)'!N79</f>
        <v>0</v>
      </c>
      <c r="AF79" s="179">
        <f>'Q (t)'!O79</f>
        <v>0</v>
      </c>
      <c r="AG79" s="178">
        <f>'Q (t)'!P79</f>
        <v>0</v>
      </c>
      <c r="AH79" s="178">
        <f>'Q (t)'!Q79</f>
        <v>0</v>
      </c>
      <c r="AI79" s="179">
        <f>'Q (t)'!R79</f>
        <v>0</v>
      </c>
      <c r="AJ79" s="184">
        <f>'Q (t)'!S79</f>
        <v>0</v>
      </c>
      <c r="AK79" s="178">
        <f>'Q (t)'!T79</f>
        <v>2117000</v>
      </c>
      <c r="AL79" s="184">
        <f>'Q (t)'!U79</f>
        <v>0</v>
      </c>
      <c r="AM79" s="179">
        <f>'Q (t)'!V79</f>
        <v>0</v>
      </c>
      <c r="AO79" s="183">
        <f t="shared" si="51"/>
        <v>0</v>
      </c>
      <c r="AP79" s="184">
        <f t="shared" si="52"/>
        <v>0</v>
      </c>
      <c r="AQ79" s="178">
        <f t="shared" si="52"/>
        <v>22</v>
      </c>
      <c r="AR79" s="178">
        <f t="shared" si="52"/>
        <v>0</v>
      </c>
      <c r="AS79" s="179">
        <f t="shared" si="52"/>
        <v>44.8</v>
      </c>
      <c r="AT79" s="178">
        <f t="shared" si="52"/>
        <v>0</v>
      </c>
      <c r="AU79" s="178">
        <f t="shared" si="52"/>
        <v>0</v>
      </c>
      <c r="AV79" s="178">
        <f t="shared" si="52"/>
        <v>0</v>
      </c>
      <c r="AW79" s="179">
        <f t="shared" si="52"/>
        <v>0</v>
      </c>
      <c r="AX79" s="178">
        <f t="shared" si="42"/>
        <v>0</v>
      </c>
      <c r="AY79" s="178">
        <f t="shared" si="42"/>
        <v>0</v>
      </c>
      <c r="AZ79" s="179">
        <f t="shared" si="42"/>
        <v>0</v>
      </c>
      <c r="BA79" s="184">
        <f t="shared" si="41"/>
        <v>0</v>
      </c>
      <c r="BB79" s="178">
        <f t="shared" si="41"/>
        <v>0</v>
      </c>
      <c r="BC79" s="184">
        <f t="shared" si="41"/>
        <v>0</v>
      </c>
      <c r="BD79" s="178">
        <f t="shared" si="41"/>
        <v>0</v>
      </c>
      <c r="BE79" s="251">
        <f t="shared" si="53"/>
        <v>1</v>
      </c>
      <c r="BF79" s="252">
        <f t="shared" si="54"/>
        <v>21000</v>
      </c>
      <c r="BH79" s="262">
        <f t="shared" si="46"/>
        <v>0</v>
      </c>
      <c r="BI79" s="262">
        <f t="shared" si="47"/>
        <v>66.8</v>
      </c>
      <c r="BJ79" s="262">
        <f t="shared" si="48"/>
        <v>0</v>
      </c>
      <c r="BK79" s="263">
        <f t="shared" si="49"/>
        <v>0</v>
      </c>
      <c r="BL79" s="269">
        <f t="shared" si="50"/>
        <v>0</v>
      </c>
      <c r="BM79" s="264">
        <f t="shared" si="55"/>
        <v>66.8</v>
      </c>
      <c r="BO79" s="732">
        <f t="shared" si="56"/>
        <v>3.1809523809523808</v>
      </c>
    </row>
    <row r="80" spans="2:67" ht="15" customHeight="1" x14ac:dyDescent="0.25">
      <c r="B80" s="156">
        <f t="shared" si="27"/>
        <v>11</v>
      </c>
      <c r="C80" s="180" t="s">
        <v>573</v>
      </c>
      <c r="D80" s="181"/>
      <c r="E80" s="210" t="s">
        <v>104</v>
      </c>
      <c r="G80" s="488">
        <f>('Cust Specific'!T134)</f>
        <v>0</v>
      </c>
      <c r="H80" s="490"/>
      <c r="I80" s="494">
        <f>'Cust Specific'!T137</f>
        <v>4.4000000000000003E-3</v>
      </c>
      <c r="J80" s="471"/>
      <c r="K80" s="495">
        <f>'Cust Specific'!T138</f>
        <v>2.8E-3</v>
      </c>
      <c r="L80" s="471"/>
      <c r="M80" s="471"/>
      <c r="N80" s="471"/>
      <c r="O80" s="472"/>
      <c r="P80" s="471"/>
      <c r="Q80" s="471"/>
      <c r="R80" s="472"/>
      <c r="S80" s="489">
        <f>'Cust Specific'!T135</f>
        <v>0</v>
      </c>
      <c r="T80" s="494">
        <f>'Cust Specific'!T136</f>
        <v>0</v>
      </c>
      <c r="U80" s="491"/>
      <c r="V80" s="492"/>
      <c r="X80" s="183">
        <f>'Q (t)'!G80</f>
        <v>365</v>
      </c>
      <c r="Y80" s="184">
        <f>'Q (t)'!H80</f>
        <v>0</v>
      </c>
      <c r="Z80" s="178">
        <f>'Q (t)'!I80</f>
        <v>10700</v>
      </c>
      <c r="AA80" s="178">
        <f>'Q (t)'!J80</f>
        <v>0</v>
      </c>
      <c r="AB80" s="179">
        <f>'Q (t)'!K80</f>
        <v>8500</v>
      </c>
      <c r="AC80" s="178">
        <f>'Q (t)'!L80</f>
        <v>0</v>
      </c>
      <c r="AD80" s="178">
        <f>'Q (t)'!M80</f>
        <v>0</v>
      </c>
      <c r="AE80" s="178">
        <f>'Q (t)'!N80</f>
        <v>0</v>
      </c>
      <c r="AF80" s="179">
        <f>'Q (t)'!O80</f>
        <v>0</v>
      </c>
      <c r="AG80" s="178">
        <f>'Q (t)'!P80</f>
        <v>0</v>
      </c>
      <c r="AH80" s="178">
        <f>'Q (t)'!Q80</f>
        <v>0</v>
      </c>
      <c r="AI80" s="179">
        <f>'Q (t)'!R80</f>
        <v>0</v>
      </c>
      <c r="AJ80" s="184">
        <f>'Q (t)'!S80</f>
        <v>1764410</v>
      </c>
      <c r="AK80" s="178">
        <f>'Q (t)'!T80</f>
        <v>2027210</v>
      </c>
      <c r="AL80" s="184">
        <f>'Q (t)'!U80</f>
        <v>0</v>
      </c>
      <c r="AM80" s="179">
        <f>'Q (t)'!V80</f>
        <v>0</v>
      </c>
      <c r="AO80" s="183">
        <f t="shared" si="51"/>
        <v>0</v>
      </c>
      <c r="AP80" s="184">
        <f t="shared" si="52"/>
        <v>0</v>
      </c>
      <c r="AQ80" s="178">
        <f t="shared" si="52"/>
        <v>47.080000000000005</v>
      </c>
      <c r="AR80" s="178">
        <f t="shared" si="52"/>
        <v>0</v>
      </c>
      <c r="AS80" s="179">
        <f t="shared" si="52"/>
        <v>23.8</v>
      </c>
      <c r="AT80" s="178">
        <f t="shared" si="52"/>
        <v>0</v>
      </c>
      <c r="AU80" s="178">
        <f t="shared" si="52"/>
        <v>0</v>
      </c>
      <c r="AV80" s="178">
        <f t="shared" si="52"/>
        <v>0</v>
      </c>
      <c r="AW80" s="179">
        <f t="shared" si="52"/>
        <v>0</v>
      </c>
      <c r="AX80" s="178">
        <f t="shared" si="42"/>
        <v>0</v>
      </c>
      <c r="AY80" s="178">
        <f t="shared" si="42"/>
        <v>0</v>
      </c>
      <c r="AZ80" s="179">
        <f t="shared" si="42"/>
        <v>0</v>
      </c>
      <c r="BA80" s="184">
        <f t="shared" si="41"/>
        <v>0</v>
      </c>
      <c r="BB80" s="178">
        <f t="shared" si="41"/>
        <v>0</v>
      </c>
      <c r="BC80" s="184">
        <f t="shared" si="41"/>
        <v>0</v>
      </c>
      <c r="BD80" s="178">
        <f t="shared" si="41"/>
        <v>0</v>
      </c>
      <c r="BE80" s="251">
        <f t="shared" si="53"/>
        <v>1</v>
      </c>
      <c r="BF80" s="252">
        <f t="shared" si="54"/>
        <v>19200</v>
      </c>
      <c r="BH80" s="262">
        <f t="shared" si="46"/>
        <v>0</v>
      </c>
      <c r="BI80" s="262">
        <f t="shared" si="47"/>
        <v>70.88000000000001</v>
      </c>
      <c r="BJ80" s="262">
        <f t="shared" si="48"/>
        <v>0</v>
      </c>
      <c r="BK80" s="263">
        <f t="shared" si="49"/>
        <v>0</v>
      </c>
      <c r="BL80" s="269">
        <f t="shared" si="50"/>
        <v>0</v>
      </c>
      <c r="BM80" s="264">
        <f t="shared" si="55"/>
        <v>70.88000000000001</v>
      </c>
      <c r="BO80" s="732">
        <f t="shared" si="56"/>
        <v>3.6916666666666673</v>
      </c>
    </row>
    <row r="81" spans="2:67" ht="15" customHeight="1" x14ac:dyDescent="0.25">
      <c r="B81" s="156">
        <f t="shared" si="27"/>
        <v>12</v>
      </c>
      <c r="C81" s="180" t="s">
        <v>574</v>
      </c>
      <c r="D81" s="181"/>
      <c r="E81" s="210" t="s">
        <v>104</v>
      </c>
      <c r="G81" s="488">
        <f>('Cust Specific'!T142)</f>
        <v>0</v>
      </c>
      <c r="H81" s="490"/>
      <c r="I81" s="494">
        <f>'Cust Specific'!T145</f>
        <v>4.4000000000000003E-3</v>
      </c>
      <c r="J81" s="471"/>
      <c r="K81" s="495">
        <f>'Cust Specific'!T146</f>
        <v>2.8E-3</v>
      </c>
      <c r="L81" s="471"/>
      <c r="M81" s="471"/>
      <c r="N81" s="471"/>
      <c r="O81" s="472"/>
      <c r="P81" s="471"/>
      <c r="Q81" s="471"/>
      <c r="R81" s="472"/>
      <c r="S81" s="489">
        <f>'Cust Specific'!T143</f>
        <v>0</v>
      </c>
      <c r="T81" s="494">
        <f>'Cust Specific'!T144</f>
        <v>0</v>
      </c>
      <c r="U81" s="491"/>
      <c r="V81" s="492"/>
      <c r="X81" s="183">
        <f>'Q (t)'!G81</f>
        <v>365</v>
      </c>
      <c r="Y81" s="184">
        <f>'Q (t)'!H81</f>
        <v>0</v>
      </c>
      <c r="Z81" s="178">
        <f>'Q (t)'!I81</f>
        <v>6600</v>
      </c>
      <c r="AA81" s="178">
        <f>'Q (t)'!J81</f>
        <v>0</v>
      </c>
      <c r="AB81" s="179">
        <f>'Q (t)'!K81</f>
        <v>4500</v>
      </c>
      <c r="AC81" s="178">
        <f>'Q (t)'!L81</f>
        <v>0</v>
      </c>
      <c r="AD81" s="178">
        <f>'Q (t)'!M81</f>
        <v>0</v>
      </c>
      <c r="AE81" s="178">
        <f>'Q (t)'!N81</f>
        <v>0</v>
      </c>
      <c r="AF81" s="179">
        <f>'Q (t)'!O81</f>
        <v>0</v>
      </c>
      <c r="AG81" s="178">
        <f>'Q (t)'!P81</f>
        <v>0</v>
      </c>
      <c r="AH81" s="178">
        <f>'Q (t)'!Q81</f>
        <v>0</v>
      </c>
      <c r="AI81" s="179">
        <f>'Q (t)'!R81</f>
        <v>0</v>
      </c>
      <c r="AJ81" s="184">
        <f>'Q (t)'!S81</f>
        <v>1330425</v>
      </c>
      <c r="AK81" s="178">
        <f>'Q (t)'!T81</f>
        <v>1372400</v>
      </c>
      <c r="AL81" s="184">
        <f>'Q (t)'!U81</f>
        <v>0</v>
      </c>
      <c r="AM81" s="179">
        <f>'Q (t)'!V81</f>
        <v>0</v>
      </c>
      <c r="AO81" s="183">
        <f t="shared" si="51"/>
        <v>0</v>
      </c>
      <c r="AP81" s="184">
        <f t="shared" si="52"/>
        <v>0</v>
      </c>
      <c r="AQ81" s="178">
        <f t="shared" si="52"/>
        <v>29.040000000000003</v>
      </c>
      <c r="AR81" s="178">
        <f t="shared" si="52"/>
        <v>0</v>
      </c>
      <c r="AS81" s="179">
        <f t="shared" si="52"/>
        <v>12.6</v>
      </c>
      <c r="AT81" s="178">
        <f t="shared" si="52"/>
        <v>0</v>
      </c>
      <c r="AU81" s="178">
        <f t="shared" si="52"/>
        <v>0</v>
      </c>
      <c r="AV81" s="178">
        <f t="shared" si="52"/>
        <v>0</v>
      </c>
      <c r="AW81" s="179">
        <f t="shared" si="52"/>
        <v>0</v>
      </c>
      <c r="AX81" s="178">
        <f t="shared" si="42"/>
        <v>0</v>
      </c>
      <c r="AY81" s="178">
        <f t="shared" si="42"/>
        <v>0</v>
      </c>
      <c r="AZ81" s="179">
        <f t="shared" si="42"/>
        <v>0</v>
      </c>
      <c r="BA81" s="184">
        <f t="shared" si="41"/>
        <v>0</v>
      </c>
      <c r="BB81" s="178">
        <f t="shared" si="41"/>
        <v>0</v>
      </c>
      <c r="BC81" s="184">
        <f t="shared" si="41"/>
        <v>0</v>
      </c>
      <c r="BD81" s="178">
        <f t="shared" si="41"/>
        <v>0</v>
      </c>
      <c r="BE81" s="251">
        <f t="shared" si="53"/>
        <v>1</v>
      </c>
      <c r="BF81" s="252">
        <f t="shared" si="54"/>
        <v>11100</v>
      </c>
      <c r="BH81" s="262">
        <f t="shared" si="46"/>
        <v>0</v>
      </c>
      <c r="BI81" s="262">
        <f t="shared" si="47"/>
        <v>41.64</v>
      </c>
      <c r="BJ81" s="262">
        <f t="shared" si="48"/>
        <v>0</v>
      </c>
      <c r="BK81" s="263">
        <f t="shared" si="49"/>
        <v>0</v>
      </c>
      <c r="BL81" s="269">
        <f t="shared" si="50"/>
        <v>0</v>
      </c>
      <c r="BM81" s="264">
        <f t="shared" si="55"/>
        <v>41.64</v>
      </c>
      <c r="BO81" s="732">
        <f t="shared" si="56"/>
        <v>3.7513513513513512</v>
      </c>
    </row>
    <row r="82" spans="2:67" ht="15" customHeight="1" x14ac:dyDescent="0.25">
      <c r="B82" s="156">
        <f t="shared" si="27"/>
        <v>13</v>
      </c>
      <c r="C82" s="180" t="s">
        <v>575</v>
      </c>
      <c r="D82" s="181"/>
      <c r="E82" s="210" t="s">
        <v>104</v>
      </c>
      <c r="G82" s="488">
        <f>('Cust Specific'!T150)</f>
        <v>0</v>
      </c>
      <c r="H82" s="490"/>
      <c r="I82" s="494">
        <f>'Cust Specific'!T153</f>
        <v>4.4000000000000003E-3</v>
      </c>
      <c r="J82" s="471"/>
      <c r="K82" s="495">
        <f>'Cust Specific'!T154</f>
        <v>2.8E-3</v>
      </c>
      <c r="L82" s="471"/>
      <c r="M82" s="471"/>
      <c r="N82" s="471"/>
      <c r="O82" s="472"/>
      <c r="P82" s="471"/>
      <c r="Q82" s="471"/>
      <c r="R82" s="472"/>
      <c r="S82" s="489">
        <f>'Cust Specific'!T151</f>
        <v>0</v>
      </c>
      <c r="T82" s="494">
        <f>'Cust Specific'!T152</f>
        <v>0</v>
      </c>
      <c r="U82" s="491"/>
      <c r="V82" s="492"/>
      <c r="X82" s="183">
        <f>'Q (t)'!G82</f>
        <v>365</v>
      </c>
      <c r="Y82" s="184">
        <f>'Q (t)'!H82</f>
        <v>0</v>
      </c>
      <c r="Z82" s="178">
        <f>'Q (t)'!I82</f>
        <v>6300</v>
      </c>
      <c r="AA82" s="178">
        <f>'Q (t)'!J82</f>
        <v>0</v>
      </c>
      <c r="AB82" s="179">
        <f>'Q (t)'!K82</f>
        <v>5100</v>
      </c>
      <c r="AC82" s="178">
        <f>'Q (t)'!L82</f>
        <v>0</v>
      </c>
      <c r="AD82" s="178">
        <f>'Q (t)'!M82</f>
        <v>0</v>
      </c>
      <c r="AE82" s="178">
        <f>'Q (t)'!N82</f>
        <v>0</v>
      </c>
      <c r="AF82" s="179">
        <f>'Q (t)'!O82</f>
        <v>0</v>
      </c>
      <c r="AG82" s="178">
        <f>'Q (t)'!P82</f>
        <v>0</v>
      </c>
      <c r="AH82" s="178">
        <f>'Q (t)'!Q82</f>
        <v>0</v>
      </c>
      <c r="AI82" s="179">
        <f>'Q (t)'!R82</f>
        <v>0</v>
      </c>
      <c r="AJ82" s="184">
        <f>'Q (t)'!S82</f>
        <v>1231875</v>
      </c>
      <c r="AK82" s="178">
        <f>'Q (t)'!T82</f>
        <v>1259250</v>
      </c>
      <c r="AL82" s="184">
        <f>'Q (t)'!U82</f>
        <v>0</v>
      </c>
      <c r="AM82" s="179">
        <f>'Q (t)'!V82</f>
        <v>0</v>
      </c>
      <c r="AO82" s="183">
        <f t="shared" si="51"/>
        <v>0</v>
      </c>
      <c r="AP82" s="184">
        <f t="shared" si="52"/>
        <v>0</v>
      </c>
      <c r="AQ82" s="178">
        <f t="shared" si="52"/>
        <v>27.720000000000002</v>
      </c>
      <c r="AR82" s="178">
        <f t="shared" si="52"/>
        <v>0</v>
      </c>
      <c r="AS82" s="179">
        <f t="shared" si="52"/>
        <v>14.28</v>
      </c>
      <c r="AT82" s="178">
        <f t="shared" si="52"/>
        <v>0</v>
      </c>
      <c r="AU82" s="178">
        <f t="shared" si="52"/>
        <v>0</v>
      </c>
      <c r="AV82" s="178">
        <f t="shared" si="52"/>
        <v>0</v>
      </c>
      <c r="AW82" s="179">
        <f t="shared" si="52"/>
        <v>0</v>
      </c>
      <c r="AX82" s="178">
        <f t="shared" si="42"/>
        <v>0</v>
      </c>
      <c r="AY82" s="178">
        <f t="shared" si="42"/>
        <v>0</v>
      </c>
      <c r="AZ82" s="179">
        <f t="shared" si="42"/>
        <v>0</v>
      </c>
      <c r="BA82" s="184">
        <f t="shared" si="41"/>
        <v>0</v>
      </c>
      <c r="BB82" s="178">
        <f t="shared" si="41"/>
        <v>0</v>
      </c>
      <c r="BC82" s="184">
        <f t="shared" si="41"/>
        <v>0</v>
      </c>
      <c r="BD82" s="178">
        <f t="shared" si="41"/>
        <v>0</v>
      </c>
      <c r="BE82" s="251">
        <f t="shared" ref="BE82:BE126" si="57">X82/$BE$7</f>
        <v>1</v>
      </c>
      <c r="BF82" s="252">
        <f t="shared" si="54"/>
        <v>11400</v>
      </c>
      <c r="BH82" s="262">
        <f t="shared" si="46"/>
        <v>0</v>
      </c>
      <c r="BI82" s="262">
        <f t="shared" si="47"/>
        <v>42</v>
      </c>
      <c r="BJ82" s="262">
        <f t="shared" si="48"/>
        <v>0</v>
      </c>
      <c r="BK82" s="263">
        <f t="shared" si="49"/>
        <v>0</v>
      </c>
      <c r="BL82" s="269">
        <f t="shared" si="50"/>
        <v>0</v>
      </c>
      <c r="BM82" s="264">
        <f t="shared" si="55"/>
        <v>42</v>
      </c>
      <c r="BO82" s="732">
        <f t="shared" si="56"/>
        <v>3.6842105263157894</v>
      </c>
    </row>
    <row r="83" spans="2:67" ht="15" customHeight="1" x14ac:dyDescent="0.25">
      <c r="B83" s="156">
        <f t="shared" si="27"/>
        <v>14</v>
      </c>
      <c r="C83" s="180" t="s">
        <v>576</v>
      </c>
      <c r="D83" s="181"/>
      <c r="E83" s="210" t="s">
        <v>104</v>
      </c>
      <c r="G83" s="488">
        <f>('Cust Specific'!T158)</f>
        <v>0</v>
      </c>
      <c r="H83" s="490"/>
      <c r="I83" s="494">
        <f>'Cust Specific'!T161</f>
        <v>4.4000000000000003E-3</v>
      </c>
      <c r="J83" s="471"/>
      <c r="K83" s="495">
        <f>'Cust Specific'!T162</f>
        <v>2.8E-3</v>
      </c>
      <c r="L83" s="471"/>
      <c r="M83" s="471"/>
      <c r="N83" s="471"/>
      <c r="O83" s="472"/>
      <c r="P83" s="471"/>
      <c r="Q83" s="471"/>
      <c r="R83" s="472"/>
      <c r="S83" s="489">
        <f>'Cust Specific'!T159</f>
        <v>0</v>
      </c>
      <c r="T83" s="494">
        <f>'Cust Specific'!T160</f>
        <v>0</v>
      </c>
      <c r="U83" s="491"/>
      <c r="V83" s="492"/>
      <c r="X83" s="183">
        <f>'Q (t)'!G83</f>
        <v>365</v>
      </c>
      <c r="Y83" s="184">
        <f>'Q (t)'!H83</f>
        <v>0</v>
      </c>
      <c r="Z83" s="178">
        <f>'Q (t)'!I83</f>
        <v>11600</v>
      </c>
      <c r="AA83" s="178">
        <f>'Q (t)'!J83</f>
        <v>0</v>
      </c>
      <c r="AB83" s="179">
        <f>'Q (t)'!K83</f>
        <v>11600</v>
      </c>
      <c r="AC83" s="178">
        <f>'Q (t)'!L83</f>
        <v>0</v>
      </c>
      <c r="AD83" s="178">
        <f>'Q (t)'!M83</f>
        <v>0</v>
      </c>
      <c r="AE83" s="178">
        <f>'Q (t)'!N83</f>
        <v>0</v>
      </c>
      <c r="AF83" s="179">
        <f>'Q (t)'!O83</f>
        <v>0</v>
      </c>
      <c r="AG83" s="178">
        <f>'Q (t)'!P83</f>
        <v>0</v>
      </c>
      <c r="AH83" s="178">
        <f>'Q (t)'!Q83</f>
        <v>0</v>
      </c>
      <c r="AI83" s="179">
        <f>'Q (t)'!R83</f>
        <v>0</v>
      </c>
      <c r="AJ83" s="184">
        <f>'Q (t)'!S83</f>
        <v>1614030</v>
      </c>
      <c r="AK83" s="178">
        <f>'Q (t)'!T83</f>
        <v>1665860</v>
      </c>
      <c r="AL83" s="184">
        <f>'Q (t)'!U83</f>
        <v>0</v>
      </c>
      <c r="AM83" s="179">
        <f>'Q (t)'!V83</f>
        <v>0</v>
      </c>
      <c r="AO83" s="183">
        <f t="shared" si="51"/>
        <v>0</v>
      </c>
      <c r="AP83" s="184">
        <f t="shared" si="52"/>
        <v>0</v>
      </c>
      <c r="AQ83" s="178">
        <f t="shared" si="52"/>
        <v>51.040000000000006</v>
      </c>
      <c r="AR83" s="178">
        <f t="shared" si="52"/>
        <v>0</v>
      </c>
      <c r="AS83" s="179">
        <f t="shared" si="52"/>
        <v>32.479999999999997</v>
      </c>
      <c r="AT83" s="178">
        <f t="shared" si="52"/>
        <v>0</v>
      </c>
      <c r="AU83" s="178">
        <f t="shared" si="52"/>
        <v>0</v>
      </c>
      <c r="AV83" s="178">
        <f t="shared" si="52"/>
        <v>0</v>
      </c>
      <c r="AW83" s="179">
        <f t="shared" si="52"/>
        <v>0</v>
      </c>
      <c r="AX83" s="178">
        <f t="shared" si="42"/>
        <v>0</v>
      </c>
      <c r="AY83" s="178">
        <f t="shared" si="42"/>
        <v>0</v>
      </c>
      <c r="AZ83" s="179">
        <f t="shared" si="42"/>
        <v>0</v>
      </c>
      <c r="BA83" s="184">
        <f t="shared" si="41"/>
        <v>0</v>
      </c>
      <c r="BB83" s="178">
        <f t="shared" si="41"/>
        <v>0</v>
      </c>
      <c r="BC83" s="184">
        <f t="shared" si="41"/>
        <v>0</v>
      </c>
      <c r="BD83" s="178">
        <f t="shared" si="41"/>
        <v>0</v>
      </c>
      <c r="BE83" s="251">
        <f t="shared" si="57"/>
        <v>1</v>
      </c>
      <c r="BF83" s="252">
        <f t="shared" si="54"/>
        <v>23200</v>
      </c>
      <c r="BH83" s="262">
        <f t="shared" si="46"/>
        <v>0</v>
      </c>
      <c r="BI83" s="262">
        <f t="shared" si="47"/>
        <v>83.52000000000001</v>
      </c>
      <c r="BJ83" s="262">
        <f t="shared" si="48"/>
        <v>0</v>
      </c>
      <c r="BK83" s="263">
        <f t="shared" si="49"/>
        <v>0</v>
      </c>
      <c r="BL83" s="269">
        <f t="shared" si="50"/>
        <v>0</v>
      </c>
      <c r="BM83" s="264">
        <f t="shared" si="55"/>
        <v>83.52000000000001</v>
      </c>
      <c r="BO83" s="732">
        <f t="shared" si="56"/>
        <v>3.6000000000000005</v>
      </c>
    </row>
    <row r="84" spans="2:67" ht="15" customHeight="1" x14ac:dyDescent="0.25">
      <c r="B84" s="156">
        <f t="shared" si="27"/>
        <v>15</v>
      </c>
      <c r="C84" s="180" t="s">
        <v>659</v>
      </c>
      <c r="D84" s="181"/>
      <c r="E84" s="210" t="s">
        <v>104</v>
      </c>
      <c r="G84" s="488">
        <f>'Cust Specific'!T166</f>
        <v>0</v>
      </c>
      <c r="H84" s="490"/>
      <c r="I84" s="494">
        <f>'Cust Specific'!T169</f>
        <v>4.4000000000000003E-3</v>
      </c>
      <c r="J84" s="471"/>
      <c r="K84" s="495">
        <f>'Cust Specific'!T170</f>
        <v>2.8E-3</v>
      </c>
      <c r="L84" s="471"/>
      <c r="M84" s="471"/>
      <c r="N84" s="471"/>
      <c r="O84" s="472"/>
      <c r="P84" s="471"/>
      <c r="Q84" s="471"/>
      <c r="R84" s="472"/>
      <c r="S84" s="489">
        <f>'Cust Specific'!T167</f>
        <v>0</v>
      </c>
      <c r="T84" s="494">
        <f>'Cust Specific'!T168</f>
        <v>0</v>
      </c>
      <c r="U84" s="491"/>
      <c r="V84" s="492"/>
      <c r="X84" s="183">
        <f>'Q (t)'!G84</f>
        <v>365</v>
      </c>
      <c r="Y84" s="184">
        <f>'Q (t)'!H84</f>
        <v>0</v>
      </c>
      <c r="Z84" s="178">
        <f>'Q (t)'!I84</f>
        <v>10400</v>
      </c>
      <c r="AA84" s="178">
        <f>'Q (t)'!J84</f>
        <v>0</v>
      </c>
      <c r="AB84" s="179">
        <f>'Q (t)'!K84</f>
        <v>9600</v>
      </c>
      <c r="AC84" s="178">
        <f>'Q (t)'!L84</f>
        <v>0</v>
      </c>
      <c r="AD84" s="178">
        <f>'Q (t)'!M84</f>
        <v>0</v>
      </c>
      <c r="AE84" s="178">
        <f>'Q (t)'!N84</f>
        <v>0</v>
      </c>
      <c r="AF84" s="179">
        <f>'Q (t)'!O84</f>
        <v>0</v>
      </c>
      <c r="AG84" s="178">
        <f>'Q (t)'!P84</f>
        <v>0</v>
      </c>
      <c r="AH84" s="178">
        <f>'Q (t)'!Q84</f>
        <v>0</v>
      </c>
      <c r="AI84" s="179">
        <f>'Q (t)'!R84</f>
        <v>0</v>
      </c>
      <c r="AJ84" s="184">
        <f>'Q (t)'!S84</f>
        <v>1488105</v>
      </c>
      <c r="AK84" s="178">
        <f>'Q (t)'!T84</f>
        <v>1766235</v>
      </c>
      <c r="AL84" s="184">
        <f>'Q (t)'!U84</f>
        <v>0</v>
      </c>
      <c r="AM84" s="179">
        <f>'Q (t)'!V84</f>
        <v>0</v>
      </c>
      <c r="AO84" s="183">
        <f t="shared" ref="AO84" si="58">G84*X84/1000</f>
        <v>0</v>
      </c>
      <c r="AP84" s="184">
        <f t="shared" ref="AP84" si="59">H84*Y84</f>
        <v>0</v>
      </c>
      <c r="AQ84" s="178">
        <f t="shared" ref="AQ84" si="60">I84*Z84</f>
        <v>45.760000000000005</v>
      </c>
      <c r="AR84" s="178">
        <f t="shared" ref="AR84" si="61">J84*AA84</f>
        <v>0</v>
      </c>
      <c r="AS84" s="179">
        <f t="shared" ref="AS84" si="62">K84*AB84</f>
        <v>26.88</v>
      </c>
      <c r="AT84" s="178">
        <f t="shared" ref="AT84" si="63">L84*AC84</f>
        <v>0</v>
      </c>
      <c r="AU84" s="178">
        <f t="shared" ref="AU84" si="64">M84*AD84</f>
        <v>0</v>
      </c>
      <c r="AV84" s="178">
        <f t="shared" ref="AV84" si="65">N84*AE84</f>
        <v>0</v>
      </c>
      <c r="AW84" s="179">
        <f t="shared" ref="AW84" si="66">O84*AF84</f>
        <v>0</v>
      </c>
      <c r="AX84" s="178">
        <f t="shared" ref="AX84" si="67">P84*AG84/1000</f>
        <v>0</v>
      </c>
      <c r="AY84" s="178">
        <f t="shared" ref="AY84" si="68">Q84*AH84/1000</f>
        <v>0</v>
      </c>
      <c r="AZ84" s="179">
        <f t="shared" ref="AZ84:BD84" si="69">R84*AI84/1000</f>
        <v>0</v>
      </c>
      <c r="BA84" s="184">
        <f t="shared" si="69"/>
        <v>0</v>
      </c>
      <c r="BB84" s="178">
        <f t="shared" si="69"/>
        <v>0</v>
      </c>
      <c r="BC84" s="184">
        <f t="shared" si="69"/>
        <v>0</v>
      </c>
      <c r="BD84" s="178">
        <f t="shared" si="69"/>
        <v>0</v>
      </c>
      <c r="BE84" s="251">
        <f t="shared" ref="BE84" si="70">X84/$BE$7</f>
        <v>1</v>
      </c>
      <c r="BF84" s="252">
        <f t="shared" ref="BF84" si="71">SUM(Y84:AF84)</f>
        <v>20000</v>
      </c>
      <c r="BH84" s="262">
        <f t="shared" ref="BH84" si="72">SUM(AO84)</f>
        <v>0</v>
      </c>
      <c r="BI84" s="262">
        <f t="shared" ref="BI84" si="73">SUM(AP84:AS84)</f>
        <v>72.64</v>
      </c>
      <c r="BJ84" s="262">
        <f t="shared" ref="BJ84" si="74">SUM(AT84:AW84)</f>
        <v>0</v>
      </c>
      <c r="BK84" s="263">
        <f t="shared" ref="BK84" si="75">SUM(AX84:BB84)</f>
        <v>0</v>
      </c>
      <c r="BL84" s="269">
        <f t="shared" ref="BL84" si="76">SUM(BC84:BD84)</f>
        <v>0</v>
      </c>
      <c r="BM84" s="264">
        <f t="shared" ref="BM84" si="77">SUM(BH84:BL84)</f>
        <v>72.64</v>
      </c>
      <c r="BO84" s="732">
        <f t="shared" si="56"/>
        <v>3.6320000000000001</v>
      </c>
    </row>
    <row r="85" spans="2:67" ht="15" customHeight="1" x14ac:dyDescent="0.25">
      <c r="B85" s="156">
        <f t="shared" si="27"/>
        <v>16</v>
      </c>
      <c r="C85" s="180" t="s">
        <v>577</v>
      </c>
      <c r="D85" s="181"/>
      <c r="E85" s="210" t="s">
        <v>104</v>
      </c>
      <c r="G85" s="488">
        <f>('Cust Specific'!T174)</f>
        <v>0</v>
      </c>
      <c r="H85" s="490"/>
      <c r="I85" s="494">
        <f>'Cust Specific'!T177</f>
        <v>4.4000000000000003E-3</v>
      </c>
      <c r="J85" s="471"/>
      <c r="K85" s="495">
        <f>'Cust Specific'!T178</f>
        <v>2.8E-3</v>
      </c>
      <c r="L85" s="471"/>
      <c r="M85" s="471"/>
      <c r="N85" s="471"/>
      <c r="O85" s="472"/>
      <c r="P85" s="471"/>
      <c r="Q85" s="471"/>
      <c r="R85" s="472"/>
      <c r="S85" s="489">
        <f>'Cust Specific'!T175</f>
        <v>0</v>
      </c>
      <c r="T85" s="494">
        <f>'Cust Specific'!T176</f>
        <v>0</v>
      </c>
      <c r="U85" s="491"/>
      <c r="V85" s="492"/>
      <c r="X85" s="183">
        <f>'Q (t)'!G85</f>
        <v>365</v>
      </c>
      <c r="Y85" s="184">
        <f>'Q (t)'!H85</f>
        <v>0</v>
      </c>
      <c r="Z85" s="178">
        <f>'Q (t)'!I85</f>
        <v>6100</v>
      </c>
      <c r="AA85" s="178">
        <f>'Q (t)'!J85</f>
        <v>0</v>
      </c>
      <c r="AB85" s="179">
        <f>'Q (t)'!K85</f>
        <v>4900</v>
      </c>
      <c r="AC85" s="178">
        <f>'Q (t)'!L85</f>
        <v>0</v>
      </c>
      <c r="AD85" s="178">
        <f>'Q (t)'!M85</f>
        <v>0</v>
      </c>
      <c r="AE85" s="178">
        <f>'Q (t)'!N85</f>
        <v>0</v>
      </c>
      <c r="AF85" s="179">
        <f>'Q (t)'!O85</f>
        <v>0</v>
      </c>
      <c r="AG85" s="178">
        <f>'Q (t)'!P85</f>
        <v>0</v>
      </c>
      <c r="AH85" s="178">
        <f>'Q (t)'!Q85</f>
        <v>0</v>
      </c>
      <c r="AI85" s="179">
        <f>'Q (t)'!R85</f>
        <v>0</v>
      </c>
      <c r="AJ85" s="184">
        <f>'Q (t)'!S85</f>
        <v>968710</v>
      </c>
      <c r="AK85" s="178">
        <f>'Q (t)'!T85</f>
        <v>1090620</v>
      </c>
      <c r="AL85" s="184">
        <f>'Q (t)'!U85</f>
        <v>0</v>
      </c>
      <c r="AM85" s="179">
        <f>'Q (t)'!V85</f>
        <v>0</v>
      </c>
      <c r="AO85" s="183">
        <f t="shared" si="51"/>
        <v>0</v>
      </c>
      <c r="AP85" s="184">
        <f t="shared" si="52"/>
        <v>0</v>
      </c>
      <c r="AQ85" s="178">
        <f t="shared" si="52"/>
        <v>26.84</v>
      </c>
      <c r="AR85" s="178">
        <f t="shared" si="52"/>
        <v>0</v>
      </c>
      <c r="AS85" s="179">
        <f t="shared" si="52"/>
        <v>13.72</v>
      </c>
      <c r="AT85" s="178">
        <f t="shared" si="52"/>
        <v>0</v>
      </c>
      <c r="AU85" s="178">
        <f t="shared" si="52"/>
        <v>0</v>
      </c>
      <c r="AV85" s="178">
        <f t="shared" si="52"/>
        <v>0</v>
      </c>
      <c r="AW85" s="179">
        <f t="shared" si="52"/>
        <v>0</v>
      </c>
      <c r="AX85" s="178">
        <f t="shared" si="42"/>
        <v>0</v>
      </c>
      <c r="AY85" s="178">
        <f t="shared" si="42"/>
        <v>0</v>
      </c>
      <c r="AZ85" s="179">
        <f t="shared" si="42"/>
        <v>0</v>
      </c>
      <c r="BA85" s="184">
        <f t="shared" si="41"/>
        <v>0</v>
      </c>
      <c r="BB85" s="178">
        <f t="shared" si="41"/>
        <v>0</v>
      </c>
      <c r="BC85" s="184">
        <f t="shared" si="41"/>
        <v>0</v>
      </c>
      <c r="BD85" s="178">
        <f t="shared" si="41"/>
        <v>0</v>
      </c>
      <c r="BE85" s="251">
        <f t="shared" si="57"/>
        <v>1</v>
      </c>
      <c r="BF85" s="252">
        <f t="shared" si="54"/>
        <v>11000</v>
      </c>
      <c r="BH85" s="262">
        <f t="shared" si="46"/>
        <v>0</v>
      </c>
      <c r="BI85" s="262">
        <f t="shared" si="47"/>
        <v>40.56</v>
      </c>
      <c r="BJ85" s="262">
        <f t="shared" si="48"/>
        <v>0</v>
      </c>
      <c r="BK85" s="263">
        <f t="shared" si="49"/>
        <v>0</v>
      </c>
      <c r="BL85" s="269">
        <f t="shared" si="50"/>
        <v>0</v>
      </c>
      <c r="BM85" s="264">
        <f t="shared" si="55"/>
        <v>40.56</v>
      </c>
      <c r="BO85" s="732">
        <f t="shared" si="56"/>
        <v>3.6872727272727275</v>
      </c>
    </row>
    <row r="86" spans="2:67" ht="15" customHeight="1" x14ac:dyDescent="0.25">
      <c r="B86" s="156">
        <f t="shared" si="27"/>
        <v>17</v>
      </c>
      <c r="C86" s="211"/>
      <c r="D86" s="212"/>
      <c r="E86" s="217"/>
      <c r="G86" s="493"/>
      <c r="H86" s="490"/>
      <c r="I86" s="471"/>
      <c r="J86" s="471"/>
      <c r="K86" s="472"/>
      <c r="L86" s="471"/>
      <c r="M86" s="471"/>
      <c r="N86" s="471"/>
      <c r="O86" s="472"/>
      <c r="P86" s="471"/>
      <c r="Q86" s="471"/>
      <c r="R86" s="472"/>
      <c r="S86" s="490"/>
      <c r="T86" s="471"/>
      <c r="U86" s="490"/>
      <c r="V86" s="472"/>
      <c r="X86" s="183">
        <f>'Q (t)'!G86</f>
        <v>0</v>
      </c>
      <c r="Y86" s="184">
        <f>'Q (t)'!H86</f>
        <v>0</v>
      </c>
      <c r="Z86" s="178">
        <f>'Q (t)'!I86</f>
        <v>0</v>
      </c>
      <c r="AA86" s="178">
        <f>'Q (t)'!J86</f>
        <v>0</v>
      </c>
      <c r="AB86" s="179">
        <f>'Q (t)'!K86</f>
        <v>0</v>
      </c>
      <c r="AC86" s="178">
        <f>'Q (t)'!L86</f>
        <v>0</v>
      </c>
      <c r="AD86" s="178">
        <f>'Q (t)'!M86</f>
        <v>0</v>
      </c>
      <c r="AE86" s="178">
        <f>'Q (t)'!N86</f>
        <v>0</v>
      </c>
      <c r="AF86" s="179">
        <f>'Q (t)'!O86</f>
        <v>0</v>
      </c>
      <c r="AG86" s="178">
        <f>'Q (t)'!P86</f>
        <v>0</v>
      </c>
      <c r="AH86" s="178">
        <f>'Q (t)'!Q86</f>
        <v>0</v>
      </c>
      <c r="AI86" s="179">
        <f>'Q (t)'!R86</f>
        <v>0</v>
      </c>
      <c r="AJ86" s="184">
        <f>'Q (t)'!S86</f>
        <v>0</v>
      </c>
      <c r="AK86" s="178">
        <f>'Q (t)'!T86</f>
        <v>0</v>
      </c>
      <c r="AL86" s="184">
        <f>'Q (t)'!U86</f>
        <v>0</v>
      </c>
      <c r="AM86" s="179">
        <f>'Q (t)'!V86</f>
        <v>0</v>
      </c>
      <c r="AO86" s="183">
        <f t="shared" si="51"/>
        <v>0</v>
      </c>
      <c r="AP86" s="184">
        <f t="shared" si="52"/>
        <v>0</v>
      </c>
      <c r="AQ86" s="178">
        <f t="shared" si="52"/>
        <v>0</v>
      </c>
      <c r="AR86" s="178">
        <f t="shared" si="52"/>
        <v>0</v>
      </c>
      <c r="AS86" s="179">
        <f t="shared" si="52"/>
        <v>0</v>
      </c>
      <c r="AT86" s="178">
        <f t="shared" si="52"/>
        <v>0</v>
      </c>
      <c r="AU86" s="178">
        <f t="shared" si="52"/>
        <v>0</v>
      </c>
      <c r="AV86" s="178">
        <f t="shared" si="52"/>
        <v>0</v>
      </c>
      <c r="AW86" s="179">
        <f t="shared" si="52"/>
        <v>0</v>
      </c>
      <c r="AX86" s="178">
        <f t="shared" si="42"/>
        <v>0</v>
      </c>
      <c r="AY86" s="178">
        <f t="shared" si="42"/>
        <v>0</v>
      </c>
      <c r="AZ86" s="179">
        <f t="shared" si="42"/>
        <v>0</v>
      </c>
      <c r="BA86" s="184">
        <f t="shared" si="41"/>
        <v>0</v>
      </c>
      <c r="BB86" s="178">
        <f t="shared" si="41"/>
        <v>0</v>
      </c>
      <c r="BC86" s="184">
        <f t="shared" si="41"/>
        <v>0</v>
      </c>
      <c r="BD86" s="178">
        <f t="shared" si="41"/>
        <v>0</v>
      </c>
      <c r="BE86" s="251">
        <f t="shared" si="57"/>
        <v>0</v>
      </c>
      <c r="BF86" s="252">
        <f t="shared" si="54"/>
        <v>0</v>
      </c>
      <c r="BH86" s="262">
        <f t="shared" si="46"/>
        <v>0</v>
      </c>
      <c r="BI86" s="262">
        <f t="shared" si="47"/>
        <v>0</v>
      </c>
      <c r="BJ86" s="262">
        <f t="shared" si="48"/>
        <v>0</v>
      </c>
      <c r="BK86" s="263">
        <f t="shared" si="49"/>
        <v>0</v>
      </c>
      <c r="BL86" s="269">
        <f t="shared" si="50"/>
        <v>0</v>
      </c>
      <c r="BM86" s="264">
        <f t="shared" si="55"/>
        <v>0</v>
      </c>
      <c r="BO86" s="732" t="str">
        <f t="shared" si="56"/>
        <v/>
      </c>
    </row>
    <row r="87" spans="2:67" ht="15" customHeight="1" x14ac:dyDescent="0.25">
      <c r="B87" s="156">
        <f>B86+1</f>
        <v>18</v>
      </c>
      <c r="C87" s="211"/>
      <c r="D87" s="212"/>
      <c r="E87" s="217"/>
      <c r="G87" s="493"/>
      <c r="H87" s="490"/>
      <c r="I87" s="471"/>
      <c r="J87" s="471"/>
      <c r="K87" s="472"/>
      <c r="L87" s="471"/>
      <c r="M87" s="471"/>
      <c r="N87" s="471"/>
      <c r="O87" s="472"/>
      <c r="P87" s="471"/>
      <c r="Q87" s="471"/>
      <c r="R87" s="472"/>
      <c r="S87" s="490"/>
      <c r="T87" s="471"/>
      <c r="U87" s="490"/>
      <c r="V87" s="472"/>
      <c r="X87" s="183">
        <f>'Q (t)'!G87</f>
        <v>0</v>
      </c>
      <c r="Y87" s="184">
        <f>'Q (t)'!H87</f>
        <v>0</v>
      </c>
      <c r="Z87" s="178">
        <f>'Q (t)'!I87</f>
        <v>0</v>
      </c>
      <c r="AA87" s="178">
        <f>'Q (t)'!J87</f>
        <v>0</v>
      </c>
      <c r="AB87" s="179">
        <f>'Q (t)'!K87</f>
        <v>0</v>
      </c>
      <c r="AC87" s="178">
        <f>'Q (t)'!L87</f>
        <v>0</v>
      </c>
      <c r="AD87" s="178">
        <f>'Q (t)'!M87</f>
        <v>0</v>
      </c>
      <c r="AE87" s="178">
        <f>'Q (t)'!N87</f>
        <v>0</v>
      </c>
      <c r="AF87" s="179">
        <f>'Q (t)'!O87</f>
        <v>0</v>
      </c>
      <c r="AG87" s="178">
        <f>'Q (t)'!P87</f>
        <v>0</v>
      </c>
      <c r="AH87" s="178">
        <f>'Q (t)'!Q87</f>
        <v>0</v>
      </c>
      <c r="AI87" s="179">
        <f>'Q (t)'!R87</f>
        <v>0</v>
      </c>
      <c r="AJ87" s="184">
        <f>'Q (t)'!S87</f>
        <v>0</v>
      </c>
      <c r="AK87" s="178">
        <f>'Q (t)'!T87</f>
        <v>0</v>
      </c>
      <c r="AL87" s="184">
        <f>'Q (t)'!U87</f>
        <v>0</v>
      </c>
      <c r="AM87" s="179">
        <f>'Q (t)'!V87</f>
        <v>0</v>
      </c>
      <c r="AO87" s="183">
        <f t="shared" si="51"/>
        <v>0</v>
      </c>
      <c r="AP87" s="184">
        <f t="shared" si="52"/>
        <v>0</v>
      </c>
      <c r="AQ87" s="178">
        <f t="shared" si="52"/>
        <v>0</v>
      </c>
      <c r="AR87" s="178">
        <f t="shared" si="52"/>
        <v>0</v>
      </c>
      <c r="AS87" s="179">
        <f t="shared" si="52"/>
        <v>0</v>
      </c>
      <c r="AT87" s="178">
        <f t="shared" si="52"/>
        <v>0</v>
      </c>
      <c r="AU87" s="178">
        <f t="shared" si="52"/>
        <v>0</v>
      </c>
      <c r="AV87" s="178">
        <f t="shared" si="52"/>
        <v>0</v>
      </c>
      <c r="AW87" s="179">
        <f t="shared" si="52"/>
        <v>0</v>
      </c>
      <c r="AX87" s="178">
        <f t="shared" si="42"/>
        <v>0</v>
      </c>
      <c r="AY87" s="178">
        <f t="shared" si="42"/>
        <v>0</v>
      </c>
      <c r="AZ87" s="179">
        <f t="shared" si="42"/>
        <v>0</v>
      </c>
      <c r="BA87" s="184">
        <f t="shared" si="41"/>
        <v>0</v>
      </c>
      <c r="BB87" s="178">
        <f t="shared" si="41"/>
        <v>0</v>
      </c>
      <c r="BC87" s="184">
        <f t="shared" si="41"/>
        <v>0</v>
      </c>
      <c r="BD87" s="178">
        <f t="shared" si="41"/>
        <v>0</v>
      </c>
      <c r="BE87" s="251">
        <f t="shared" si="57"/>
        <v>0</v>
      </c>
      <c r="BF87" s="252">
        <f t="shared" si="54"/>
        <v>0</v>
      </c>
      <c r="BH87" s="262">
        <f t="shared" si="46"/>
        <v>0</v>
      </c>
      <c r="BI87" s="262">
        <f t="shared" si="47"/>
        <v>0</v>
      </c>
      <c r="BJ87" s="262">
        <f t="shared" si="48"/>
        <v>0</v>
      </c>
      <c r="BK87" s="263">
        <f t="shared" si="49"/>
        <v>0</v>
      </c>
      <c r="BL87" s="269">
        <f t="shared" si="50"/>
        <v>0</v>
      </c>
      <c r="BM87" s="264">
        <f t="shared" si="55"/>
        <v>0</v>
      </c>
      <c r="BO87" s="732" t="str">
        <f t="shared" si="56"/>
        <v/>
      </c>
    </row>
    <row r="88" spans="2:67" ht="15" customHeight="1" x14ac:dyDescent="0.25">
      <c r="B88" s="156">
        <f t="shared" ref="B88:B91" si="78">B86+1</f>
        <v>18</v>
      </c>
      <c r="C88" s="211"/>
      <c r="D88" s="212"/>
      <c r="E88" s="217"/>
      <c r="G88" s="493"/>
      <c r="H88" s="490"/>
      <c r="I88" s="471"/>
      <c r="J88" s="471"/>
      <c r="K88" s="472"/>
      <c r="L88" s="471"/>
      <c r="M88" s="471"/>
      <c r="N88" s="471"/>
      <c r="O88" s="472"/>
      <c r="P88" s="471"/>
      <c r="Q88" s="471"/>
      <c r="R88" s="472"/>
      <c r="S88" s="490"/>
      <c r="T88" s="471"/>
      <c r="U88" s="490"/>
      <c r="V88" s="472"/>
      <c r="X88" s="183">
        <f>'Q (t)'!G88</f>
        <v>0</v>
      </c>
      <c r="Y88" s="184">
        <f>'Q (t)'!H88</f>
        <v>0</v>
      </c>
      <c r="Z88" s="178">
        <f>'Q (t)'!I88</f>
        <v>0</v>
      </c>
      <c r="AA88" s="178">
        <f>'Q (t)'!J88</f>
        <v>0</v>
      </c>
      <c r="AB88" s="179">
        <f>'Q (t)'!K88</f>
        <v>0</v>
      </c>
      <c r="AC88" s="178">
        <f>'Q (t)'!L88</f>
        <v>0</v>
      </c>
      <c r="AD88" s="178">
        <f>'Q (t)'!M88</f>
        <v>0</v>
      </c>
      <c r="AE88" s="178">
        <f>'Q (t)'!N88</f>
        <v>0</v>
      </c>
      <c r="AF88" s="179">
        <f>'Q (t)'!O88</f>
        <v>0</v>
      </c>
      <c r="AG88" s="178">
        <f>'Q (t)'!P88</f>
        <v>0</v>
      </c>
      <c r="AH88" s="178">
        <f>'Q (t)'!Q88</f>
        <v>0</v>
      </c>
      <c r="AI88" s="179">
        <f>'Q (t)'!R88</f>
        <v>0</v>
      </c>
      <c r="AJ88" s="184">
        <f>'Q (t)'!S88</f>
        <v>0</v>
      </c>
      <c r="AK88" s="178">
        <f>'Q (t)'!T88</f>
        <v>0</v>
      </c>
      <c r="AL88" s="184">
        <f>'Q (t)'!U88</f>
        <v>0</v>
      </c>
      <c r="AM88" s="179">
        <f>'Q (t)'!V88</f>
        <v>0</v>
      </c>
      <c r="AO88" s="183">
        <f t="shared" si="51"/>
        <v>0</v>
      </c>
      <c r="AP88" s="184">
        <f t="shared" si="52"/>
        <v>0</v>
      </c>
      <c r="AQ88" s="178">
        <f t="shared" si="52"/>
        <v>0</v>
      </c>
      <c r="AR88" s="178">
        <f t="shared" si="52"/>
        <v>0</v>
      </c>
      <c r="AS88" s="179">
        <f t="shared" si="52"/>
        <v>0</v>
      </c>
      <c r="AT88" s="178">
        <f t="shared" si="52"/>
        <v>0</v>
      </c>
      <c r="AU88" s="178">
        <f t="shared" si="52"/>
        <v>0</v>
      </c>
      <c r="AV88" s="178">
        <f t="shared" si="52"/>
        <v>0</v>
      </c>
      <c r="AW88" s="179">
        <f t="shared" si="52"/>
        <v>0</v>
      </c>
      <c r="AX88" s="178">
        <f t="shared" si="42"/>
        <v>0</v>
      </c>
      <c r="AY88" s="178">
        <f t="shared" si="42"/>
        <v>0</v>
      </c>
      <c r="AZ88" s="179">
        <f t="shared" si="42"/>
        <v>0</v>
      </c>
      <c r="BA88" s="184">
        <f t="shared" si="41"/>
        <v>0</v>
      </c>
      <c r="BB88" s="178">
        <f t="shared" si="41"/>
        <v>0</v>
      </c>
      <c r="BC88" s="184">
        <f t="shared" si="41"/>
        <v>0</v>
      </c>
      <c r="BD88" s="178">
        <f t="shared" si="41"/>
        <v>0</v>
      </c>
      <c r="BE88" s="251">
        <f t="shared" si="57"/>
        <v>0</v>
      </c>
      <c r="BF88" s="252">
        <f t="shared" si="54"/>
        <v>0</v>
      </c>
      <c r="BH88" s="262">
        <f t="shared" si="46"/>
        <v>0</v>
      </c>
      <c r="BI88" s="262">
        <f t="shared" si="47"/>
        <v>0</v>
      </c>
      <c r="BJ88" s="262">
        <f t="shared" si="48"/>
        <v>0</v>
      </c>
      <c r="BK88" s="263">
        <f t="shared" si="49"/>
        <v>0</v>
      </c>
      <c r="BL88" s="269">
        <f t="shared" si="50"/>
        <v>0</v>
      </c>
      <c r="BM88" s="264">
        <f t="shared" si="55"/>
        <v>0</v>
      </c>
      <c r="BO88" s="732" t="str">
        <f t="shared" si="56"/>
        <v/>
      </c>
    </row>
    <row r="89" spans="2:67" ht="15" customHeight="1" x14ac:dyDescent="0.25">
      <c r="B89" s="156">
        <f t="shared" si="78"/>
        <v>19</v>
      </c>
      <c r="C89" s="211"/>
      <c r="D89" s="212"/>
      <c r="E89" s="217"/>
      <c r="G89" s="493"/>
      <c r="H89" s="490"/>
      <c r="I89" s="471"/>
      <c r="J89" s="471"/>
      <c r="K89" s="472"/>
      <c r="L89" s="471"/>
      <c r="M89" s="471"/>
      <c r="N89" s="471"/>
      <c r="O89" s="472"/>
      <c r="P89" s="471"/>
      <c r="Q89" s="471"/>
      <c r="R89" s="472"/>
      <c r="S89" s="490"/>
      <c r="T89" s="471"/>
      <c r="U89" s="490"/>
      <c r="V89" s="472"/>
      <c r="X89" s="183">
        <f>'Q (t)'!G89</f>
        <v>0</v>
      </c>
      <c r="Y89" s="184">
        <f>'Q (t)'!H89</f>
        <v>0</v>
      </c>
      <c r="Z89" s="178">
        <f>'Q (t)'!I89</f>
        <v>0</v>
      </c>
      <c r="AA89" s="178">
        <f>'Q (t)'!J89</f>
        <v>0</v>
      </c>
      <c r="AB89" s="179">
        <f>'Q (t)'!K89</f>
        <v>0</v>
      </c>
      <c r="AC89" s="178">
        <f>'Q (t)'!L89</f>
        <v>0</v>
      </c>
      <c r="AD89" s="178">
        <f>'Q (t)'!M89</f>
        <v>0</v>
      </c>
      <c r="AE89" s="178">
        <f>'Q (t)'!N89</f>
        <v>0</v>
      </c>
      <c r="AF89" s="179">
        <f>'Q (t)'!O89</f>
        <v>0</v>
      </c>
      <c r="AG89" s="178">
        <f>'Q (t)'!P89</f>
        <v>0</v>
      </c>
      <c r="AH89" s="178">
        <f>'Q (t)'!Q89</f>
        <v>0</v>
      </c>
      <c r="AI89" s="179">
        <f>'Q (t)'!R89</f>
        <v>0</v>
      </c>
      <c r="AJ89" s="184">
        <f>'Q (t)'!S89</f>
        <v>0</v>
      </c>
      <c r="AK89" s="178">
        <f>'Q (t)'!T89</f>
        <v>0</v>
      </c>
      <c r="AL89" s="184">
        <f>'Q (t)'!U89</f>
        <v>0</v>
      </c>
      <c r="AM89" s="179">
        <f>'Q (t)'!V89</f>
        <v>0</v>
      </c>
      <c r="AO89" s="183">
        <f t="shared" si="51"/>
        <v>0</v>
      </c>
      <c r="AP89" s="184">
        <f t="shared" si="52"/>
        <v>0</v>
      </c>
      <c r="AQ89" s="178">
        <f t="shared" si="52"/>
        <v>0</v>
      </c>
      <c r="AR89" s="178">
        <f t="shared" si="52"/>
        <v>0</v>
      </c>
      <c r="AS89" s="179">
        <f t="shared" si="52"/>
        <v>0</v>
      </c>
      <c r="AT89" s="178">
        <f t="shared" si="52"/>
        <v>0</v>
      </c>
      <c r="AU89" s="178">
        <f t="shared" si="52"/>
        <v>0</v>
      </c>
      <c r="AV89" s="178">
        <f t="shared" si="52"/>
        <v>0</v>
      </c>
      <c r="AW89" s="179">
        <f t="shared" si="52"/>
        <v>0</v>
      </c>
      <c r="AX89" s="178">
        <f t="shared" si="42"/>
        <v>0</v>
      </c>
      <c r="AY89" s="178">
        <f t="shared" si="42"/>
        <v>0</v>
      </c>
      <c r="AZ89" s="179">
        <f t="shared" si="42"/>
        <v>0</v>
      </c>
      <c r="BA89" s="184">
        <f t="shared" si="41"/>
        <v>0</v>
      </c>
      <c r="BB89" s="178">
        <f t="shared" si="41"/>
        <v>0</v>
      </c>
      <c r="BC89" s="184">
        <f t="shared" si="41"/>
        <v>0</v>
      </c>
      <c r="BD89" s="178">
        <f t="shared" si="41"/>
        <v>0</v>
      </c>
      <c r="BE89" s="251">
        <f t="shared" si="57"/>
        <v>0</v>
      </c>
      <c r="BF89" s="252">
        <f t="shared" si="54"/>
        <v>0</v>
      </c>
      <c r="BH89" s="262">
        <f t="shared" si="46"/>
        <v>0</v>
      </c>
      <c r="BI89" s="262">
        <f t="shared" si="47"/>
        <v>0</v>
      </c>
      <c r="BJ89" s="262">
        <f t="shared" si="48"/>
        <v>0</v>
      </c>
      <c r="BK89" s="263">
        <f t="shared" si="49"/>
        <v>0</v>
      </c>
      <c r="BL89" s="269">
        <f t="shared" si="50"/>
        <v>0</v>
      </c>
      <c r="BM89" s="264">
        <f t="shared" si="55"/>
        <v>0</v>
      </c>
      <c r="BO89" s="732" t="str">
        <f t="shared" si="56"/>
        <v/>
      </c>
    </row>
    <row r="90" spans="2:67" ht="15" customHeight="1" x14ac:dyDescent="0.25">
      <c r="B90" s="156">
        <f t="shared" si="78"/>
        <v>19</v>
      </c>
      <c r="C90" s="211"/>
      <c r="D90" s="212"/>
      <c r="E90" s="217"/>
      <c r="G90" s="493"/>
      <c r="H90" s="490"/>
      <c r="I90" s="471"/>
      <c r="J90" s="471"/>
      <c r="K90" s="472"/>
      <c r="L90" s="471"/>
      <c r="M90" s="471"/>
      <c r="N90" s="471"/>
      <c r="O90" s="472"/>
      <c r="P90" s="471"/>
      <c r="Q90" s="471"/>
      <c r="R90" s="472"/>
      <c r="S90" s="490"/>
      <c r="T90" s="471"/>
      <c r="U90" s="490"/>
      <c r="V90" s="472"/>
      <c r="X90" s="183">
        <f>'Q (t)'!G90</f>
        <v>0</v>
      </c>
      <c r="Y90" s="184">
        <f>'Q (t)'!H90</f>
        <v>0</v>
      </c>
      <c r="Z90" s="178">
        <f>'Q (t)'!I90</f>
        <v>0</v>
      </c>
      <c r="AA90" s="178">
        <f>'Q (t)'!J90</f>
        <v>0</v>
      </c>
      <c r="AB90" s="179">
        <f>'Q (t)'!K90</f>
        <v>0</v>
      </c>
      <c r="AC90" s="178">
        <f>'Q (t)'!L90</f>
        <v>0</v>
      </c>
      <c r="AD90" s="178">
        <f>'Q (t)'!M90</f>
        <v>0</v>
      </c>
      <c r="AE90" s="178">
        <f>'Q (t)'!N90</f>
        <v>0</v>
      </c>
      <c r="AF90" s="179">
        <f>'Q (t)'!O90</f>
        <v>0</v>
      </c>
      <c r="AG90" s="178">
        <f>'Q (t)'!P90</f>
        <v>0</v>
      </c>
      <c r="AH90" s="178">
        <f>'Q (t)'!Q90</f>
        <v>0</v>
      </c>
      <c r="AI90" s="179">
        <f>'Q (t)'!R90</f>
        <v>0</v>
      </c>
      <c r="AJ90" s="184">
        <f>'Q (t)'!S90</f>
        <v>0</v>
      </c>
      <c r="AK90" s="178">
        <f>'Q (t)'!T90</f>
        <v>0</v>
      </c>
      <c r="AL90" s="184">
        <f>'Q (t)'!U90</f>
        <v>0</v>
      </c>
      <c r="AM90" s="179">
        <f>'Q (t)'!V90</f>
        <v>0</v>
      </c>
      <c r="AO90" s="183">
        <f t="shared" si="51"/>
        <v>0</v>
      </c>
      <c r="AP90" s="184">
        <f t="shared" si="52"/>
        <v>0</v>
      </c>
      <c r="AQ90" s="178">
        <f t="shared" si="52"/>
        <v>0</v>
      </c>
      <c r="AR90" s="178">
        <f t="shared" si="52"/>
        <v>0</v>
      </c>
      <c r="AS90" s="179">
        <f t="shared" si="52"/>
        <v>0</v>
      </c>
      <c r="AT90" s="178">
        <f t="shared" si="52"/>
        <v>0</v>
      </c>
      <c r="AU90" s="178">
        <f t="shared" si="52"/>
        <v>0</v>
      </c>
      <c r="AV90" s="178">
        <f t="shared" si="52"/>
        <v>0</v>
      </c>
      <c r="AW90" s="179">
        <f t="shared" si="52"/>
        <v>0</v>
      </c>
      <c r="AX90" s="178">
        <f t="shared" si="42"/>
        <v>0</v>
      </c>
      <c r="AY90" s="178">
        <f t="shared" si="42"/>
        <v>0</v>
      </c>
      <c r="AZ90" s="179">
        <f t="shared" si="42"/>
        <v>0</v>
      </c>
      <c r="BA90" s="184">
        <f t="shared" si="41"/>
        <v>0</v>
      </c>
      <c r="BB90" s="178">
        <f t="shared" si="41"/>
        <v>0</v>
      </c>
      <c r="BC90" s="184">
        <f t="shared" si="41"/>
        <v>0</v>
      </c>
      <c r="BD90" s="178">
        <f t="shared" si="41"/>
        <v>0</v>
      </c>
      <c r="BE90" s="251">
        <f t="shared" si="57"/>
        <v>0</v>
      </c>
      <c r="BF90" s="252">
        <f t="shared" si="54"/>
        <v>0</v>
      </c>
      <c r="BH90" s="262">
        <f t="shared" si="46"/>
        <v>0</v>
      </c>
      <c r="BI90" s="262">
        <f t="shared" si="47"/>
        <v>0</v>
      </c>
      <c r="BJ90" s="262">
        <f t="shared" si="48"/>
        <v>0</v>
      </c>
      <c r="BK90" s="263">
        <f t="shared" si="49"/>
        <v>0</v>
      </c>
      <c r="BL90" s="269">
        <f t="shared" si="50"/>
        <v>0</v>
      </c>
      <c r="BM90" s="264">
        <f t="shared" si="55"/>
        <v>0</v>
      </c>
      <c r="BO90" s="732" t="str">
        <f t="shared" si="56"/>
        <v/>
      </c>
    </row>
    <row r="91" spans="2:67" ht="15" customHeight="1" x14ac:dyDescent="0.25">
      <c r="B91" s="162">
        <f t="shared" si="78"/>
        <v>20</v>
      </c>
      <c r="C91" s="214"/>
      <c r="D91" s="215"/>
      <c r="E91" s="218"/>
      <c r="G91" s="509"/>
      <c r="H91" s="502"/>
      <c r="I91" s="498"/>
      <c r="J91" s="498"/>
      <c r="K91" s="499"/>
      <c r="L91" s="498"/>
      <c r="M91" s="498"/>
      <c r="N91" s="498"/>
      <c r="O91" s="499"/>
      <c r="P91" s="498"/>
      <c r="Q91" s="498"/>
      <c r="R91" s="499"/>
      <c r="S91" s="502"/>
      <c r="T91" s="498"/>
      <c r="U91" s="502"/>
      <c r="V91" s="499"/>
      <c r="X91" s="190">
        <f>'Q (t)'!G91</f>
        <v>0</v>
      </c>
      <c r="Y91" s="197">
        <f>'Q (t)'!H91</f>
        <v>0</v>
      </c>
      <c r="Z91" s="192">
        <f>'Q (t)'!I91</f>
        <v>0</v>
      </c>
      <c r="AA91" s="192">
        <f>'Q (t)'!J91</f>
        <v>0</v>
      </c>
      <c r="AB91" s="193">
        <f>'Q (t)'!K91</f>
        <v>0</v>
      </c>
      <c r="AC91" s="192">
        <f>'Q (t)'!L91</f>
        <v>0</v>
      </c>
      <c r="AD91" s="192">
        <f>'Q (t)'!M91</f>
        <v>0</v>
      </c>
      <c r="AE91" s="192">
        <f>'Q (t)'!N91</f>
        <v>0</v>
      </c>
      <c r="AF91" s="193">
        <f>'Q (t)'!O91</f>
        <v>0</v>
      </c>
      <c r="AG91" s="192">
        <f>'Q (t)'!P91</f>
        <v>0</v>
      </c>
      <c r="AH91" s="192">
        <f>'Q (t)'!Q91</f>
        <v>0</v>
      </c>
      <c r="AI91" s="193">
        <f>'Q (t)'!R91</f>
        <v>0</v>
      </c>
      <c r="AJ91" s="197">
        <f>'Q (t)'!S91</f>
        <v>0</v>
      </c>
      <c r="AK91" s="192">
        <f>'Q (t)'!T91</f>
        <v>0</v>
      </c>
      <c r="AL91" s="197">
        <f>'Q (t)'!U91</f>
        <v>0</v>
      </c>
      <c r="AM91" s="193">
        <f>'Q (t)'!V91</f>
        <v>0</v>
      </c>
      <c r="AO91" s="190">
        <f t="shared" si="51"/>
        <v>0</v>
      </c>
      <c r="AP91" s="197">
        <f t="shared" si="52"/>
        <v>0</v>
      </c>
      <c r="AQ91" s="192">
        <f t="shared" si="52"/>
        <v>0</v>
      </c>
      <c r="AR91" s="192">
        <f t="shared" si="52"/>
        <v>0</v>
      </c>
      <c r="AS91" s="193">
        <f t="shared" si="52"/>
        <v>0</v>
      </c>
      <c r="AT91" s="192">
        <f t="shared" si="52"/>
        <v>0</v>
      </c>
      <c r="AU91" s="192">
        <f t="shared" si="52"/>
        <v>0</v>
      </c>
      <c r="AV91" s="192">
        <f t="shared" si="52"/>
        <v>0</v>
      </c>
      <c r="AW91" s="193">
        <f t="shared" si="52"/>
        <v>0</v>
      </c>
      <c r="AX91" s="192">
        <f t="shared" si="42"/>
        <v>0</v>
      </c>
      <c r="AY91" s="192">
        <f t="shared" si="42"/>
        <v>0</v>
      </c>
      <c r="AZ91" s="193">
        <f t="shared" si="42"/>
        <v>0</v>
      </c>
      <c r="BA91" s="197">
        <f t="shared" si="41"/>
        <v>0</v>
      </c>
      <c r="BB91" s="192">
        <f t="shared" si="41"/>
        <v>0</v>
      </c>
      <c r="BC91" s="197">
        <f t="shared" si="41"/>
        <v>0</v>
      </c>
      <c r="BD91" s="192">
        <f t="shared" si="41"/>
        <v>0</v>
      </c>
      <c r="BE91" s="253">
        <f t="shared" si="57"/>
        <v>0</v>
      </c>
      <c r="BF91" s="254">
        <f t="shared" si="54"/>
        <v>0</v>
      </c>
      <c r="BH91" s="262">
        <f t="shared" ref="BH91" si="79">SUM(AO91)</f>
        <v>0</v>
      </c>
      <c r="BI91" s="262">
        <f t="shared" ref="BI91" si="80">SUM(AP91:AS91)</f>
        <v>0</v>
      </c>
      <c r="BJ91" s="262">
        <f t="shared" ref="BJ91" si="81">SUM(AT91:AW91)</f>
        <v>0</v>
      </c>
      <c r="BK91" s="263">
        <f t="shared" ref="BK91" si="82">SUM(AX91:BB91)</f>
        <v>0</v>
      </c>
      <c r="BL91" s="269">
        <f t="shared" ref="BL91" si="83">SUM(BC91:BD91)</f>
        <v>0</v>
      </c>
      <c r="BM91" s="264">
        <f t="shared" si="55"/>
        <v>0</v>
      </c>
      <c r="BO91" s="732" t="str">
        <f t="shared" si="56"/>
        <v/>
      </c>
    </row>
    <row r="92" spans="2:67" ht="15" customHeight="1" x14ac:dyDescent="0.25">
      <c r="B92" s="172" t="s">
        <v>112</v>
      </c>
      <c r="C92" s="126" t="s">
        <v>113</v>
      </c>
      <c r="D92" s="126"/>
      <c r="E92" s="219"/>
      <c r="G92" s="493"/>
      <c r="H92" s="490"/>
      <c r="I92" s="471"/>
      <c r="J92" s="471"/>
      <c r="K92" s="472"/>
      <c r="L92" s="471"/>
      <c r="M92" s="471"/>
      <c r="N92" s="471"/>
      <c r="O92" s="472"/>
      <c r="P92" s="471"/>
      <c r="Q92" s="471"/>
      <c r="R92" s="472"/>
      <c r="S92" s="490"/>
      <c r="T92" s="471"/>
      <c r="U92" s="490"/>
      <c r="V92" s="472"/>
      <c r="X92" s="183">
        <f>'Q (t)'!G92</f>
        <v>0</v>
      </c>
      <c r="Y92" s="184">
        <f>'Q (t)'!H92</f>
        <v>0</v>
      </c>
      <c r="Z92" s="178">
        <f>'Q (t)'!I92</f>
        <v>0</v>
      </c>
      <c r="AA92" s="178">
        <f>'Q (t)'!J92</f>
        <v>0</v>
      </c>
      <c r="AB92" s="179">
        <f>'Q (t)'!K92</f>
        <v>0</v>
      </c>
      <c r="AC92" s="178">
        <f>'Q (t)'!L92</f>
        <v>0</v>
      </c>
      <c r="AD92" s="178">
        <f>'Q (t)'!M92</f>
        <v>0</v>
      </c>
      <c r="AE92" s="178">
        <f>'Q (t)'!N92</f>
        <v>0</v>
      </c>
      <c r="AF92" s="179">
        <f>'Q (t)'!O92</f>
        <v>0</v>
      </c>
      <c r="AG92" s="178">
        <f>'Q (t)'!P92</f>
        <v>0</v>
      </c>
      <c r="AH92" s="178">
        <f>'Q (t)'!Q92</f>
        <v>0</v>
      </c>
      <c r="AI92" s="179">
        <f>'Q (t)'!R92</f>
        <v>0</v>
      </c>
      <c r="AJ92" s="184">
        <f>'Q (t)'!S92</f>
        <v>0</v>
      </c>
      <c r="AK92" s="178">
        <f>'Q (t)'!T92</f>
        <v>0</v>
      </c>
      <c r="AL92" s="184">
        <f>'Q (t)'!U92</f>
        <v>0</v>
      </c>
      <c r="AM92" s="179">
        <f>'Q (t)'!V92</f>
        <v>0</v>
      </c>
      <c r="AO92" s="183">
        <f t="shared" si="51"/>
        <v>0</v>
      </c>
      <c r="AP92" s="184">
        <f t="shared" si="52"/>
        <v>0</v>
      </c>
      <c r="AQ92" s="178">
        <f t="shared" si="52"/>
        <v>0</v>
      </c>
      <c r="AR92" s="178">
        <f t="shared" si="52"/>
        <v>0</v>
      </c>
      <c r="AS92" s="179">
        <f t="shared" si="52"/>
        <v>0</v>
      </c>
      <c r="AT92" s="178">
        <f t="shared" si="52"/>
        <v>0</v>
      </c>
      <c r="AU92" s="178">
        <f t="shared" si="52"/>
        <v>0</v>
      </c>
      <c r="AV92" s="178">
        <f t="shared" si="52"/>
        <v>0</v>
      </c>
      <c r="AW92" s="179">
        <f t="shared" si="52"/>
        <v>0</v>
      </c>
      <c r="AX92" s="178">
        <f t="shared" si="42"/>
        <v>0</v>
      </c>
      <c r="AY92" s="178">
        <f t="shared" si="42"/>
        <v>0</v>
      </c>
      <c r="AZ92" s="179">
        <f t="shared" si="42"/>
        <v>0</v>
      </c>
      <c r="BA92" s="184">
        <f t="shared" si="41"/>
        <v>0</v>
      </c>
      <c r="BB92" s="178">
        <f t="shared" si="41"/>
        <v>0</v>
      </c>
      <c r="BC92" s="184">
        <f t="shared" si="41"/>
        <v>0</v>
      </c>
      <c r="BD92" s="178">
        <f t="shared" si="41"/>
        <v>0</v>
      </c>
      <c r="BE92" s="251">
        <f t="shared" si="57"/>
        <v>0</v>
      </c>
      <c r="BF92" s="252">
        <f t="shared" si="54"/>
        <v>0</v>
      </c>
      <c r="BH92" s="260">
        <f>SUBTOTAL(9,BH93:BH126)</f>
        <v>0</v>
      </c>
      <c r="BI92" s="260">
        <f>SUBTOTAL(9,BI93:BI126)</f>
        <v>1074.7507548807</v>
      </c>
      <c r="BJ92" s="260">
        <f>SUBTOTAL(9,BJ93:BJ126)</f>
        <v>0</v>
      </c>
      <c r="BK92" s="260">
        <f>SUBTOTAL(9,BK93:BK126)</f>
        <v>0</v>
      </c>
      <c r="BL92" s="260">
        <f>SUBTOTAL(9,BL93:BL126)</f>
        <v>0</v>
      </c>
      <c r="BM92" s="264">
        <f t="shared" si="55"/>
        <v>1074.7507548807</v>
      </c>
      <c r="BO92" s="732" t="str">
        <f t="shared" si="56"/>
        <v/>
      </c>
    </row>
    <row r="93" spans="2:67" ht="15" customHeight="1" x14ac:dyDescent="0.25">
      <c r="B93" s="156"/>
      <c r="C93" s="126" t="s">
        <v>114</v>
      </c>
      <c r="D93" s="202"/>
      <c r="E93" s="202"/>
      <c r="G93" s="493"/>
      <c r="H93" s="490"/>
      <c r="I93" s="471"/>
      <c r="J93" s="471"/>
      <c r="K93" s="472"/>
      <c r="L93" s="471"/>
      <c r="M93" s="471"/>
      <c r="N93" s="471"/>
      <c r="O93" s="472"/>
      <c r="P93" s="471"/>
      <c r="Q93" s="471"/>
      <c r="R93" s="472"/>
      <c r="S93" s="490"/>
      <c r="T93" s="471"/>
      <c r="U93" s="490"/>
      <c r="V93" s="472"/>
      <c r="X93" s="183">
        <f>'Q (t)'!G93</f>
        <v>0</v>
      </c>
      <c r="Y93" s="184">
        <f>'Q (t)'!H93</f>
        <v>0</v>
      </c>
      <c r="Z93" s="178">
        <f>'Q (t)'!I93</f>
        <v>0</v>
      </c>
      <c r="AA93" s="178">
        <f>'Q (t)'!J93</f>
        <v>0</v>
      </c>
      <c r="AB93" s="179">
        <f>'Q (t)'!K93</f>
        <v>0</v>
      </c>
      <c r="AC93" s="178">
        <f>'Q (t)'!L93</f>
        <v>0</v>
      </c>
      <c r="AD93" s="178">
        <f>'Q (t)'!M93</f>
        <v>0</v>
      </c>
      <c r="AE93" s="178">
        <f>'Q (t)'!N93</f>
        <v>0</v>
      </c>
      <c r="AF93" s="179">
        <f>'Q (t)'!O93</f>
        <v>0</v>
      </c>
      <c r="AG93" s="178">
        <f>'Q (t)'!P93</f>
        <v>0</v>
      </c>
      <c r="AH93" s="178">
        <f>'Q (t)'!Q93</f>
        <v>0</v>
      </c>
      <c r="AI93" s="179">
        <f>'Q (t)'!R93</f>
        <v>0</v>
      </c>
      <c r="AJ93" s="184">
        <f>'Q (t)'!S93</f>
        <v>0</v>
      </c>
      <c r="AK93" s="178">
        <f>'Q (t)'!T93</f>
        <v>0</v>
      </c>
      <c r="AL93" s="184">
        <f>'Q (t)'!U93</f>
        <v>0</v>
      </c>
      <c r="AM93" s="179">
        <f>'Q (t)'!V93</f>
        <v>0</v>
      </c>
      <c r="AO93" s="183">
        <f t="shared" si="51"/>
        <v>0</v>
      </c>
      <c r="AP93" s="184">
        <f t="shared" si="52"/>
        <v>0</v>
      </c>
      <c r="AQ93" s="178">
        <f t="shared" si="52"/>
        <v>0</v>
      </c>
      <c r="AR93" s="178">
        <f t="shared" si="52"/>
        <v>0</v>
      </c>
      <c r="AS93" s="179">
        <f t="shared" si="52"/>
        <v>0</v>
      </c>
      <c r="AT93" s="178">
        <f t="shared" si="52"/>
        <v>0</v>
      </c>
      <c r="AU93" s="178">
        <f t="shared" si="52"/>
        <v>0</v>
      </c>
      <c r="AV93" s="178">
        <f t="shared" si="52"/>
        <v>0</v>
      </c>
      <c r="AW93" s="179">
        <f t="shared" si="52"/>
        <v>0</v>
      </c>
      <c r="AX93" s="178">
        <f t="shared" si="42"/>
        <v>0</v>
      </c>
      <c r="AY93" s="178">
        <f t="shared" si="42"/>
        <v>0</v>
      </c>
      <c r="AZ93" s="179">
        <f t="shared" si="42"/>
        <v>0</v>
      </c>
      <c r="BA93" s="184">
        <f t="shared" si="41"/>
        <v>0</v>
      </c>
      <c r="BB93" s="178">
        <f t="shared" si="41"/>
        <v>0</v>
      </c>
      <c r="BC93" s="184">
        <f t="shared" si="41"/>
        <v>0</v>
      </c>
      <c r="BD93" s="178">
        <f t="shared" si="41"/>
        <v>0</v>
      </c>
      <c r="BE93" s="251">
        <f t="shared" si="57"/>
        <v>0</v>
      </c>
      <c r="BF93" s="252">
        <f t="shared" si="54"/>
        <v>0</v>
      </c>
      <c r="BH93" s="259">
        <f>SUBTOTAL(9,BH94:BH100)</f>
        <v>0</v>
      </c>
      <c r="BI93" s="259">
        <f>SUBTOTAL(9,BI94:BI100)</f>
        <v>94.741433506800007</v>
      </c>
      <c r="BJ93" s="259">
        <f>SUBTOTAL(9,BJ94:BJ100)</f>
        <v>0</v>
      </c>
      <c r="BK93" s="259">
        <f>SUBTOTAL(9,BK94:BK100)</f>
        <v>0</v>
      </c>
      <c r="BL93" s="259">
        <f>SUBTOTAL(9,BL94:BL100)</f>
        <v>0</v>
      </c>
      <c r="BM93" s="264">
        <f t="shared" si="55"/>
        <v>94.741433506800007</v>
      </c>
      <c r="BO93" s="732" t="str">
        <f t="shared" si="56"/>
        <v/>
      </c>
    </row>
    <row r="94" spans="2:67" ht="15" customHeight="1" x14ac:dyDescent="0.25">
      <c r="B94" s="156">
        <v>1</v>
      </c>
      <c r="C94" s="180" t="s">
        <v>115</v>
      </c>
      <c r="D94" s="181"/>
      <c r="E94" s="210" t="s">
        <v>116</v>
      </c>
      <c r="G94" s="488">
        <v>0</v>
      </c>
      <c r="H94" s="489">
        <v>8.9999999999999998E-4</v>
      </c>
      <c r="I94" s="471"/>
      <c r="J94" s="471"/>
      <c r="K94" s="472"/>
      <c r="L94" s="471"/>
      <c r="M94" s="471"/>
      <c r="N94" s="471"/>
      <c r="O94" s="472"/>
      <c r="P94" s="471"/>
      <c r="Q94" s="471"/>
      <c r="R94" s="472"/>
      <c r="S94" s="489">
        <v>0</v>
      </c>
      <c r="T94" s="494">
        <v>0</v>
      </c>
      <c r="U94" s="491"/>
      <c r="V94" s="492"/>
      <c r="X94" s="183">
        <f>'Q (t)'!G94</f>
        <v>0</v>
      </c>
      <c r="Y94" s="184">
        <f>'Q (t)'!H94</f>
        <v>0</v>
      </c>
      <c r="Z94" s="178">
        <f>'Q (t)'!I94</f>
        <v>0</v>
      </c>
      <c r="AA94" s="178">
        <f>'Q (t)'!J94</f>
        <v>0</v>
      </c>
      <c r="AB94" s="179">
        <f>'Q (t)'!K94</f>
        <v>0</v>
      </c>
      <c r="AC94" s="178">
        <f>'Q (t)'!L94</f>
        <v>0</v>
      </c>
      <c r="AD94" s="178">
        <f>'Q (t)'!M94</f>
        <v>0</v>
      </c>
      <c r="AE94" s="178">
        <f>'Q (t)'!N94</f>
        <v>0</v>
      </c>
      <c r="AF94" s="179">
        <f>'Q (t)'!O94</f>
        <v>0</v>
      </c>
      <c r="AG94" s="178">
        <f>'Q (t)'!P94</f>
        <v>0</v>
      </c>
      <c r="AH94" s="178">
        <f>'Q (t)'!Q94</f>
        <v>0</v>
      </c>
      <c r="AI94" s="179">
        <f>'Q (t)'!R94</f>
        <v>0</v>
      </c>
      <c r="AJ94" s="184">
        <f>'Q (t)'!S94</f>
        <v>0</v>
      </c>
      <c r="AK94" s="178">
        <f>'Q (t)'!T94</f>
        <v>0</v>
      </c>
      <c r="AL94" s="184">
        <f>'Q (t)'!U94</f>
        <v>0</v>
      </c>
      <c r="AM94" s="179">
        <f>'Q (t)'!V94</f>
        <v>0</v>
      </c>
      <c r="AO94" s="183">
        <f t="shared" si="51"/>
        <v>0</v>
      </c>
      <c r="AP94" s="184">
        <f t="shared" si="52"/>
        <v>0</v>
      </c>
      <c r="AQ94" s="178">
        <f t="shared" si="52"/>
        <v>0</v>
      </c>
      <c r="AR94" s="178">
        <f t="shared" si="52"/>
        <v>0</v>
      </c>
      <c r="AS94" s="179">
        <f t="shared" si="52"/>
        <v>0</v>
      </c>
      <c r="AT94" s="178">
        <f t="shared" si="52"/>
        <v>0</v>
      </c>
      <c r="AU94" s="178">
        <f t="shared" si="52"/>
        <v>0</v>
      </c>
      <c r="AV94" s="178">
        <f t="shared" si="52"/>
        <v>0</v>
      </c>
      <c r="AW94" s="179">
        <f t="shared" si="52"/>
        <v>0</v>
      </c>
      <c r="AX94" s="178">
        <f t="shared" si="42"/>
        <v>0</v>
      </c>
      <c r="AY94" s="178">
        <f t="shared" si="42"/>
        <v>0</v>
      </c>
      <c r="AZ94" s="179">
        <f t="shared" si="42"/>
        <v>0</v>
      </c>
      <c r="BA94" s="184">
        <f t="shared" si="41"/>
        <v>0</v>
      </c>
      <c r="BB94" s="178">
        <f t="shared" si="41"/>
        <v>0</v>
      </c>
      <c r="BC94" s="184">
        <f t="shared" si="41"/>
        <v>0</v>
      </c>
      <c r="BD94" s="178">
        <f t="shared" si="41"/>
        <v>0</v>
      </c>
      <c r="BE94" s="251">
        <f t="shared" si="57"/>
        <v>0</v>
      </c>
      <c r="BF94" s="252">
        <f t="shared" si="54"/>
        <v>0</v>
      </c>
      <c r="BH94" s="262">
        <f t="shared" ref="BH94:BH100" si="84">SUM(AO94)</f>
        <v>0</v>
      </c>
      <c r="BI94" s="262">
        <f t="shared" ref="BI94:BI100" si="85">SUM(AP94:AS94)</f>
        <v>0</v>
      </c>
      <c r="BJ94" s="262">
        <f t="shared" ref="BJ94:BJ100" si="86">SUM(AT94:AW94)</f>
        <v>0</v>
      </c>
      <c r="BK94" s="263">
        <f t="shared" ref="BK94:BK100" si="87">SUM(AX94:BB94)</f>
        <v>0</v>
      </c>
      <c r="BL94" s="269">
        <f t="shared" ref="BL94:BL100" si="88">SUM(BC94:BD94)</f>
        <v>0</v>
      </c>
      <c r="BM94" s="264">
        <f t="shared" si="55"/>
        <v>0</v>
      </c>
      <c r="BO94" s="732" t="str">
        <f t="shared" si="56"/>
        <v/>
      </c>
    </row>
    <row r="95" spans="2:67" ht="15" customHeight="1" x14ac:dyDescent="0.25">
      <c r="B95" s="156">
        <v>1</v>
      </c>
      <c r="C95" s="180" t="s">
        <v>117</v>
      </c>
      <c r="D95" s="181"/>
      <c r="E95" s="210" t="s">
        <v>118</v>
      </c>
      <c r="G95" s="488">
        <f>'Cust Specific'!T186</f>
        <v>0</v>
      </c>
      <c r="H95" s="489">
        <f>'Cust Specific'!T189</f>
        <v>8.9999999999999998E-4</v>
      </c>
      <c r="I95" s="471"/>
      <c r="J95" s="471"/>
      <c r="K95" s="472"/>
      <c r="L95" s="471"/>
      <c r="M95" s="471"/>
      <c r="N95" s="471"/>
      <c r="O95" s="472"/>
      <c r="P95" s="471"/>
      <c r="Q95" s="471"/>
      <c r="R95" s="472"/>
      <c r="S95" s="489">
        <f>'Cust Specific'!T187</f>
        <v>0</v>
      </c>
      <c r="T95" s="494">
        <f>'Cust Specific'!T188</f>
        <v>0</v>
      </c>
      <c r="U95" s="491"/>
      <c r="V95" s="492"/>
      <c r="X95" s="183">
        <f>'Q (t)'!G95</f>
        <v>365</v>
      </c>
      <c r="Y95" s="184">
        <f>'Q (t)'!H95</f>
        <v>20561.394500000002</v>
      </c>
      <c r="Z95" s="178">
        <f>'Q (t)'!I95</f>
        <v>0</v>
      </c>
      <c r="AA95" s="178">
        <f>'Q (t)'!J95</f>
        <v>0</v>
      </c>
      <c r="AB95" s="179">
        <f>'Q (t)'!K95</f>
        <v>0</v>
      </c>
      <c r="AC95" s="178">
        <f>'Q (t)'!L95</f>
        <v>0</v>
      </c>
      <c r="AD95" s="178">
        <f>'Q (t)'!M95</f>
        <v>0</v>
      </c>
      <c r="AE95" s="178">
        <f>'Q (t)'!N95</f>
        <v>0</v>
      </c>
      <c r="AF95" s="179">
        <f>'Q (t)'!O95</f>
        <v>0</v>
      </c>
      <c r="AG95" s="178">
        <f>'Q (t)'!P95</f>
        <v>0</v>
      </c>
      <c r="AH95" s="178">
        <f>'Q (t)'!Q95</f>
        <v>0</v>
      </c>
      <c r="AI95" s="179">
        <f>'Q (t)'!R95</f>
        <v>0</v>
      </c>
      <c r="AJ95" s="184">
        <f>'Q (t)'!S95</f>
        <v>1573358.78</v>
      </c>
      <c r="AK95" s="178">
        <f>'Q (t)'!T95</f>
        <v>1825000</v>
      </c>
      <c r="AL95" s="184">
        <f>'Q (t)'!U95</f>
        <v>0</v>
      </c>
      <c r="AM95" s="179">
        <f>'Q (t)'!V95</f>
        <v>0</v>
      </c>
      <c r="AO95" s="183">
        <f t="shared" si="51"/>
        <v>0</v>
      </c>
      <c r="AP95" s="184">
        <f t="shared" ref="AP95:AW109" si="89">H95*Y95</f>
        <v>18.505255050000002</v>
      </c>
      <c r="AQ95" s="178">
        <f t="shared" si="89"/>
        <v>0</v>
      </c>
      <c r="AR95" s="178">
        <f t="shared" si="89"/>
        <v>0</v>
      </c>
      <c r="AS95" s="179">
        <f t="shared" si="89"/>
        <v>0</v>
      </c>
      <c r="AT95" s="178">
        <f t="shared" si="89"/>
        <v>0</v>
      </c>
      <c r="AU95" s="178">
        <f t="shared" si="89"/>
        <v>0</v>
      </c>
      <c r="AV95" s="178">
        <f t="shared" si="89"/>
        <v>0</v>
      </c>
      <c r="AW95" s="179">
        <f t="shared" si="89"/>
        <v>0</v>
      </c>
      <c r="AX95" s="178">
        <f t="shared" si="42"/>
        <v>0</v>
      </c>
      <c r="AY95" s="178">
        <f t="shared" si="42"/>
        <v>0</v>
      </c>
      <c r="AZ95" s="179">
        <f t="shared" si="42"/>
        <v>0</v>
      </c>
      <c r="BA95" s="184">
        <f t="shared" si="41"/>
        <v>0</v>
      </c>
      <c r="BB95" s="178">
        <f t="shared" si="41"/>
        <v>0</v>
      </c>
      <c r="BC95" s="184">
        <f t="shared" si="41"/>
        <v>0</v>
      </c>
      <c r="BD95" s="178">
        <f t="shared" si="41"/>
        <v>0</v>
      </c>
      <c r="BE95" s="251">
        <f t="shared" si="57"/>
        <v>1</v>
      </c>
      <c r="BF95" s="252">
        <f t="shared" si="54"/>
        <v>20561.394500000002</v>
      </c>
      <c r="BH95" s="262">
        <f t="shared" si="84"/>
        <v>0</v>
      </c>
      <c r="BI95" s="262">
        <f t="shared" si="85"/>
        <v>18.505255050000002</v>
      </c>
      <c r="BJ95" s="262">
        <f t="shared" si="86"/>
        <v>0</v>
      </c>
      <c r="BK95" s="263">
        <f t="shared" si="87"/>
        <v>0</v>
      </c>
      <c r="BL95" s="269">
        <f t="shared" si="88"/>
        <v>0</v>
      </c>
      <c r="BM95" s="264">
        <f t="shared" si="55"/>
        <v>18.505255050000002</v>
      </c>
      <c r="BO95" s="732">
        <f t="shared" si="56"/>
        <v>0.9</v>
      </c>
    </row>
    <row r="96" spans="2:67" ht="15" customHeight="1" x14ac:dyDescent="0.25">
      <c r="B96" s="156">
        <f t="shared" ref="B96:B111" si="90">B95+1</f>
        <v>2</v>
      </c>
      <c r="C96" s="180" t="s">
        <v>122</v>
      </c>
      <c r="D96" s="181"/>
      <c r="E96" s="210" t="s">
        <v>118</v>
      </c>
      <c r="G96" s="488">
        <f>'Cust Specific'!T193</f>
        <v>0</v>
      </c>
      <c r="H96" s="489">
        <f>'Cust Specific'!T196</f>
        <v>8.9999999999999998E-4</v>
      </c>
      <c r="I96" s="471"/>
      <c r="J96" s="471"/>
      <c r="K96" s="472"/>
      <c r="L96" s="471"/>
      <c r="M96" s="471"/>
      <c r="N96" s="471"/>
      <c r="O96" s="472"/>
      <c r="P96" s="471"/>
      <c r="Q96" s="471"/>
      <c r="R96" s="472"/>
      <c r="S96" s="489">
        <f>'Cust Specific'!T194</f>
        <v>0</v>
      </c>
      <c r="T96" s="494">
        <f>'Cust Specific'!T195</f>
        <v>0</v>
      </c>
      <c r="U96" s="491"/>
      <c r="V96" s="492"/>
      <c r="X96" s="183">
        <f>'Q (t)'!G96</f>
        <v>365</v>
      </c>
      <c r="Y96" s="184">
        <f>'Q (t)'!H96</f>
        <v>24905.050000000003</v>
      </c>
      <c r="Z96" s="178">
        <f>'Q (t)'!I96</f>
        <v>0</v>
      </c>
      <c r="AA96" s="178">
        <f>'Q (t)'!J96</f>
        <v>0</v>
      </c>
      <c r="AB96" s="179">
        <f>'Q (t)'!K96</f>
        <v>0</v>
      </c>
      <c r="AC96" s="178">
        <f>'Q (t)'!L96</f>
        <v>0</v>
      </c>
      <c r="AD96" s="178">
        <f>'Q (t)'!M96</f>
        <v>0</v>
      </c>
      <c r="AE96" s="178">
        <f>'Q (t)'!N96</f>
        <v>0</v>
      </c>
      <c r="AF96" s="179">
        <f>'Q (t)'!O96</f>
        <v>0</v>
      </c>
      <c r="AG96" s="178">
        <f>'Q (t)'!P96</f>
        <v>0</v>
      </c>
      <c r="AH96" s="178">
        <f>'Q (t)'!Q96</f>
        <v>0</v>
      </c>
      <c r="AI96" s="179">
        <f>'Q (t)'!R96</f>
        <v>0</v>
      </c>
      <c r="AJ96" s="184">
        <f>'Q (t)'!S96</f>
        <v>2062195.2500000002</v>
      </c>
      <c r="AK96" s="178">
        <f>'Q (t)'!T96</f>
        <v>2062195.2500000002</v>
      </c>
      <c r="AL96" s="184">
        <f>'Q (t)'!U96</f>
        <v>0</v>
      </c>
      <c r="AM96" s="179">
        <f>'Q (t)'!V96</f>
        <v>0</v>
      </c>
      <c r="AO96" s="183">
        <f t="shared" si="51"/>
        <v>0</v>
      </c>
      <c r="AP96" s="184">
        <f t="shared" si="89"/>
        <v>22.414545</v>
      </c>
      <c r="AQ96" s="178">
        <f t="shared" si="89"/>
        <v>0</v>
      </c>
      <c r="AR96" s="178">
        <f t="shared" si="89"/>
        <v>0</v>
      </c>
      <c r="AS96" s="179">
        <f t="shared" si="89"/>
        <v>0</v>
      </c>
      <c r="AT96" s="178">
        <f t="shared" si="89"/>
        <v>0</v>
      </c>
      <c r="AU96" s="178">
        <f t="shared" si="89"/>
        <v>0</v>
      </c>
      <c r="AV96" s="178">
        <f t="shared" si="89"/>
        <v>0</v>
      </c>
      <c r="AW96" s="179">
        <f t="shared" si="89"/>
        <v>0</v>
      </c>
      <c r="AX96" s="178">
        <f t="shared" si="42"/>
        <v>0</v>
      </c>
      <c r="AY96" s="178">
        <f t="shared" si="42"/>
        <v>0</v>
      </c>
      <c r="AZ96" s="179">
        <f t="shared" si="42"/>
        <v>0</v>
      </c>
      <c r="BA96" s="184">
        <f t="shared" si="41"/>
        <v>0</v>
      </c>
      <c r="BB96" s="178">
        <f t="shared" si="41"/>
        <v>0</v>
      </c>
      <c r="BC96" s="184">
        <f t="shared" si="41"/>
        <v>0</v>
      </c>
      <c r="BD96" s="178">
        <f t="shared" si="41"/>
        <v>0</v>
      </c>
      <c r="BE96" s="251">
        <f>X96/$BE$7</f>
        <v>1</v>
      </c>
      <c r="BF96" s="252">
        <f t="shared" si="54"/>
        <v>24905.050000000003</v>
      </c>
      <c r="BH96" s="262">
        <f t="shared" si="84"/>
        <v>0</v>
      </c>
      <c r="BI96" s="262">
        <f t="shared" si="85"/>
        <v>22.414545</v>
      </c>
      <c r="BJ96" s="262">
        <f t="shared" si="86"/>
        <v>0</v>
      </c>
      <c r="BK96" s="263">
        <f t="shared" si="87"/>
        <v>0</v>
      </c>
      <c r="BL96" s="269">
        <f t="shared" si="88"/>
        <v>0</v>
      </c>
      <c r="BM96" s="264">
        <f>SUM(BH96:BL96)</f>
        <v>22.414545</v>
      </c>
      <c r="BO96" s="732">
        <f t="shared" si="56"/>
        <v>0.9</v>
      </c>
    </row>
    <row r="97" spans="2:67" ht="15" customHeight="1" x14ac:dyDescent="0.25">
      <c r="B97" s="156">
        <f t="shared" si="90"/>
        <v>3</v>
      </c>
      <c r="C97" s="180" t="s">
        <v>123</v>
      </c>
      <c r="D97" s="181"/>
      <c r="E97" s="210" t="s">
        <v>118</v>
      </c>
      <c r="G97" s="488">
        <f>'Cust Specific'!T200</f>
        <v>0</v>
      </c>
      <c r="H97" s="489">
        <f>'Cust Specific'!T203</f>
        <v>8.9999999999999998E-4</v>
      </c>
      <c r="I97" s="471"/>
      <c r="J97" s="471"/>
      <c r="K97" s="472"/>
      <c r="L97" s="471"/>
      <c r="M97" s="471"/>
      <c r="N97" s="471"/>
      <c r="O97" s="472"/>
      <c r="P97" s="471"/>
      <c r="Q97" s="471"/>
      <c r="R97" s="472"/>
      <c r="S97" s="489">
        <f>'Cust Specific'!T201</f>
        <v>0</v>
      </c>
      <c r="T97" s="494">
        <f>'Cust Specific'!T202</f>
        <v>0</v>
      </c>
      <c r="U97" s="491"/>
      <c r="V97" s="492"/>
      <c r="X97" s="183">
        <f>'Q (t)'!G97</f>
        <v>365</v>
      </c>
      <c r="Y97" s="184">
        <f>'Q (t)'!H97</f>
        <v>8861.0153499999997</v>
      </c>
      <c r="Z97" s="178">
        <f>'Q (t)'!I97</f>
        <v>0</v>
      </c>
      <c r="AA97" s="178">
        <f>'Q (t)'!J97</f>
        <v>0</v>
      </c>
      <c r="AB97" s="179">
        <f>'Q (t)'!K97</f>
        <v>0</v>
      </c>
      <c r="AC97" s="178">
        <f>'Q (t)'!L97</f>
        <v>0</v>
      </c>
      <c r="AD97" s="178">
        <f>'Q (t)'!M97</f>
        <v>0</v>
      </c>
      <c r="AE97" s="178">
        <f>'Q (t)'!N97</f>
        <v>0</v>
      </c>
      <c r="AF97" s="179">
        <f>'Q (t)'!O97</f>
        <v>0</v>
      </c>
      <c r="AG97" s="178">
        <f>'Q (t)'!P97</f>
        <v>0</v>
      </c>
      <c r="AH97" s="178">
        <f>'Q (t)'!Q97</f>
        <v>0</v>
      </c>
      <c r="AI97" s="179">
        <f>'Q (t)'!R97</f>
        <v>0</v>
      </c>
      <c r="AJ97" s="184">
        <f>'Q (t)'!S97</f>
        <v>1002255.69</v>
      </c>
      <c r="AK97" s="178">
        <f>'Q (t)'!T97</f>
        <v>1825000</v>
      </c>
      <c r="AL97" s="184">
        <f>'Q (t)'!U97</f>
        <v>0</v>
      </c>
      <c r="AM97" s="179">
        <f>'Q (t)'!V97</f>
        <v>0</v>
      </c>
      <c r="AO97" s="183">
        <f t="shared" si="51"/>
        <v>0</v>
      </c>
      <c r="AP97" s="184">
        <f t="shared" si="89"/>
        <v>7.9749138149999999</v>
      </c>
      <c r="AQ97" s="178">
        <f t="shared" si="89"/>
        <v>0</v>
      </c>
      <c r="AR97" s="178">
        <f t="shared" si="89"/>
        <v>0</v>
      </c>
      <c r="AS97" s="179">
        <f t="shared" si="89"/>
        <v>0</v>
      </c>
      <c r="AT97" s="178">
        <f t="shared" si="89"/>
        <v>0</v>
      </c>
      <c r="AU97" s="178">
        <f t="shared" si="89"/>
        <v>0</v>
      </c>
      <c r="AV97" s="178">
        <f t="shared" si="89"/>
        <v>0</v>
      </c>
      <c r="AW97" s="179">
        <f t="shared" si="89"/>
        <v>0</v>
      </c>
      <c r="AX97" s="178">
        <f t="shared" si="42"/>
        <v>0</v>
      </c>
      <c r="AY97" s="178">
        <f t="shared" si="42"/>
        <v>0</v>
      </c>
      <c r="AZ97" s="179">
        <f t="shared" si="42"/>
        <v>0</v>
      </c>
      <c r="BA97" s="184">
        <f t="shared" si="41"/>
        <v>0</v>
      </c>
      <c r="BB97" s="178">
        <f t="shared" si="41"/>
        <v>0</v>
      </c>
      <c r="BC97" s="184">
        <f t="shared" si="41"/>
        <v>0</v>
      </c>
      <c r="BD97" s="178">
        <f t="shared" si="41"/>
        <v>0</v>
      </c>
      <c r="BE97" s="251">
        <f>X97/$BE$7</f>
        <v>1</v>
      </c>
      <c r="BF97" s="252">
        <f t="shared" si="54"/>
        <v>8861.0153499999997</v>
      </c>
      <c r="BH97" s="262">
        <f t="shared" si="84"/>
        <v>0</v>
      </c>
      <c r="BI97" s="262">
        <f t="shared" si="85"/>
        <v>7.9749138149999999</v>
      </c>
      <c r="BJ97" s="262">
        <f t="shared" si="86"/>
        <v>0</v>
      </c>
      <c r="BK97" s="263">
        <f t="shared" si="87"/>
        <v>0</v>
      </c>
      <c r="BL97" s="269">
        <f t="shared" si="88"/>
        <v>0</v>
      </c>
      <c r="BM97" s="264">
        <f>SUM(BH97:BL97)</f>
        <v>7.9749138149999999</v>
      </c>
      <c r="BO97" s="732">
        <f t="shared" si="56"/>
        <v>0.9</v>
      </c>
    </row>
    <row r="98" spans="2:67" ht="15" customHeight="1" x14ac:dyDescent="0.25">
      <c r="B98" s="156">
        <f t="shared" si="90"/>
        <v>4</v>
      </c>
      <c r="C98" s="180" t="s">
        <v>119</v>
      </c>
      <c r="D98" s="181"/>
      <c r="E98" s="210" t="s">
        <v>118</v>
      </c>
      <c r="G98" s="488">
        <f>'Cust Specific'!T207</f>
        <v>0</v>
      </c>
      <c r="H98" s="489">
        <f>'Cust Specific'!T210</f>
        <v>8.9999999999999998E-4</v>
      </c>
      <c r="I98" s="471"/>
      <c r="J98" s="471"/>
      <c r="K98" s="472"/>
      <c r="L98" s="471"/>
      <c r="M98" s="471"/>
      <c r="N98" s="471"/>
      <c r="O98" s="472"/>
      <c r="P98" s="471"/>
      <c r="Q98" s="471"/>
      <c r="R98" s="472"/>
      <c r="S98" s="489">
        <f>'Cust Specific'!T208</f>
        <v>0</v>
      </c>
      <c r="T98" s="494">
        <f>'Cust Specific'!T209</f>
        <v>0</v>
      </c>
      <c r="U98" s="491"/>
      <c r="V98" s="492"/>
      <c r="X98" s="183">
        <f>'Q (t)'!G98</f>
        <v>365</v>
      </c>
      <c r="Y98" s="184">
        <f>'Q (t)'!H98</f>
        <v>23878.657950000001</v>
      </c>
      <c r="Z98" s="178">
        <f>'Q (t)'!I98</f>
        <v>0</v>
      </c>
      <c r="AA98" s="178">
        <f>'Q (t)'!J98</f>
        <v>0</v>
      </c>
      <c r="AB98" s="179">
        <f>'Q (t)'!K98</f>
        <v>0</v>
      </c>
      <c r="AC98" s="178">
        <f>'Q (t)'!L98</f>
        <v>0</v>
      </c>
      <c r="AD98" s="178">
        <f>'Q (t)'!M98</f>
        <v>0</v>
      </c>
      <c r="AE98" s="178">
        <f>'Q (t)'!N98</f>
        <v>0</v>
      </c>
      <c r="AF98" s="179">
        <f>'Q (t)'!O98</f>
        <v>0</v>
      </c>
      <c r="AG98" s="178">
        <f>'Q (t)'!P98</f>
        <v>0</v>
      </c>
      <c r="AH98" s="178">
        <f>'Q (t)'!Q98</f>
        <v>0</v>
      </c>
      <c r="AI98" s="179">
        <f>'Q (t)'!R98</f>
        <v>0</v>
      </c>
      <c r="AJ98" s="184">
        <f>'Q (t)'!S98</f>
        <v>2490079.2749999999</v>
      </c>
      <c r="AK98" s="178">
        <f>'Q (t)'!T98</f>
        <v>2500878.5299999998</v>
      </c>
      <c r="AL98" s="184">
        <f>'Q (t)'!U98</f>
        <v>0</v>
      </c>
      <c r="AM98" s="179">
        <f>'Q (t)'!V98</f>
        <v>0</v>
      </c>
      <c r="AO98" s="183">
        <f t="shared" si="51"/>
        <v>0</v>
      </c>
      <c r="AP98" s="184">
        <f t="shared" si="89"/>
        <v>21.490792155000001</v>
      </c>
      <c r="AQ98" s="178">
        <f t="shared" si="89"/>
        <v>0</v>
      </c>
      <c r="AR98" s="178">
        <f t="shared" si="89"/>
        <v>0</v>
      </c>
      <c r="AS98" s="179">
        <f t="shared" si="89"/>
        <v>0</v>
      </c>
      <c r="AT98" s="178">
        <f t="shared" si="89"/>
        <v>0</v>
      </c>
      <c r="AU98" s="178">
        <f t="shared" si="89"/>
        <v>0</v>
      </c>
      <c r="AV98" s="178">
        <f t="shared" si="89"/>
        <v>0</v>
      </c>
      <c r="AW98" s="179">
        <f t="shared" si="89"/>
        <v>0</v>
      </c>
      <c r="AX98" s="178">
        <f t="shared" si="42"/>
        <v>0</v>
      </c>
      <c r="AY98" s="178">
        <f t="shared" si="42"/>
        <v>0</v>
      </c>
      <c r="AZ98" s="179">
        <f t="shared" si="42"/>
        <v>0</v>
      </c>
      <c r="BA98" s="184">
        <f t="shared" si="41"/>
        <v>0</v>
      </c>
      <c r="BB98" s="178">
        <f t="shared" si="41"/>
        <v>0</v>
      </c>
      <c r="BC98" s="184">
        <f t="shared" si="41"/>
        <v>0</v>
      </c>
      <c r="BD98" s="178">
        <f t="shared" si="41"/>
        <v>0</v>
      </c>
      <c r="BE98" s="251">
        <f t="shared" si="57"/>
        <v>1</v>
      </c>
      <c r="BF98" s="252">
        <f t="shared" si="54"/>
        <v>23878.657950000001</v>
      </c>
      <c r="BH98" s="262">
        <f t="shared" si="84"/>
        <v>0</v>
      </c>
      <c r="BI98" s="262">
        <f t="shared" si="85"/>
        <v>21.490792155000001</v>
      </c>
      <c r="BJ98" s="262">
        <f t="shared" si="86"/>
        <v>0</v>
      </c>
      <c r="BK98" s="263">
        <f t="shared" si="87"/>
        <v>0</v>
      </c>
      <c r="BL98" s="269">
        <f t="shared" si="88"/>
        <v>0</v>
      </c>
      <c r="BM98" s="264">
        <f t="shared" si="55"/>
        <v>21.490792155000001</v>
      </c>
      <c r="BO98" s="732">
        <f t="shared" si="56"/>
        <v>0.90000000000000013</v>
      </c>
    </row>
    <row r="99" spans="2:67" ht="15" customHeight="1" x14ac:dyDescent="0.25">
      <c r="B99" s="156">
        <f t="shared" si="90"/>
        <v>5</v>
      </c>
      <c r="C99" s="180" t="s">
        <v>120</v>
      </c>
      <c r="D99" s="181"/>
      <c r="E99" s="210" t="s">
        <v>118</v>
      </c>
      <c r="G99" s="488">
        <f>'Cust Specific'!T214</f>
        <v>0</v>
      </c>
      <c r="H99" s="489">
        <f>'Cust Specific'!T217</f>
        <v>8.9999999999999998E-4</v>
      </c>
      <c r="I99" s="471"/>
      <c r="J99" s="471"/>
      <c r="K99" s="472"/>
      <c r="L99" s="471"/>
      <c r="M99" s="471"/>
      <c r="N99" s="471"/>
      <c r="O99" s="472"/>
      <c r="P99" s="471"/>
      <c r="Q99" s="471"/>
      <c r="R99" s="472"/>
      <c r="S99" s="489">
        <f>'Cust Specific'!T215</f>
        <v>0</v>
      </c>
      <c r="T99" s="494">
        <f>'Cust Specific'!T216</f>
        <v>0</v>
      </c>
      <c r="U99" s="491"/>
      <c r="V99" s="492"/>
      <c r="X99" s="183">
        <f>'Q (t)'!G99</f>
        <v>365</v>
      </c>
      <c r="Y99" s="184">
        <f>'Q (t)'!H99</f>
        <v>2289.5800020000001</v>
      </c>
      <c r="Z99" s="178">
        <f>'Q (t)'!I99</f>
        <v>0</v>
      </c>
      <c r="AA99" s="178">
        <f>'Q (t)'!J99</f>
        <v>0</v>
      </c>
      <c r="AB99" s="179">
        <f>'Q (t)'!K99</f>
        <v>0</v>
      </c>
      <c r="AC99" s="178">
        <f>'Q (t)'!L99</f>
        <v>0</v>
      </c>
      <c r="AD99" s="178">
        <f>'Q (t)'!M99</f>
        <v>0</v>
      </c>
      <c r="AE99" s="178">
        <f>'Q (t)'!N99</f>
        <v>0</v>
      </c>
      <c r="AF99" s="179">
        <f>'Q (t)'!O99</f>
        <v>0</v>
      </c>
      <c r="AG99" s="178">
        <f>'Q (t)'!P99</f>
        <v>0</v>
      </c>
      <c r="AH99" s="178">
        <f>'Q (t)'!Q99</f>
        <v>0</v>
      </c>
      <c r="AI99" s="179">
        <f>'Q (t)'!R99</f>
        <v>0</v>
      </c>
      <c r="AJ99" s="184">
        <f>'Q (t)'!S99</f>
        <v>981071.09</v>
      </c>
      <c r="AK99" s="178">
        <f>'Q (t)'!T99</f>
        <v>1919124.375</v>
      </c>
      <c r="AL99" s="184">
        <f>'Q (t)'!U99</f>
        <v>0</v>
      </c>
      <c r="AM99" s="179">
        <f>'Q (t)'!V99</f>
        <v>0</v>
      </c>
      <c r="AO99" s="183">
        <f t="shared" si="51"/>
        <v>0</v>
      </c>
      <c r="AP99" s="184">
        <f t="shared" si="89"/>
        <v>2.0606220018000001</v>
      </c>
      <c r="AQ99" s="178">
        <f t="shared" si="89"/>
        <v>0</v>
      </c>
      <c r="AR99" s="178">
        <f t="shared" si="89"/>
        <v>0</v>
      </c>
      <c r="AS99" s="179">
        <f t="shared" si="89"/>
        <v>0</v>
      </c>
      <c r="AT99" s="178">
        <f t="shared" si="89"/>
        <v>0</v>
      </c>
      <c r="AU99" s="178">
        <f t="shared" si="89"/>
        <v>0</v>
      </c>
      <c r="AV99" s="178">
        <f t="shared" si="89"/>
        <v>0</v>
      </c>
      <c r="AW99" s="179">
        <f t="shared" si="89"/>
        <v>0</v>
      </c>
      <c r="AX99" s="178">
        <f t="shared" si="42"/>
        <v>0</v>
      </c>
      <c r="AY99" s="178">
        <f t="shared" si="42"/>
        <v>0</v>
      </c>
      <c r="AZ99" s="179">
        <f t="shared" si="42"/>
        <v>0</v>
      </c>
      <c r="BA99" s="184">
        <f t="shared" si="41"/>
        <v>0</v>
      </c>
      <c r="BB99" s="178">
        <f t="shared" si="41"/>
        <v>0</v>
      </c>
      <c r="BC99" s="184">
        <f t="shared" si="41"/>
        <v>0</v>
      </c>
      <c r="BD99" s="178">
        <f t="shared" si="41"/>
        <v>0</v>
      </c>
      <c r="BE99" s="251">
        <f t="shared" si="57"/>
        <v>1</v>
      </c>
      <c r="BF99" s="252">
        <f t="shared" si="54"/>
        <v>2289.5800020000001</v>
      </c>
      <c r="BH99" s="262">
        <f t="shared" si="84"/>
        <v>0</v>
      </c>
      <c r="BI99" s="262">
        <f t="shared" si="85"/>
        <v>2.0606220018000001</v>
      </c>
      <c r="BJ99" s="262">
        <f t="shared" si="86"/>
        <v>0</v>
      </c>
      <c r="BK99" s="263">
        <f t="shared" si="87"/>
        <v>0</v>
      </c>
      <c r="BL99" s="269">
        <f t="shared" si="88"/>
        <v>0</v>
      </c>
      <c r="BM99" s="264">
        <f t="shared" si="55"/>
        <v>2.0606220018000001</v>
      </c>
      <c r="BO99" s="732">
        <f t="shared" si="56"/>
        <v>0.89999999999999991</v>
      </c>
    </row>
    <row r="100" spans="2:67" ht="15" customHeight="1" x14ac:dyDescent="0.25">
      <c r="B100" s="156">
        <f t="shared" si="90"/>
        <v>6</v>
      </c>
      <c r="C100" s="180" t="s">
        <v>121</v>
      </c>
      <c r="D100" s="181"/>
      <c r="E100" s="210" t="s">
        <v>118</v>
      </c>
      <c r="G100" s="488">
        <f>'Cust Specific'!T221</f>
        <v>0</v>
      </c>
      <c r="H100" s="489">
        <f>'Cust Specific'!T224</f>
        <v>8.9999999999999998E-4</v>
      </c>
      <c r="I100" s="471"/>
      <c r="J100" s="471"/>
      <c r="K100" s="472"/>
      <c r="L100" s="471"/>
      <c r="M100" s="471"/>
      <c r="N100" s="471"/>
      <c r="O100" s="472"/>
      <c r="P100" s="471"/>
      <c r="Q100" s="471"/>
      <c r="R100" s="472"/>
      <c r="S100" s="489">
        <f>'Cust Specific'!T222</f>
        <v>0</v>
      </c>
      <c r="T100" s="494">
        <f>'Cust Specific'!T223</f>
        <v>0</v>
      </c>
      <c r="U100" s="491"/>
      <c r="V100" s="492"/>
      <c r="X100" s="183">
        <f>'Q (t)'!G100</f>
        <v>365</v>
      </c>
      <c r="Y100" s="184">
        <f>'Q (t)'!H100</f>
        <v>24772.561650000003</v>
      </c>
      <c r="Z100" s="178">
        <f>'Q (t)'!I100</f>
        <v>0</v>
      </c>
      <c r="AA100" s="178">
        <f>'Q (t)'!J100</f>
        <v>0</v>
      </c>
      <c r="AB100" s="179">
        <f>'Q (t)'!K100</f>
        <v>0</v>
      </c>
      <c r="AC100" s="178">
        <f>'Q (t)'!L100</f>
        <v>0</v>
      </c>
      <c r="AD100" s="178">
        <f>'Q (t)'!M100</f>
        <v>0</v>
      </c>
      <c r="AE100" s="178">
        <f>'Q (t)'!N100</f>
        <v>0</v>
      </c>
      <c r="AF100" s="179">
        <f>'Q (t)'!O100</f>
        <v>0</v>
      </c>
      <c r="AG100" s="178">
        <f>'Q (t)'!P100</f>
        <v>0</v>
      </c>
      <c r="AH100" s="178">
        <f>'Q (t)'!Q100</f>
        <v>0</v>
      </c>
      <c r="AI100" s="179">
        <f>'Q (t)'!R100</f>
        <v>0</v>
      </c>
      <c r="AJ100" s="184">
        <f>'Q (t)'!S100</f>
        <v>1781500.395</v>
      </c>
      <c r="AK100" s="178">
        <f>'Q (t)'!T100</f>
        <v>1825000</v>
      </c>
      <c r="AL100" s="184">
        <f>'Q (t)'!U100</f>
        <v>0</v>
      </c>
      <c r="AM100" s="179">
        <f>'Q (t)'!V100</f>
        <v>0</v>
      </c>
      <c r="AO100" s="183">
        <f t="shared" si="51"/>
        <v>0</v>
      </c>
      <c r="AP100" s="184">
        <f t="shared" si="89"/>
        <v>22.295305485000004</v>
      </c>
      <c r="AQ100" s="178">
        <f t="shared" si="89"/>
        <v>0</v>
      </c>
      <c r="AR100" s="178">
        <f t="shared" si="89"/>
        <v>0</v>
      </c>
      <c r="AS100" s="179">
        <f t="shared" si="89"/>
        <v>0</v>
      </c>
      <c r="AT100" s="178">
        <f t="shared" si="89"/>
        <v>0</v>
      </c>
      <c r="AU100" s="178">
        <f t="shared" si="89"/>
        <v>0</v>
      </c>
      <c r="AV100" s="178">
        <f t="shared" si="89"/>
        <v>0</v>
      </c>
      <c r="AW100" s="179">
        <f t="shared" si="89"/>
        <v>0</v>
      </c>
      <c r="AX100" s="178">
        <f t="shared" si="42"/>
        <v>0</v>
      </c>
      <c r="AY100" s="178">
        <f t="shared" si="42"/>
        <v>0</v>
      </c>
      <c r="AZ100" s="179">
        <f t="shared" si="42"/>
        <v>0</v>
      </c>
      <c r="BA100" s="184">
        <f t="shared" si="41"/>
        <v>0</v>
      </c>
      <c r="BB100" s="178">
        <f t="shared" si="41"/>
        <v>0</v>
      </c>
      <c r="BC100" s="184">
        <f t="shared" si="41"/>
        <v>0</v>
      </c>
      <c r="BD100" s="178">
        <f t="shared" si="41"/>
        <v>0</v>
      </c>
      <c r="BE100" s="251">
        <f t="shared" si="57"/>
        <v>1</v>
      </c>
      <c r="BF100" s="252">
        <f t="shared" si="54"/>
        <v>24772.561650000003</v>
      </c>
      <c r="BH100" s="262">
        <f t="shared" si="84"/>
        <v>0</v>
      </c>
      <c r="BI100" s="262">
        <f t="shared" si="85"/>
        <v>22.295305485000004</v>
      </c>
      <c r="BJ100" s="262">
        <f t="shared" si="86"/>
        <v>0</v>
      </c>
      <c r="BK100" s="263">
        <f t="shared" si="87"/>
        <v>0</v>
      </c>
      <c r="BL100" s="269">
        <f t="shared" si="88"/>
        <v>0</v>
      </c>
      <c r="BM100" s="264">
        <f t="shared" si="55"/>
        <v>22.295305485000004</v>
      </c>
      <c r="BO100" s="732">
        <f t="shared" si="56"/>
        <v>0.9</v>
      </c>
    </row>
    <row r="101" spans="2:67" ht="15" customHeight="1" x14ac:dyDescent="0.25">
      <c r="B101" s="156"/>
      <c r="C101" s="126" t="s">
        <v>124</v>
      </c>
      <c r="D101" s="202"/>
      <c r="E101" s="202"/>
      <c r="G101" s="493"/>
      <c r="H101" s="490"/>
      <c r="I101" s="471"/>
      <c r="J101" s="471"/>
      <c r="K101" s="472"/>
      <c r="L101" s="471"/>
      <c r="M101" s="471"/>
      <c r="N101" s="471"/>
      <c r="O101" s="472"/>
      <c r="P101" s="471"/>
      <c r="Q101" s="471"/>
      <c r="R101" s="472"/>
      <c r="S101" s="490"/>
      <c r="T101" s="471"/>
      <c r="U101" s="490"/>
      <c r="V101" s="472"/>
      <c r="X101" s="183">
        <f>'Q (t)'!G101</f>
        <v>0</v>
      </c>
      <c r="Y101" s="184">
        <f>'Q (t)'!H101</f>
        <v>0</v>
      </c>
      <c r="Z101" s="178">
        <f>'Q (t)'!I101</f>
        <v>0</v>
      </c>
      <c r="AA101" s="178">
        <f>'Q (t)'!J101</f>
        <v>0</v>
      </c>
      <c r="AB101" s="179">
        <f>'Q (t)'!K101</f>
        <v>0</v>
      </c>
      <c r="AC101" s="178">
        <f>'Q (t)'!L101</f>
        <v>0</v>
      </c>
      <c r="AD101" s="178">
        <f>'Q (t)'!M101</f>
        <v>0</v>
      </c>
      <c r="AE101" s="178">
        <f>'Q (t)'!N101</f>
        <v>0</v>
      </c>
      <c r="AF101" s="179">
        <f>'Q (t)'!O101</f>
        <v>0</v>
      </c>
      <c r="AG101" s="178">
        <f>'Q (t)'!P101</f>
        <v>0</v>
      </c>
      <c r="AH101" s="178">
        <f>'Q (t)'!Q101</f>
        <v>0</v>
      </c>
      <c r="AI101" s="179">
        <f>'Q (t)'!R101</f>
        <v>0</v>
      </c>
      <c r="AJ101" s="184">
        <f>'Q (t)'!S101</f>
        <v>0</v>
      </c>
      <c r="AK101" s="178">
        <f>'Q (t)'!T101</f>
        <v>0</v>
      </c>
      <c r="AL101" s="184">
        <f>'Q (t)'!U101</f>
        <v>0</v>
      </c>
      <c r="AM101" s="179">
        <f>'Q (t)'!V101</f>
        <v>0</v>
      </c>
      <c r="AO101" s="183">
        <f t="shared" si="51"/>
        <v>0</v>
      </c>
      <c r="AP101" s="184">
        <f t="shared" si="89"/>
        <v>0</v>
      </c>
      <c r="AQ101" s="178">
        <f t="shared" si="89"/>
        <v>0</v>
      </c>
      <c r="AR101" s="178">
        <f t="shared" si="89"/>
        <v>0</v>
      </c>
      <c r="AS101" s="179">
        <f t="shared" si="89"/>
        <v>0</v>
      </c>
      <c r="AT101" s="178">
        <f t="shared" si="89"/>
        <v>0</v>
      </c>
      <c r="AU101" s="178">
        <f t="shared" si="89"/>
        <v>0</v>
      </c>
      <c r="AV101" s="178">
        <f t="shared" si="89"/>
        <v>0</v>
      </c>
      <c r="AW101" s="179">
        <f t="shared" si="89"/>
        <v>0</v>
      </c>
      <c r="AX101" s="178">
        <f t="shared" si="42"/>
        <v>0</v>
      </c>
      <c r="AY101" s="178">
        <f t="shared" si="42"/>
        <v>0</v>
      </c>
      <c r="AZ101" s="179">
        <f t="shared" si="42"/>
        <v>0</v>
      </c>
      <c r="BA101" s="184">
        <f t="shared" si="41"/>
        <v>0</v>
      </c>
      <c r="BB101" s="178">
        <f t="shared" si="41"/>
        <v>0</v>
      </c>
      <c r="BC101" s="184">
        <f t="shared" si="41"/>
        <v>0</v>
      </c>
      <c r="BD101" s="178">
        <f t="shared" si="41"/>
        <v>0</v>
      </c>
      <c r="BE101" s="251">
        <f t="shared" si="57"/>
        <v>0</v>
      </c>
      <c r="BF101" s="252">
        <f t="shared" si="54"/>
        <v>0</v>
      </c>
      <c r="BH101" s="259">
        <f>SUBTOTAL(9,BH102:BH111)</f>
        <v>0</v>
      </c>
      <c r="BI101" s="259">
        <f t="shared" ref="BI101:BL101" si="91">SUBTOTAL(9,BI102:BI111)</f>
        <v>363.43784790360002</v>
      </c>
      <c r="BJ101" s="259">
        <f t="shared" si="91"/>
        <v>0</v>
      </c>
      <c r="BK101" s="259">
        <f t="shared" si="91"/>
        <v>0</v>
      </c>
      <c r="BL101" s="259">
        <f t="shared" si="91"/>
        <v>0</v>
      </c>
      <c r="BM101" s="264">
        <f t="shared" si="55"/>
        <v>363.43784790360002</v>
      </c>
      <c r="BO101" s="732" t="str">
        <f t="shared" si="56"/>
        <v/>
      </c>
    </row>
    <row r="102" spans="2:67" ht="15" customHeight="1" x14ac:dyDescent="0.25">
      <c r="B102" s="156">
        <f>B100+1</f>
        <v>7</v>
      </c>
      <c r="C102" s="180" t="s">
        <v>125</v>
      </c>
      <c r="D102" s="181"/>
      <c r="E102" s="210" t="s">
        <v>126</v>
      </c>
      <c r="G102" s="488">
        <f>'Cust Specific'!T232</f>
        <v>0</v>
      </c>
      <c r="H102" s="489">
        <f>'Cust Specific'!T235</f>
        <v>8.9999999999999998E-4</v>
      </c>
      <c r="I102" s="471"/>
      <c r="J102" s="471"/>
      <c r="K102" s="472"/>
      <c r="L102" s="471"/>
      <c r="M102" s="471"/>
      <c r="N102" s="471"/>
      <c r="O102" s="472"/>
      <c r="P102" s="471"/>
      <c r="Q102" s="471"/>
      <c r="R102" s="472"/>
      <c r="S102" s="489">
        <f>'Cust Specific'!T233</f>
        <v>0</v>
      </c>
      <c r="T102" s="494">
        <f>'Cust Specific'!T234</f>
        <v>0</v>
      </c>
      <c r="U102" s="491"/>
      <c r="V102" s="492"/>
      <c r="X102" s="183">
        <f>'Q (t)'!G102</f>
        <v>365</v>
      </c>
      <c r="Y102" s="184">
        <f>'Q (t)'!H102</f>
        <v>74000</v>
      </c>
      <c r="Z102" s="178">
        <f>'Q (t)'!I102</f>
        <v>0</v>
      </c>
      <c r="AA102" s="178">
        <f>'Q (t)'!J102</f>
        <v>0</v>
      </c>
      <c r="AB102" s="179">
        <f>'Q (t)'!K102</f>
        <v>0</v>
      </c>
      <c r="AC102" s="178">
        <f>'Q (t)'!L102</f>
        <v>0</v>
      </c>
      <c r="AD102" s="178">
        <f>'Q (t)'!M102</f>
        <v>0</v>
      </c>
      <c r="AE102" s="178">
        <f>'Q (t)'!N102</f>
        <v>0</v>
      </c>
      <c r="AF102" s="179">
        <f>'Q (t)'!O102</f>
        <v>0</v>
      </c>
      <c r="AG102" s="178">
        <f>'Q (t)'!P102</f>
        <v>0</v>
      </c>
      <c r="AH102" s="178">
        <f>'Q (t)'!Q102</f>
        <v>0</v>
      </c>
      <c r="AI102" s="179">
        <f>'Q (t)'!R102</f>
        <v>0</v>
      </c>
      <c r="AJ102" s="184">
        <f>'Q (t)'!S102</f>
        <v>4078845.07</v>
      </c>
      <c r="AK102" s="178">
        <f>'Q (t)'!T102</f>
        <v>5133823.55</v>
      </c>
      <c r="AL102" s="184">
        <f>'Q (t)'!U102</f>
        <v>0</v>
      </c>
      <c r="AM102" s="179">
        <f>'Q (t)'!V102</f>
        <v>0</v>
      </c>
      <c r="AO102" s="183">
        <f t="shared" si="51"/>
        <v>0</v>
      </c>
      <c r="AP102" s="184">
        <f t="shared" si="89"/>
        <v>66.599999999999994</v>
      </c>
      <c r="AQ102" s="178">
        <f t="shared" si="89"/>
        <v>0</v>
      </c>
      <c r="AR102" s="178">
        <f t="shared" si="89"/>
        <v>0</v>
      </c>
      <c r="AS102" s="179">
        <f t="shared" si="89"/>
        <v>0</v>
      </c>
      <c r="AT102" s="178">
        <f t="shared" si="89"/>
        <v>0</v>
      </c>
      <c r="AU102" s="178">
        <f t="shared" si="89"/>
        <v>0</v>
      </c>
      <c r="AV102" s="178">
        <f t="shared" si="89"/>
        <v>0</v>
      </c>
      <c r="AW102" s="179">
        <f t="shared" si="89"/>
        <v>0</v>
      </c>
      <c r="AX102" s="178">
        <f t="shared" si="42"/>
        <v>0</v>
      </c>
      <c r="AY102" s="178">
        <f t="shared" si="42"/>
        <v>0</v>
      </c>
      <c r="AZ102" s="179">
        <f t="shared" si="42"/>
        <v>0</v>
      </c>
      <c r="BA102" s="184">
        <f t="shared" si="41"/>
        <v>0</v>
      </c>
      <c r="BB102" s="178">
        <f t="shared" si="41"/>
        <v>0</v>
      </c>
      <c r="BC102" s="184">
        <f t="shared" si="41"/>
        <v>0</v>
      </c>
      <c r="BD102" s="178">
        <f t="shared" si="41"/>
        <v>0</v>
      </c>
      <c r="BE102" s="251">
        <f t="shared" si="57"/>
        <v>1</v>
      </c>
      <c r="BF102" s="252">
        <f t="shared" si="54"/>
        <v>74000</v>
      </c>
      <c r="BH102" s="262">
        <f t="shared" ref="BH102:BH111" si="92">SUM(AO102)</f>
        <v>0</v>
      </c>
      <c r="BI102" s="262">
        <f t="shared" ref="BI102:BI111" si="93">SUM(AP102:AS102)</f>
        <v>66.599999999999994</v>
      </c>
      <c r="BJ102" s="262">
        <f t="shared" ref="BJ102:BJ111" si="94">SUM(AT102:AW102)</f>
        <v>0</v>
      </c>
      <c r="BK102" s="263">
        <f t="shared" ref="BK102:BK111" si="95">SUM(AX102:BB102)</f>
        <v>0</v>
      </c>
      <c r="BL102" s="269">
        <f t="shared" ref="BL102:BL111" si="96">SUM(BC102:BD102)</f>
        <v>0</v>
      </c>
      <c r="BM102" s="264">
        <f t="shared" si="55"/>
        <v>66.599999999999994</v>
      </c>
      <c r="BO102" s="732">
        <f t="shared" si="56"/>
        <v>0.9</v>
      </c>
    </row>
    <row r="103" spans="2:67" ht="15" customHeight="1" x14ac:dyDescent="0.25">
      <c r="B103" s="156">
        <f t="shared" si="90"/>
        <v>8</v>
      </c>
      <c r="C103" s="180" t="s">
        <v>127</v>
      </c>
      <c r="D103" s="181"/>
      <c r="E103" s="210" t="s">
        <v>126</v>
      </c>
      <c r="G103" s="488">
        <f>'Cust Specific'!T239</f>
        <v>0</v>
      </c>
      <c r="H103" s="489">
        <f>'Cust Specific'!T242</f>
        <v>8.9999999999999998E-4</v>
      </c>
      <c r="I103" s="471"/>
      <c r="J103" s="471"/>
      <c r="K103" s="472"/>
      <c r="L103" s="471"/>
      <c r="M103" s="471"/>
      <c r="N103" s="471"/>
      <c r="O103" s="472"/>
      <c r="P103" s="471"/>
      <c r="Q103" s="471"/>
      <c r="R103" s="472"/>
      <c r="S103" s="489">
        <f>'Cust Specific'!T240</f>
        <v>0</v>
      </c>
      <c r="T103" s="494">
        <f>'Cust Specific'!T241</f>
        <v>0</v>
      </c>
      <c r="U103" s="491"/>
      <c r="V103" s="492"/>
      <c r="X103" s="183">
        <f>'Q (t)'!G103</f>
        <v>365</v>
      </c>
      <c r="Y103" s="184">
        <f>'Q (t)'!H103</f>
        <v>174006.38800000001</v>
      </c>
      <c r="Z103" s="178">
        <f>'Q (t)'!I103</f>
        <v>0</v>
      </c>
      <c r="AA103" s="178">
        <f>'Q (t)'!J103</f>
        <v>0</v>
      </c>
      <c r="AB103" s="179">
        <f>'Q (t)'!K103</f>
        <v>0</v>
      </c>
      <c r="AC103" s="178">
        <f>'Q (t)'!L103</f>
        <v>0</v>
      </c>
      <c r="AD103" s="178">
        <f>'Q (t)'!M103</f>
        <v>0</v>
      </c>
      <c r="AE103" s="178">
        <f>'Q (t)'!N103</f>
        <v>0</v>
      </c>
      <c r="AF103" s="179">
        <f>'Q (t)'!O103</f>
        <v>0</v>
      </c>
      <c r="AG103" s="178">
        <f>'Q (t)'!P103</f>
        <v>0</v>
      </c>
      <c r="AH103" s="178">
        <f>'Q (t)'!Q103</f>
        <v>0</v>
      </c>
      <c r="AI103" s="179">
        <f>'Q (t)'!R103</f>
        <v>0</v>
      </c>
      <c r="AJ103" s="184">
        <f>'Q (t)'!S103</f>
        <v>9781182.7649999987</v>
      </c>
      <c r="AK103" s="178">
        <f>'Q (t)'!T103</f>
        <v>9817630.5700000003</v>
      </c>
      <c r="AL103" s="184">
        <f>'Q (t)'!U103</f>
        <v>0</v>
      </c>
      <c r="AM103" s="179">
        <f>'Q (t)'!V103</f>
        <v>0</v>
      </c>
      <c r="AO103" s="183">
        <f t="shared" si="51"/>
        <v>0</v>
      </c>
      <c r="AP103" s="184">
        <f t="shared" si="89"/>
        <v>156.60574919999999</v>
      </c>
      <c r="AQ103" s="178">
        <f t="shared" si="89"/>
        <v>0</v>
      </c>
      <c r="AR103" s="178">
        <f t="shared" si="89"/>
        <v>0</v>
      </c>
      <c r="AS103" s="179">
        <f t="shared" si="89"/>
        <v>0</v>
      </c>
      <c r="AT103" s="178">
        <f t="shared" si="89"/>
        <v>0</v>
      </c>
      <c r="AU103" s="178">
        <f t="shared" si="89"/>
        <v>0</v>
      </c>
      <c r="AV103" s="178">
        <f t="shared" si="89"/>
        <v>0</v>
      </c>
      <c r="AW103" s="179">
        <f t="shared" si="89"/>
        <v>0</v>
      </c>
      <c r="AX103" s="178">
        <f t="shared" si="42"/>
        <v>0</v>
      </c>
      <c r="AY103" s="178">
        <f t="shared" si="42"/>
        <v>0</v>
      </c>
      <c r="AZ103" s="179">
        <f t="shared" si="42"/>
        <v>0</v>
      </c>
      <c r="BA103" s="184">
        <f t="shared" si="41"/>
        <v>0</v>
      </c>
      <c r="BB103" s="178">
        <f t="shared" si="41"/>
        <v>0</v>
      </c>
      <c r="BC103" s="184">
        <f t="shared" si="41"/>
        <v>0</v>
      </c>
      <c r="BD103" s="178">
        <f t="shared" si="41"/>
        <v>0</v>
      </c>
      <c r="BE103" s="251">
        <f t="shared" si="57"/>
        <v>1</v>
      </c>
      <c r="BF103" s="252">
        <f t="shared" si="54"/>
        <v>174006.38800000001</v>
      </c>
      <c r="BH103" s="262">
        <f t="shared" si="92"/>
        <v>0</v>
      </c>
      <c r="BI103" s="262">
        <f t="shared" si="93"/>
        <v>156.60574919999999</v>
      </c>
      <c r="BJ103" s="262">
        <f t="shared" si="94"/>
        <v>0</v>
      </c>
      <c r="BK103" s="263">
        <f t="shared" si="95"/>
        <v>0</v>
      </c>
      <c r="BL103" s="269">
        <f t="shared" si="96"/>
        <v>0</v>
      </c>
      <c r="BM103" s="264">
        <f t="shared" si="55"/>
        <v>156.60574919999999</v>
      </c>
      <c r="BO103" s="732">
        <f t="shared" si="56"/>
        <v>0.89999999999999991</v>
      </c>
    </row>
    <row r="104" spans="2:67" ht="15" customHeight="1" x14ac:dyDescent="0.25">
      <c r="B104" s="156">
        <f t="shared" si="90"/>
        <v>9</v>
      </c>
      <c r="C104" s="180" t="s">
        <v>128</v>
      </c>
      <c r="D104" s="181"/>
      <c r="E104" s="210" t="s">
        <v>126</v>
      </c>
      <c r="G104" s="488">
        <f>'Cust Specific'!T246</f>
        <v>0</v>
      </c>
      <c r="H104" s="489">
        <f>'Cust Specific'!T249</f>
        <v>8.9999999999999998E-4</v>
      </c>
      <c r="I104" s="471"/>
      <c r="J104" s="471"/>
      <c r="K104" s="472"/>
      <c r="L104" s="471"/>
      <c r="M104" s="471"/>
      <c r="N104" s="471"/>
      <c r="O104" s="472"/>
      <c r="P104" s="471"/>
      <c r="Q104" s="471"/>
      <c r="R104" s="472"/>
      <c r="S104" s="489">
        <f>'Cust Specific'!T247</f>
        <v>0</v>
      </c>
      <c r="T104" s="494">
        <f>'Cust Specific'!T248</f>
        <v>0</v>
      </c>
      <c r="U104" s="491"/>
      <c r="V104" s="492"/>
      <c r="X104" s="183">
        <f>'Q (t)'!G104</f>
        <v>365</v>
      </c>
      <c r="Y104" s="184">
        <f>'Q (t)'!H104</f>
        <v>23846.443004000001</v>
      </c>
      <c r="Z104" s="178">
        <f>'Q (t)'!I104</f>
        <v>0</v>
      </c>
      <c r="AA104" s="178">
        <f>'Q (t)'!J104</f>
        <v>0</v>
      </c>
      <c r="AB104" s="179">
        <f>'Q (t)'!K104</f>
        <v>0</v>
      </c>
      <c r="AC104" s="178">
        <f>'Q (t)'!L104</f>
        <v>0</v>
      </c>
      <c r="AD104" s="178">
        <f>'Q (t)'!M104</f>
        <v>0</v>
      </c>
      <c r="AE104" s="178">
        <f>'Q (t)'!N104</f>
        <v>0</v>
      </c>
      <c r="AF104" s="179">
        <f>'Q (t)'!O104</f>
        <v>0</v>
      </c>
      <c r="AG104" s="178">
        <f>'Q (t)'!P104</f>
        <v>0</v>
      </c>
      <c r="AH104" s="178">
        <f>'Q (t)'!Q104</f>
        <v>0</v>
      </c>
      <c r="AI104" s="179">
        <f>'Q (t)'!R104</f>
        <v>0</v>
      </c>
      <c r="AJ104" s="184">
        <f>'Q (t)'!S104</f>
        <v>1524599.5249999999</v>
      </c>
      <c r="AK104" s="178">
        <f>'Q (t)'!T104</f>
        <v>1825000</v>
      </c>
      <c r="AL104" s="184">
        <f>'Q (t)'!U104</f>
        <v>0</v>
      </c>
      <c r="AM104" s="179">
        <f>'Q (t)'!V104</f>
        <v>0</v>
      </c>
      <c r="AO104" s="183">
        <f t="shared" si="51"/>
        <v>0</v>
      </c>
      <c r="AP104" s="184">
        <f t="shared" si="89"/>
        <v>21.4617987036</v>
      </c>
      <c r="AQ104" s="178">
        <f t="shared" si="89"/>
        <v>0</v>
      </c>
      <c r="AR104" s="178">
        <f t="shared" si="89"/>
        <v>0</v>
      </c>
      <c r="AS104" s="179">
        <f t="shared" si="89"/>
        <v>0</v>
      </c>
      <c r="AT104" s="178">
        <f t="shared" si="89"/>
        <v>0</v>
      </c>
      <c r="AU104" s="178">
        <f t="shared" si="89"/>
        <v>0</v>
      </c>
      <c r="AV104" s="178">
        <f t="shared" si="89"/>
        <v>0</v>
      </c>
      <c r="AW104" s="179">
        <f t="shared" si="89"/>
        <v>0</v>
      </c>
      <c r="AX104" s="178">
        <f t="shared" si="42"/>
        <v>0</v>
      </c>
      <c r="AY104" s="178">
        <f t="shared" si="42"/>
        <v>0</v>
      </c>
      <c r="AZ104" s="179">
        <f t="shared" si="42"/>
        <v>0</v>
      </c>
      <c r="BA104" s="184">
        <f t="shared" si="41"/>
        <v>0</v>
      </c>
      <c r="BB104" s="178">
        <f t="shared" si="41"/>
        <v>0</v>
      </c>
      <c r="BC104" s="184">
        <f t="shared" si="41"/>
        <v>0</v>
      </c>
      <c r="BD104" s="178">
        <f t="shared" si="41"/>
        <v>0</v>
      </c>
      <c r="BE104" s="251">
        <f t="shared" si="57"/>
        <v>1</v>
      </c>
      <c r="BF104" s="252">
        <f t="shared" si="54"/>
        <v>23846.443004000001</v>
      </c>
      <c r="BH104" s="262">
        <f t="shared" si="92"/>
        <v>0</v>
      </c>
      <c r="BI104" s="262">
        <f t="shared" si="93"/>
        <v>21.4617987036</v>
      </c>
      <c r="BJ104" s="262">
        <f t="shared" si="94"/>
        <v>0</v>
      </c>
      <c r="BK104" s="263">
        <f t="shared" si="95"/>
        <v>0</v>
      </c>
      <c r="BL104" s="269">
        <f t="shared" si="96"/>
        <v>0</v>
      </c>
      <c r="BM104" s="264">
        <f t="shared" si="55"/>
        <v>21.4617987036</v>
      </c>
      <c r="BO104" s="732">
        <f t="shared" si="56"/>
        <v>0.9</v>
      </c>
    </row>
    <row r="105" spans="2:67" ht="15" customHeight="1" x14ac:dyDescent="0.25">
      <c r="B105" s="156">
        <f t="shared" si="90"/>
        <v>10</v>
      </c>
      <c r="C105" s="180"/>
      <c r="D105" s="181" t="s">
        <v>129</v>
      </c>
      <c r="E105" s="210" t="s">
        <v>126</v>
      </c>
      <c r="G105" s="488">
        <f>'Cust Specific'!T253</f>
        <v>0</v>
      </c>
      <c r="H105" s="489">
        <f>'Cust Specific'!T256</f>
        <v>8.9999999999999998E-4</v>
      </c>
      <c r="I105" s="471"/>
      <c r="J105" s="471"/>
      <c r="K105" s="472"/>
      <c r="L105" s="471"/>
      <c r="M105" s="471"/>
      <c r="N105" s="471"/>
      <c r="O105" s="472"/>
      <c r="P105" s="471"/>
      <c r="Q105" s="471"/>
      <c r="R105" s="472"/>
      <c r="S105" s="489">
        <f>'Cust Specific'!T254</f>
        <v>0</v>
      </c>
      <c r="T105" s="494">
        <f>'Cust Specific'!T255</f>
        <v>0</v>
      </c>
      <c r="U105" s="491"/>
      <c r="V105" s="492"/>
      <c r="X105" s="183">
        <f>'Q (t)'!G105</f>
        <v>365</v>
      </c>
      <c r="Y105" s="184">
        <f>'Q (t)'!H105</f>
        <v>27300</v>
      </c>
      <c r="Z105" s="178">
        <f>'Q (t)'!I105</f>
        <v>0</v>
      </c>
      <c r="AA105" s="178">
        <f>'Q (t)'!J105</f>
        <v>0</v>
      </c>
      <c r="AB105" s="179">
        <f>'Q (t)'!K105</f>
        <v>0</v>
      </c>
      <c r="AC105" s="178">
        <f>'Q (t)'!L105</f>
        <v>0</v>
      </c>
      <c r="AD105" s="178">
        <f>'Q (t)'!M105</f>
        <v>0</v>
      </c>
      <c r="AE105" s="178">
        <f>'Q (t)'!N105</f>
        <v>0</v>
      </c>
      <c r="AF105" s="179">
        <f>'Q (t)'!O105</f>
        <v>0</v>
      </c>
      <c r="AG105" s="178">
        <f>'Q (t)'!P105</f>
        <v>0</v>
      </c>
      <c r="AH105" s="178">
        <f>'Q (t)'!Q105</f>
        <v>0</v>
      </c>
      <c r="AI105" s="179">
        <f>'Q (t)'!R105</f>
        <v>0</v>
      </c>
      <c r="AJ105" s="184">
        <f>'Q (t)'!S105</f>
        <v>3470830.26</v>
      </c>
      <c r="AK105" s="178">
        <f>'Q (t)'!T105</f>
        <v>3472358.15</v>
      </c>
      <c r="AL105" s="184">
        <f>'Q (t)'!U105</f>
        <v>0</v>
      </c>
      <c r="AM105" s="179">
        <f>'Q (t)'!V105</f>
        <v>0</v>
      </c>
      <c r="AO105" s="183">
        <f t="shared" si="51"/>
        <v>0</v>
      </c>
      <c r="AP105" s="184">
        <f t="shared" si="89"/>
        <v>24.57</v>
      </c>
      <c r="AQ105" s="178">
        <f t="shared" si="89"/>
        <v>0</v>
      </c>
      <c r="AR105" s="178">
        <f t="shared" si="89"/>
        <v>0</v>
      </c>
      <c r="AS105" s="179">
        <f t="shared" si="89"/>
        <v>0</v>
      </c>
      <c r="AT105" s="178">
        <f t="shared" si="89"/>
        <v>0</v>
      </c>
      <c r="AU105" s="178">
        <f t="shared" si="89"/>
        <v>0</v>
      </c>
      <c r="AV105" s="178">
        <f t="shared" si="89"/>
        <v>0</v>
      </c>
      <c r="AW105" s="179">
        <f t="shared" si="89"/>
        <v>0</v>
      </c>
      <c r="AX105" s="178">
        <f t="shared" si="42"/>
        <v>0</v>
      </c>
      <c r="AY105" s="178">
        <f t="shared" si="42"/>
        <v>0</v>
      </c>
      <c r="AZ105" s="179">
        <f t="shared" si="42"/>
        <v>0</v>
      </c>
      <c r="BA105" s="184">
        <f t="shared" si="41"/>
        <v>0</v>
      </c>
      <c r="BB105" s="178">
        <f t="shared" si="41"/>
        <v>0</v>
      </c>
      <c r="BC105" s="184">
        <f t="shared" si="41"/>
        <v>0</v>
      </c>
      <c r="BD105" s="178">
        <f t="shared" si="41"/>
        <v>0</v>
      </c>
      <c r="BE105" s="251">
        <f t="shared" ref="BE105:BE111" si="97">X105/$BE$7</f>
        <v>1</v>
      </c>
      <c r="BF105" s="252">
        <f t="shared" si="54"/>
        <v>27300</v>
      </c>
      <c r="BH105" s="262">
        <f t="shared" si="92"/>
        <v>0</v>
      </c>
      <c r="BI105" s="262">
        <f t="shared" si="93"/>
        <v>24.57</v>
      </c>
      <c r="BJ105" s="262">
        <f t="shared" si="94"/>
        <v>0</v>
      </c>
      <c r="BK105" s="263">
        <f t="shared" si="95"/>
        <v>0</v>
      </c>
      <c r="BL105" s="269">
        <f t="shared" si="96"/>
        <v>0</v>
      </c>
      <c r="BM105" s="264">
        <f t="shared" si="55"/>
        <v>24.57</v>
      </c>
      <c r="BO105" s="732">
        <f t="shared" si="56"/>
        <v>0.9</v>
      </c>
    </row>
    <row r="106" spans="2:67" ht="15" customHeight="1" x14ac:dyDescent="0.25">
      <c r="B106" s="156">
        <f t="shared" si="90"/>
        <v>11</v>
      </c>
      <c r="C106" s="180" t="s">
        <v>582</v>
      </c>
      <c r="D106" s="181"/>
      <c r="E106" s="210" t="s">
        <v>126</v>
      </c>
      <c r="G106" s="488">
        <f>'Cust Specific'!T260</f>
        <v>0</v>
      </c>
      <c r="H106" s="489">
        <f>'Cust Specific'!T263</f>
        <v>8.9999999999999998E-4</v>
      </c>
      <c r="I106" s="471"/>
      <c r="J106" s="471"/>
      <c r="K106" s="472"/>
      <c r="L106" s="471"/>
      <c r="M106" s="471"/>
      <c r="N106" s="471"/>
      <c r="O106" s="472"/>
      <c r="P106" s="471"/>
      <c r="Q106" s="471"/>
      <c r="R106" s="472"/>
      <c r="S106" s="489">
        <f>'Cust Specific'!T261</f>
        <v>0</v>
      </c>
      <c r="T106" s="494">
        <f>'Cust Specific'!T262</f>
        <v>0</v>
      </c>
      <c r="U106" s="491"/>
      <c r="V106" s="492"/>
      <c r="X106" s="183">
        <f>'Q (t)'!G106</f>
        <v>365</v>
      </c>
      <c r="Y106" s="184">
        <f>'Q (t)'!H106</f>
        <v>10600</v>
      </c>
      <c r="Z106" s="178">
        <f>'Q (t)'!I106</f>
        <v>0</v>
      </c>
      <c r="AA106" s="178">
        <f>'Q (t)'!J106</f>
        <v>0</v>
      </c>
      <c r="AB106" s="179">
        <f>'Q (t)'!K106</f>
        <v>0</v>
      </c>
      <c r="AC106" s="178">
        <f>'Q (t)'!L106</f>
        <v>0</v>
      </c>
      <c r="AD106" s="178">
        <f>'Q (t)'!M106</f>
        <v>0</v>
      </c>
      <c r="AE106" s="178">
        <f>'Q (t)'!N106</f>
        <v>0</v>
      </c>
      <c r="AF106" s="179">
        <f>'Q (t)'!O106</f>
        <v>0</v>
      </c>
      <c r="AG106" s="178">
        <f>'Q (t)'!P106</f>
        <v>0</v>
      </c>
      <c r="AH106" s="178">
        <f>'Q (t)'!Q106</f>
        <v>0</v>
      </c>
      <c r="AI106" s="179">
        <f>'Q (t)'!R106</f>
        <v>0</v>
      </c>
      <c r="AJ106" s="184">
        <f>'Q (t)'!S106</f>
        <v>1145428.3999999999</v>
      </c>
      <c r="AK106" s="178">
        <f>'Q (t)'!T106</f>
        <v>1825000</v>
      </c>
      <c r="AL106" s="184">
        <f>'Q (t)'!U106</f>
        <v>0</v>
      </c>
      <c r="AM106" s="179">
        <f>'Q (t)'!V106</f>
        <v>0</v>
      </c>
      <c r="AO106" s="183">
        <f t="shared" si="51"/>
        <v>0</v>
      </c>
      <c r="AP106" s="184">
        <f t="shared" si="89"/>
        <v>9.5399999999999991</v>
      </c>
      <c r="AQ106" s="178">
        <f t="shared" si="89"/>
        <v>0</v>
      </c>
      <c r="AR106" s="178">
        <f t="shared" si="89"/>
        <v>0</v>
      </c>
      <c r="AS106" s="179">
        <f t="shared" si="89"/>
        <v>0</v>
      </c>
      <c r="AT106" s="178">
        <f t="shared" si="89"/>
        <v>0</v>
      </c>
      <c r="AU106" s="178">
        <f t="shared" si="89"/>
        <v>0</v>
      </c>
      <c r="AV106" s="178">
        <f t="shared" si="89"/>
        <v>0</v>
      </c>
      <c r="AW106" s="179">
        <f t="shared" si="89"/>
        <v>0</v>
      </c>
      <c r="AX106" s="178">
        <f t="shared" si="42"/>
        <v>0</v>
      </c>
      <c r="AY106" s="178">
        <f t="shared" si="42"/>
        <v>0</v>
      </c>
      <c r="AZ106" s="179">
        <f t="shared" si="42"/>
        <v>0</v>
      </c>
      <c r="BA106" s="184">
        <f t="shared" si="41"/>
        <v>0</v>
      </c>
      <c r="BB106" s="178">
        <f t="shared" si="41"/>
        <v>0</v>
      </c>
      <c r="BC106" s="184">
        <f t="shared" si="41"/>
        <v>0</v>
      </c>
      <c r="BD106" s="178">
        <f t="shared" si="41"/>
        <v>0</v>
      </c>
      <c r="BE106" s="251">
        <f t="shared" si="97"/>
        <v>1</v>
      </c>
      <c r="BF106" s="252">
        <f t="shared" si="54"/>
        <v>10600</v>
      </c>
      <c r="BH106" s="262">
        <f t="shared" si="92"/>
        <v>0</v>
      </c>
      <c r="BI106" s="262">
        <f t="shared" si="93"/>
        <v>9.5399999999999991</v>
      </c>
      <c r="BJ106" s="262">
        <f t="shared" si="94"/>
        <v>0</v>
      </c>
      <c r="BK106" s="263">
        <f t="shared" si="95"/>
        <v>0</v>
      </c>
      <c r="BL106" s="269">
        <f t="shared" si="96"/>
        <v>0</v>
      </c>
      <c r="BM106" s="264">
        <f t="shared" si="55"/>
        <v>9.5399999999999991</v>
      </c>
      <c r="BO106" s="732">
        <f t="shared" si="56"/>
        <v>0.9</v>
      </c>
    </row>
    <row r="107" spans="2:67" ht="15" customHeight="1" x14ac:dyDescent="0.25">
      <c r="B107" s="156">
        <f t="shared" si="90"/>
        <v>12</v>
      </c>
      <c r="C107" s="180" t="s">
        <v>583</v>
      </c>
      <c r="D107" s="181"/>
      <c r="E107" s="210" t="s">
        <v>126</v>
      </c>
      <c r="G107" s="488">
        <f>'Cust Specific'!T267</f>
        <v>0</v>
      </c>
      <c r="H107" s="489">
        <f>'Cust Specific'!T270</f>
        <v>8.9999999999999998E-4</v>
      </c>
      <c r="I107" s="471"/>
      <c r="J107" s="471"/>
      <c r="K107" s="472"/>
      <c r="L107" s="471"/>
      <c r="M107" s="471"/>
      <c r="N107" s="471"/>
      <c r="O107" s="472"/>
      <c r="P107" s="471"/>
      <c r="Q107" s="471"/>
      <c r="R107" s="472"/>
      <c r="S107" s="489">
        <f>'Cust Specific'!T268</f>
        <v>0</v>
      </c>
      <c r="T107" s="494">
        <f>'Cust Specific'!T269</f>
        <v>0</v>
      </c>
      <c r="U107" s="491"/>
      <c r="V107" s="492"/>
      <c r="X107" s="183">
        <f>'Q (t)'!G107</f>
        <v>365</v>
      </c>
      <c r="Y107" s="184">
        <f>'Q (t)'!H107</f>
        <v>10600</v>
      </c>
      <c r="Z107" s="178">
        <f>'Q (t)'!I107</f>
        <v>0</v>
      </c>
      <c r="AA107" s="178">
        <f>'Q (t)'!J107</f>
        <v>0</v>
      </c>
      <c r="AB107" s="179">
        <f>'Q (t)'!K107</f>
        <v>0</v>
      </c>
      <c r="AC107" s="178">
        <f>'Q (t)'!L107</f>
        <v>0</v>
      </c>
      <c r="AD107" s="178">
        <f>'Q (t)'!M107</f>
        <v>0</v>
      </c>
      <c r="AE107" s="178">
        <f>'Q (t)'!N107</f>
        <v>0</v>
      </c>
      <c r="AF107" s="179">
        <f>'Q (t)'!O107</f>
        <v>0</v>
      </c>
      <c r="AG107" s="178">
        <f>'Q (t)'!P107</f>
        <v>0</v>
      </c>
      <c r="AH107" s="178">
        <f>'Q (t)'!Q107</f>
        <v>0</v>
      </c>
      <c r="AI107" s="179">
        <f>'Q (t)'!R107</f>
        <v>0</v>
      </c>
      <c r="AJ107" s="184">
        <f>'Q (t)'!S107</f>
        <v>633535.245</v>
      </c>
      <c r="AK107" s="178">
        <f>'Q (t)'!T107</f>
        <v>1825000</v>
      </c>
      <c r="AL107" s="184">
        <f>'Q (t)'!U107</f>
        <v>0</v>
      </c>
      <c r="AM107" s="179">
        <f>'Q (t)'!V107</f>
        <v>0</v>
      </c>
      <c r="AO107" s="183">
        <f t="shared" si="51"/>
        <v>0</v>
      </c>
      <c r="AP107" s="184">
        <f t="shared" si="89"/>
        <v>9.5399999999999991</v>
      </c>
      <c r="AQ107" s="178">
        <f t="shared" si="89"/>
        <v>0</v>
      </c>
      <c r="AR107" s="178">
        <f t="shared" si="89"/>
        <v>0</v>
      </c>
      <c r="AS107" s="179">
        <f t="shared" si="89"/>
        <v>0</v>
      </c>
      <c r="AT107" s="178">
        <f t="shared" si="89"/>
        <v>0</v>
      </c>
      <c r="AU107" s="178">
        <f t="shared" si="89"/>
        <v>0</v>
      </c>
      <c r="AV107" s="178">
        <f t="shared" si="89"/>
        <v>0</v>
      </c>
      <c r="AW107" s="179">
        <f t="shared" si="89"/>
        <v>0</v>
      </c>
      <c r="AX107" s="178">
        <f t="shared" si="42"/>
        <v>0</v>
      </c>
      <c r="AY107" s="178">
        <f t="shared" si="42"/>
        <v>0</v>
      </c>
      <c r="AZ107" s="179">
        <f t="shared" si="42"/>
        <v>0</v>
      </c>
      <c r="BA107" s="184">
        <f t="shared" si="41"/>
        <v>0</v>
      </c>
      <c r="BB107" s="178">
        <f t="shared" si="41"/>
        <v>0</v>
      </c>
      <c r="BC107" s="184">
        <f t="shared" si="41"/>
        <v>0</v>
      </c>
      <c r="BD107" s="178">
        <f t="shared" si="41"/>
        <v>0</v>
      </c>
      <c r="BE107" s="251">
        <f t="shared" si="97"/>
        <v>1</v>
      </c>
      <c r="BF107" s="252">
        <f t="shared" si="54"/>
        <v>10600</v>
      </c>
      <c r="BH107" s="262">
        <f t="shared" si="92"/>
        <v>0</v>
      </c>
      <c r="BI107" s="262">
        <f t="shared" si="93"/>
        <v>9.5399999999999991</v>
      </c>
      <c r="BJ107" s="262">
        <f t="shared" si="94"/>
        <v>0</v>
      </c>
      <c r="BK107" s="263">
        <f t="shared" si="95"/>
        <v>0</v>
      </c>
      <c r="BL107" s="269">
        <f t="shared" si="96"/>
        <v>0</v>
      </c>
      <c r="BM107" s="264">
        <f t="shared" si="55"/>
        <v>9.5399999999999991</v>
      </c>
      <c r="BO107" s="732">
        <f t="shared" si="56"/>
        <v>0.9</v>
      </c>
    </row>
    <row r="108" spans="2:67" ht="15" customHeight="1" x14ac:dyDescent="0.25">
      <c r="B108" s="156">
        <f t="shared" si="90"/>
        <v>13</v>
      </c>
      <c r="C108" s="180" t="s">
        <v>578</v>
      </c>
      <c r="D108" s="181"/>
      <c r="E108" s="210" t="s">
        <v>126</v>
      </c>
      <c r="G108" s="488">
        <f>'Cust Specific'!T274</f>
        <v>0</v>
      </c>
      <c r="H108" s="489">
        <f>'Cust Specific'!T277</f>
        <v>8.9999999999999998E-4</v>
      </c>
      <c r="I108" s="471"/>
      <c r="J108" s="471"/>
      <c r="K108" s="472"/>
      <c r="L108" s="471"/>
      <c r="M108" s="471"/>
      <c r="N108" s="471"/>
      <c r="O108" s="472"/>
      <c r="P108" s="471"/>
      <c r="Q108" s="471"/>
      <c r="R108" s="472"/>
      <c r="S108" s="489">
        <f>'Cust Specific'!T275</f>
        <v>0</v>
      </c>
      <c r="T108" s="494">
        <f>'Cust Specific'!T276</f>
        <v>0</v>
      </c>
      <c r="U108" s="491"/>
      <c r="V108" s="492"/>
      <c r="X108" s="183">
        <f>'Q (t)'!G108</f>
        <v>365</v>
      </c>
      <c r="Y108" s="184">
        <f>'Q (t)'!H108</f>
        <v>0</v>
      </c>
      <c r="Z108" s="178">
        <f>'Q (t)'!I108</f>
        <v>0</v>
      </c>
      <c r="AA108" s="178">
        <f>'Q (t)'!J108</f>
        <v>0</v>
      </c>
      <c r="AB108" s="179">
        <f>'Q (t)'!K108</f>
        <v>0</v>
      </c>
      <c r="AC108" s="178">
        <f>'Q (t)'!L108</f>
        <v>0</v>
      </c>
      <c r="AD108" s="178">
        <f>'Q (t)'!M108</f>
        <v>0</v>
      </c>
      <c r="AE108" s="178">
        <f>'Q (t)'!N108</f>
        <v>0</v>
      </c>
      <c r="AF108" s="179">
        <f>'Q (t)'!O108</f>
        <v>0</v>
      </c>
      <c r="AG108" s="178">
        <f>'Q (t)'!P108</f>
        <v>0</v>
      </c>
      <c r="AH108" s="178">
        <f>'Q (t)'!Q108</f>
        <v>0</v>
      </c>
      <c r="AI108" s="179">
        <f>'Q (t)'!R108</f>
        <v>0</v>
      </c>
      <c r="AJ108" s="184">
        <f>'Q (t)'!S108</f>
        <v>0</v>
      </c>
      <c r="AK108" s="178">
        <f>'Q (t)'!T108</f>
        <v>0</v>
      </c>
      <c r="AL108" s="184">
        <f>'Q (t)'!U108</f>
        <v>0</v>
      </c>
      <c r="AM108" s="179">
        <f>'Q (t)'!V108</f>
        <v>0</v>
      </c>
      <c r="AO108" s="183">
        <f t="shared" si="51"/>
        <v>0</v>
      </c>
      <c r="AP108" s="184">
        <f t="shared" si="89"/>
        <v>0</v>
      </c>
      <c r="AQ108" s="178">
        <f t="shared" si="89"/>
        <v>0</v>
      </c>
      <c r="AR108" s="178">
        <f t="shared" si="89"/>
        <v>0</v>
      </c>
      <c r="AS108" s="179">
        <f t="shared" si="89"/>
        <v>0</v>
      </c>
      <c r="AT108" s="178">
        <f t="shared" si="89"/>
        <v>0</v>
      </c>
      <c r="AU108" s="178">
        <f t="shared" si="89"/>
        <v>0</v>
      </c>
      <c r="AV108" s="178">
        <f t="shared" si="89"/>
        <v>0</v>
      </c>
      <c r="AW108" s="179">
        <f t="shared" si="89"/>
        <v>0</v>
      </c>
      <c r="AX108" s="178">
        <f t="shared" si="42"/>
        <v>0</v>
      </c>
      <c r="AY108" s="178">
        <f t="shared" si="42"/>
        <v>0</v>
      </c>
      <c r="AZ108" s="179">
        <f t="shared" si="42"/>
        <v>0</v>
      </c>
      <c r="BA108" s="184">
        <f t="shared" si="41"/>
        <v>0</v>
      </c>
      <c r="BB108" s="178">
        <f t="shared" si="41"/>
        <v>0</v>
      </c>
      <c r="BC108" s="184">
        <f t="shared" si="41"/>
        <v>0</v>
      </c>
      <c r="BD108" s="178">
        <f t="shared" si="41"/>
        <v>0</v>
      </c>
      <c r="BE108" s="251">
        <f t="shared" si="97"/>
        <v>1</v>
      </c>
      <c r="BF108" s="252">
        <f t="shared" si="54"/>
        <v>0</v>
      </c>
      <c r="BH108" s="262">
        <f t="shared" si="92"/>
        <v>0</v>
      </c>
      <c r="BI108" s="262">
        <f t="shared" si="93"/>
        <v>0</v>
      </c>
      <c r="BJ108" s="262">
        <f t="shared" si="94"/>
        <v>0</v>
      </c>
      <c r="BK108" s="263">
        <f t="shared" si="95"/>
        <v>0</v>
      </c>
      <c r="BL108" s="269">
        <f t="shared" si="96"/>
        <v>0</v>
      </c>
      <c r="BM108" s="264">
        <f t="shared" si="55"/>
        <v>0</v>
      </c>
      <c r="BO108" s="732" t="str">
        <f t="shared" si="56"/>
        <v/>
      </c>
    </row>
    <row r="109" spans="2:67" ht="15" customHeight="1" x14ac:dyDescent="0.25">
      <c r="B109" s="156">
        <f t="shared" si="90"/>
        <v>14</v>
      </c>
      <c r="C109" s="180" t="s">
        <v>130</v>
      </c>
      <c r="D109" s="181"/>
      <c r="E109" s="210" t="s">
        <v>126</v>
      </c>
      <c r="G109" s="488">
        <f>'Cust Specific'!T281</f>
        <v>0</v>
      </c>
      <c r="H109" s="489">
        <f>'Cust Specific'!T284</f>
        <v>8.9999999999999998E-4</v>
      </c>
      <c r="I109" s="471"/>
      <c r="J109" s="471"/>
      <c r="K109" s="472"/>
      <c r="L109" s="471"/>
      <c r="M109" s="471"/>
      <c r="N109" s="471"/>
      <c r="O109" s="472"/>
      <c r="P109" s="471"/>
      <c r="Q109" s="471"/>
      <c r="R109" s="472"/>
      <c r="S109" s="489">
        <f>'Cust Specific'!T282</f>
        <v>0</v>
      </c>
      <c r="T109" s="494">
        <f>'Cust Specific'!T283</f>
        <v>0</v>
      </c>
      <c r="U109" s="491"/>
      <c r="V109" s="492"/>
      <c r="X109" s="183">
        <f>'Q (t)'!G109</f>
        <v>365</v>
      </c>
      <c r="Y109" s="184">
        <f>'Q (t)'!H109</f>
        <v>32021</v>
      </c>
      <c r="Z109" s="178">
        <f>'Q (t)'!I109</f>
        <v>0</v>
      </c>
      <c r="AA109" s="178">
        <f>'Q (t)'!J109</f>
        <v>0</v>
      </c>
      <c r="AB109" s="179">
        <f>'Q (t)'!K109</f>
        <v>0</v>
      </c>
      <c r="AC109" s="178">
        <f>'Q (t)'!L109</f>
        <v>0</v>
      </c>
      <c r="AD109" s="178">
        <f>'Q (t)'!M109</f>
        <v>0</v>
      </c>
      <c r="AE109" s="178">
        <f>'Q (t)'!N109</f>
        <v>0</v>
      </c>
      <c r="AF109" s="179">
        <f>'Q (t)'!O109</f>
        <v>0</v>
      </c>
      <c r="AG109" s="178">
        <f>'Q (t)'!P109</f>
        <v>0</v>
      </c>
      <c r="AH109" s="178">
        <f>'Q (t)'!Q109</f>
        <v>0</v>
      </c>
      <c r="AI109" s="179">
        <f>'Q (t)'!R109</f>
        <v>0</v>
      </c>
      <c r="AJ109" s="184">
        <f>'Q (t)'!S109</f>
        <v>4581260.2699999996</v>
      </c>
      <c r="AK109" s="178">
        <f>'Q (t)'!T109</f>
        <v>4618258.8599999994</v>
      </c>
      <c r="AL109" s="184">
        <f>'Q (t)'!U109</f>
        <v>0</v>
      </c>
      <c r="AM109" s="179">
        <f>'Q (t)'!V109</f>
        <v>0</v>
      </c>
      <c r="AO109" s="183">
        <f t="shared" si="51"/>
        <v>0</v>
      </c>
      <c r="AP109" s="184">
        <f t="shared" si="89"/>
        <v>28.818899999999999</v>
      </c>
      <c r="AQ109" s="178">
        <f t="shared" si="89"/>
        <v>0</v>
      </c>
      <c r="AR109" s="178">
        <f t="shared" si="89"/>
        <v>0</v>
      </c>
      <c r="AS109" s="179">
        <f t="shared" si="89"/>
        <v>0</v>
      </c>
      <c r="AT109" s="178">
        <f t="shared" si="89"/>
        <v>0</v>
      </c>
      <c r="AU109" s="178">
        <f t="shared" si="89"/>
        <v>0</v>
      </c>
      <c r="AV109" s="178">
        <f t="shared" si="89"/>
        <v>0</v>
      </c>
      <c r="AW109" s="179">
        <f t="shared" si="89"/>
        <v>0</v>
      </c>
      <c r="AX109" s="178">
        <f t="shared" si="42"/>
        <v>0</v>
      </c>
      <c r="AY109" s="178">
        <f t="shared" si="42"/>
        <v>0</v>
      </c>
      <c r="AZ109" s="179">
        <f t="shared" si="42"/>
        <v>0</v>
      </c>
      <c r="BA109" s="184">
        <f t="shared" si="41"/>
        <v>0</v>
      </c>
      <c r="BB109" s="178">
        <f t="shared" si="41"/>
        <v>0</v>
      </c>
      <c r="BC109" s="184">
        <f t="shared" si="41"/>
        <v>0</v>
      </c>
      <c r="BD109" s="178">
        <f t="shared" si="41"/>
        <v>0</v>
      </c>
      <c r="BE109" s="251">
        <f t="shared" si="97"/>
        <v>1</v>
      </c>
      <c r="BF109" s="252">
        <f t="shared" ref="BF109:BF126" si="98">SUM(Y109:AF109)</f>
        <v>32021</v>
      </c>
      <c r="BH109" s="262">
        <f t="shared" si="92"/>
        <v>0</v>
      </c>
      <c r="BI109" s="262">
        <f t="shared" si="93"/>
        <v>28.818899999999999</v>
      </c>
      <c r="BJ109" s="262">
        <f t="shared" si="94"/>
        <v>0</v>
      </c>
      <c r="BK109" s="263">
        <f t="shared" si="95"/>
        <v>0</v>
      </c>
      <c r="BL109" s="269">
        <f t="shared" si="96"/>
        <v>0</v>
      </c>
      <c r="BM109" s="264">
        <f t="shared" si="55"/>
        <v>28.818899999999999</v>
      </c>
      <c r="BO109" s="732">
        <f t="shared" si="56"/>
        <v>0.89999999999999991</v>
      </c>
    </row>
    <row r="110" spans="2:67" ht="15" customHeight="1" x14ac:dyDescent="0.25">
      <c r="B110" s="156">
        <f t="shared" si="90"/>
        <v>15</v>
      </c>
      <c r="C110" s="180" t="s">
        <v>131</v>
      </c>
      <c r="D110" s="181"/>
      <c r="E110" s="210" t="s">
        <v>126</v>
      </c>
      <c r="G110" s="488">
        <f>'Cust Specific'!T288</f>
        <v>0</v>
      </c>
      <c r="H110" s="489">
        <f>'Cust Specific'!T291</f>
        <v>8.9999999999999998E-4</v>
      </c>
      <c r="I110" s="471"/>
      <c r="J110" s="471"/>
      <c r="K110" s="472"/>
      <c r="L110" s="471"/>
      <c r="M110" s="471"/>
      <c r="N110" s="471"/>
      <c r="O110" s="472"/>
      <c r="P110" s="471"/>
      <c r="Q110" s="471"/>
      <c r="R110" s="472"/>
      <c r="S110" s="489">
        <f>'Cust Specific'!T289</f>
        <v>0</v>
      </c>
      <c r="T110" s="494">
        <f>'Cust Specific'!T290</f>
        <v>0</v>
      </c>
      <c r="U110" s="491"/>
      <c r="V110" s="492"/>
      <c r="X110" s="183">
        <f>'Q (t)'!G110</f>
        <v>365</v>
      </c>
      <c r="Y110" s="184">
        <f>'Q (t)'!H110</f>
        <v>51446</v>
      </c>
      <c r="Z110" s="178">
        <f>'Q (t)'!I110</f>
        <v>0</v>
      </c>
      <c r="AA110" s="178">
        <f>'Q (t)'!J110</f>
        <v>0</v>
      </c>
      <c r="AB110" s="179">
        <f>'Q (t)'!K110</f>
        <v>0</v>
      </c>
      <c r="AC110" s="178">
        <f>'Q (t)'!L110</f>
        <v>0</v>
      </c>
      <c r="AD110" s="178">
        <f>'Q (t)'!M110</f>
        <v>0</v>
      </c>
      <c r="AE110" s="178">
        <f>'Q (t)'!N110</f>
        <v>0</v>
      </c>
      <c r="AF110" s="179">
        <f>'Q (t)'!O110</f>
        <v>0</v>
      </c>
      <c r="AG110" s="178">
        <f>'Q (t)'!P110</f>
        <v>0</v>
      </c>
      <c r="AH110" s="178">
        <f>'Q (t)'!Q110</f>
        <v>0</v>
      </c>
      <c r="AI110" s="179">
        <f>'Q (t)'!R110</f>
        <v>0</v>
      </c>
      <c r="AJ110" s="184">
        <f>'Q (t)'!S110</f>
        <v>2717743.645</v>
      </c>
      <c r="AK110" s="178">
        <f>'Q (t)'!T110</f>
        <v>3040755.1399999997</v>
      </c>
      <c r="AL110" s="184">
        <f>'Q (t)'!U110</f>
        <v>0</v>
      </c>
      <c r="AM110" s="179">
        <f>'Q (t)'!V110</f>
        <v>0</v>
      </c>
      <c r="AO110" s="183">
        <f t="shared" si="51"/>
        <v>0</v>
      </c>
      <c r="AP110" s="184">
        <f t="shared" ref="AP110:AW124" si="99">H110*Y110</f>
        <v>46.301400000000001</v>
      </c>
      <c r="AQ110" s="178">
        <f t="shared" si="99"/>
        <v>0</v>
      </c>
      <c r="AR110" s="178">
        <f t="shared" si="99"/>
        <v>0</v>
      </c>
      <c r="AS110" s="179">
        <f t="shared" si="99"/>
        <v>0</v>
      </c>
      <c r="AT110" s="178">
        <f t="shared" si="99"/>
        <v>0</v>
      </c>
      <c r="AU110" s="178">
        <f t="shared" si="99"/>
        <v>0</v>
      </c>
      <c r="AV110" s="178">
        <f t="shared" si="99"/>
        <v>0</v>
      </c>
      <c r="AW110" s="179">
        <f t="shared" si="99"/>
        <v>0</v>
      </c>
      <c r="AX110" s="178">
        <f t="shared" si="42"/>
        <v>0</v>
      </c>
      <c r="AY110" s="178">
        <f t="shared" si="42"/>
        <v>0</v>
      </c>
      <c r="AZ110" s="179">
        <f t="shared" si="42"/>
        <v>0</v>
      </c>
      <c r="BA110" s="184">
        <f t="shared" si="41"/>
        <v>0</v>
      </c>
      <c r="BB110" s="178">
        <f t="shared" si="41"/>
        <v>0</v>
      </c>
      <c r="BC110" s="184">
        <f t="shared" si="41"/>
        <v>0</v>
      </c>
      <c r="BD110" s="178">
        <f t="shared" si="41"/>
        <v>0</v>
      </c>
      <c r="BE110" s="251">
        <f t="shared" si="97"/>
        <v>1</v>
      </c>
      <c r="BF110" s="252">
        <f t="shared" si="98"/>
        <v>51446</v>
      </c>
      <c r="BH110" s="262">
        <f t="shared" si="92"/>
        <v>0</v>
      </c>
      <c r="BI110" s="262">
        <f t="shared" si="93"/>
        <v>46.301400000000001</v>
      </c>
      <c r="BJ110" s="262">
        <f t="shared" si="94"/>
        <v>0</v>
      </c>
      <c r="BK110" s="263">
        <f t="shared" si="95"/>
        <v>0</v>
      </c>
      <c r="BL110" s="269">
        <f t="shared" si="96"/>
        <v>0</v>
      </c>
      <c r="BM110" s="264">
        <f t="shared" si="55"/>
        <v>46.301400000000001</v>
      </c>
      <c r="BO110" s="732">
        <f t="shared" si="56"/>
        <v>0.9</v>
      </c>
    </row>
    <row r="111" spans="2:67" ht="15" customHeight="1" x14ac:dyDescent="0.25">
      <c r="B111" s="156">
        <f t="shared" si="90"/>
        <v>16</v>
      </c>
      <c r="C111" s="180" t="s">
        <v>579</v>
      </c>
      <c r="D111" s="181"/>
      <c r="E111" s="210" t="s">
        <v>126</v>
      </c>
      <c r="G111" s="488">
        <f>'Cust Specific'!T295</f>
        <v>0</v>
      </c>
      <c r="H111" s="489">
        <f>'Cust Specific'!T298</f>
        <v>8.9999999999999998E-4</v>
      </c>
      <c r="I111" s="471"/>
      <c r="J111" s="471"/>
      <c r="K111" s="472"/>
      <c r="L111" s="471"/>
      <c r="M111" s="471"/>
      <c r="N111" s="471"/>
      <c r="O111" s="472"/>
      <c r="P111" s="471"/>
      <c r="Q111" s="471"/>
      <c r="R111" s="472"/>
      <c r="S111" s="489">
        <f>'Cust Specific'!T296</f>
        <v>0</v>
      </c>
      <c r="T111" s="494">
        <f>'Cust Specific'!T297</f>
        <v>0</v>
      </c>
      <c r="U111" s="491"/>
      <c r="V111" s="492"/>
      <c r="X111" s="183">
        <f>'Q (t)'!G111</f>
        <v>0</v>
      </c>
      <c r="Y111" s="184">
        <f>'Q (t)'!H111</f>
        <v>0</v>
      </c>
      <c r="Z111" s="178">
        <f>'Q (t)'!I111</f>
        <v>0</v>
      </c>
      <c r="AA111" s="178">
        <f>'Q (t)'!J111</f>
        <v>0</v>
      </c>
      <c r="AB111" s="179">
        <f>'Q (t)'!K111</f>
        <v>0</v>
      </c>
      <c r="AC111" s="178">
        <f>'Q (t)'!L111</f>
        <v>0</v>
      </c>
      <c r="AD111" s="178">
        <f>'Q (t)'!M111</f>
        <v>0</v>
      </c>
      <c r="AE111" s="178">
        <f>'Q (t)'!N111</f>
        <v>0</v>
      </c>
      <c r="AF111" s="179">
        <f>'Q (t)'!O111</f>
        <v>0</v>
      </c>
      <c r="AG111" s="178">
        <f>'Q (t)'!P111</f>
        <v>0</v>
      </c>
      <c r="AH111" s="178">
        <f>'Q (t)'!Q111</f>
        <v>0</v>
      </c>
      <c r="AI111" s="179">
        <f>'Q (t)'!R111</f>
        <v>0</v>
      </c>
      <c r="AJ111" s="184">
        <f>'Q (t)'!S111</f>
        <v>0</v>
      </c>
      <c r="AK111" s="178">
        <f>'Q (t)'!T111</f>
        <v>0</v>
      </c>
      <c r="AL111" s="184">
        <f>'Q (t)'!U111</f>
        <v>0</v>
      </c>
      <c r="AM111" s="179">
        <f>'Q (t)'!V111</f>
        <v>0</v>
      </c>
      <c r="AO111" s="183">
        <f t="shared" si="51"/>
        <v>0</v>
      </c>
      <c r="AP111" s="184">
        <f t="shared" si="99"/>
        <v>0</v>
      </c>
      <c r="AQ111" s="178">
        <f t="shared" si="99"/>
        <v>0</v>
      </c>
      <c r="AR111" s="178">
        <f t="shared" si="99"/>
        <v>0</v>
      </c>
      <c r="AS111" s="179">
        <f t="shared" si="99"/>
        <v>0</v>
      </c>
      <c r="AT111" s="178">
        <f t="shared" si="99"/>
        <v>0</v>
      </c>
      <c r="AU111" s="178">
        <f t="shared" si="99"/>
        <v>0</v>
      </c>
      <c r="AV111" s="178">
        <f t="shared" si="99"/>
        <v>0</v>
      </c>
      <c r="AW111" s="179">
        <f t="shared" si="99"/>
        <v>0</v>
      </c>
      <c r="AX111" s="178">
        <f t="shared" si="42"/>
        <v>0</v>
      </c>
      <c r="AY111" s="178">
        <f t="shared" si="42"/>
        <v>0</v>
      </c>
      <c r="AZ111" s="179">
        <f t="shared" si="42"/>
        <v>0</v>
      </c>
      <c r="BA111" s="184">
        <f t="shared" si="41"/>
        <v>0</v>
      </c>
      <c r="BB111" s="178">
        <f t="shared" si="41"/>
        <v>0</v>
      </c>
      <c r="BC111" s="184">
        <f t="shared" si="41"/>
        <v>0</v>
      </c>
      <c r="BD111" s="178">
        <f t="shared" ref="BD111:BD126" si="100">V111*AM111/1000</f>
        <v>0</v>
      </c>
      <c r="BE111" s="251">
        <f t="shared" si="97"/>
        <v>0</v>
      </c>
      <c r="BF111" s="252">
        <f t="shared" si="98"/>
        <v>0</v>
      </c>
      <c r="BH111" s="262">
        <f t="shared" si="92"/>
        <v>0</v>
      </c>
      <c r="BI111" s="262">
        <f t="shared" si="93"/>
        <v>0</v>
      </c>
      <c r="BJ111" s="262">
        <f t="shared" si="94"/>
        <v>0</v>
      </c>
      <c r="BK111" s="263">
        <f t="shared" si="95"/>
        <v>0</v>
      </c>
      <c r="BL111" s="269">
        <f t="shared" si="96"/>
        <v>0</v>
      </c>
      <c r="BM111" s="264">
        <f t="shared" si="55"/>
        <v>0</v>
      </c>
      <c r="BO111" s="732" t="str">
        <f t="shared" si="56"/>
        <v/>
      </c>
    </row>
    <row r="112" spans="2:67" ht="15" customHeight="1" x14ac:dyDescent="0.25">
      <c r="B112" s="156"/>
      <c r="C112" s="126" t="s">
        <v>132</v>
      </c>
      <c r="D112" s="202"/>
      <c r="E112" s="202"/>
      <c r="G112" s="493"/>
      <c r="H112" s="490"/>
      <c r="I112" s="471"/>
      <c r="J112" s="471"/>
      <c r="K112" s="472"/>
      <c r="L112" s="471"/>
      <c r="M112" s="471"/>
      <c r="N112" s="471"/>
      <c r="O112" s="472"/>
      <c r="P112" s="471"/>
      <c r="Q112" s="471"/>
      <c r="R112" s="472"/>
      <c r="S112" s="490"/>
      <c r="T112" s="471"/>
      <c r="U112" s="490"/>
      <c r="V112" s="472"/>
      <c r="X112" s="183">
        <f>'Q (t)'!G112</f>
        <v>0</v>
      </c>
      <c r="Y112" s="184">
        <f>'Q (t)'!H112</f>
        <v>0</v>
      </c>
      <c r="Z112" s="178">
        <f>'Q (t)'!I112</f>
        <v>0</v>
      </c>
      <c r="AA112" s="178">
        <f>'Q (t)'!J112</f>
        <v>0</v>
      </c>
      <c r="AB112" s="179">
        <f>'Q (t)'!K112</f>
        <v>0</v>
      </c>
      <c r="AC112" s="178">
        <f>'Q (t)'!L112</f>
        <v>0</v>
      </c>
      <c r="AD112" s="178">
        <f>'Q (t)'!M112</f>
        <v>0</v>
      </c>
      <c r="AE112" s="178">
        <f>'Q (t)'!N112</f>
        <v>0</v>
      </c>
      <c r="AF112" s="179">
        <f>'Q (t)'!O112</f>
        <v>0</v>
      </c>
      <c r="AG112" s="178">
        <f>'Q (t)'!P112</f>
        <v>0</v>
      </c>
      <c r="AH112" s="178">
        <f>'Q (t)'!Q112</f>
        <v>0</v>
      </c>
      <c r="AI112" s="179">
        <f>'Q (t)'!R112</f>
        <v>0</v>
      </c>
      <c r="AJ112" s="184">
        <f>'Q (t)'!S112</f>
        <v>0</v>
      </c>
      <c r="AK112" s="178">
        <f>'Q (t)'!T112</f>
        <v>0</v>
      </c>
      <c r="AL112" s="184">
        <f>'Q (t)'!U112</f>
        <v>0</v>
      </c>
      <c r="AM112" s="179">
        <f>'Q (t)'!V112</f>
        <v>0</v>
      </c>
      <c r="AO112" s="183">
        <f t="shared" si="51"/>
        <v>0</v>
      </c>
      <c r="AP112" s="184">
        <f t="shared" si="99"/>
        <v>0</v>
      </c>
      <c r="AQ112" s="178">
        <f t="shared" si="99"/>
        <v>0</v>
      </c>
      <c r="AR112" s="178">
        <f t="shared" si="99"/>
        <v>0</v>
      </c>
      <c r="AS112" s="179">
        <f t="shared" si="99"/>
        <v>0</v>
      </c>
      <c r="AT112" s="178">
        <f t="shared" si="99"/>
        <v>0</v>
      </c>
      <c r="AU112" s="178">
        <f t="shared" si="99"/>
        <v>0</v>
      </c>
      <c r="AV112" s="178">
        <f t="shared" si="99"/>
        <v>0</v>
      </c>
      <c r="AW112" s="179">
        <f t="shared" si="99"/>
        <v>0</v>
      </c>
      <c r="AX112" s="178">
        <f t="shared" si="42"/>
        <v>0</v>
      </c>
      <c r="AY112" s="178">
        <f t="shared" si="42"/>
        <v>0</v>
      </c>
      <c r="AZ112" s="179">
        <f t="shared" si="42"/>
        <v>0</v>
      </c>
      <c r="BA112" s="184">
        <f t="shared" si="42"/>
        <v>0</v>
      </c>
      <c r="BB112" s="178">
        <f t="shared" si="42"/>
        <v>0</v>
      </c>
      <c r="BC112" s="184">
        <f t="shared" si="42"/>
        <v>0</v>
      </c>
      <c r="BD112" s="178">
        <f t="shared" si="100"/>
        <v>0</v>
      </c>
      <c r="BE112" s="251">
        <f t="shared" si="57"/>
        <v>0</v>
      </c>
      <c r="BF112" s="252">
        <f t="shared" si="98"/>
        <v>0</v>
      </c>
      <c r="BH112" s="259">
        <f>SUBTOTAL(9,BH113:BH116)</f>
        <v>0</v>
      </c>
      <c r="BI112" s="259">
        <f>SUBTOTAL(9,BI113:BI116)</f>
        <v>18.743947883099999</v>
      </c>
      <c r="BJ112" s="259">
        <f>SUBTOTAL(9,BJ113:BJ116)</f>
        <v>0</v>
      </c>
      <c r="BK112" s="259">
        <f>SUBTOTAL(9,BK113:BK116)</f>
        <v>0</v>
      </c>
      <c r="BL112" s="259">
        <f>SUBTOTAL(9,BL113:BL116)</f>
        <v>0</v>
      </c>
      <c r="BM112" s="264">
        <f t="shared" si="55"/>
        <v>18.743947883099999</v>
      </c>
      <c r="BO112" s="732" t="str">
        <f t="shared" si="56"/>
        <v/>
      </c>
    </row>
    <row r="113" spans="1:72" ht="15" customHeight="1" x14ac:dyDescent="0.25">
      <c r="B113" s="156">
        <f>B110+1</f>
        <v>16</v>
      </c>
      <c r="C113" s="180" t="s">
        <v>133</v>
      </c>
      <c r="D113" s="181"/>
      <c r="E113" s="210" t="s">
        <v>134</v>
      </c>
      <c r="G113" s="488">
        <v>0</v>
      </c>
      <c r="H113" s="489">
        <v>8.9999999999999998E-4</v>
      </c>
      <c r="I113" s="471"/>
      <c r="J113" s="471"/>
      <c r="K113" s="472"/>
      <c r="L113" s="471"/>
      <c r="M113" s="471"/>
      <c r="N113" s="471"/>
      <c r="O113" s="472"/>
      <c r="P113" s="471"/>
      <c r="Q113" s="471"/>
      <c r="R113" s="472"/>
      <c r="S113" s="489">
        <v>0</v>
      </c>
      <c r="T113" s="494">
        <v>0</v>
      </c>
      <c r="U113" s="491"/>
      <c r="V113" s="492"/>
      <c r="X113" s="183">
        <f>'Q (t)'!G113</f>
        <v>0</v>
      </c>
      <c r="Y113" s="184">
        <f>'Q (t)'!H113</f>
        <v>0</v>
      </c>
      <c r="Z113" s="178">
        <f>'Q (t)'!I113</f>
        <v>0</v>
      </c>
      <c r="AA113" s="178">
        <f>'Q (t)'!J113</f>
        <v>0</v>
      </c>
      <c r="AB113" s="179">
        <f>'Q (t)'!K113</f>
        <v>0</v>
      </c>
      <c r="AC113" s="178">
        <f>'Q (t)'!L113</f>
        <v>0</v>
      </c>
      <c r="AD113" s="178">
        <f>'Q (t)'!M113</f>
        <v>0</v>
      </c>
      <c r="AE113" s="178">
        <f>'Q (t)'!N113</f>
        <v>0</v>
      </c>
      <c r="AF113" s="179">
        <f>'Q (t)'!O113</f>
        <v>0</v>
      </c>
      <c r="AG113" s="178">
        <f>'Q (t)'!P113</f>
        <v>0</v>
      </c>
      <c r="AH113" s="178">
        <f>'Q (t)'!Q113</f>
        <v>0</v>
      </c>
      <c r="AI113" s="179">
        <f>'Q (t)'!R113</f>
        <v>0</v>
      </c>
      <c r="AJ113" s="184">
        <f>'Q (t)'!S113</f>
        <v>0</v>
      </c>
      <c r="AK113" s="178">
        <f>'Q (t)'!T113</f>
        <v>0</v>
      </c>
      <c r="AL113" s="184">
        <f>'Q (t)'!U113</f>
        <v>0</v>
      </c>
      <c r="AM113" s="179">
        <f>'Q (t)'!V113</f>
        <v>0</v>
      </c>
      <c r="AO113" s="183">
        <f t="shared" si="51"/>
        <v>0</v>
      </c>
      <c r="AP113" s="184">
        <f t="shared" si="99"/>
        <v>0</v>
      </c>
      <c r="AQ113" s="178">
        <f t="shared" si="99"/>
        <v>0</v>
      </c>
      <c r="AR113" s="178">
        <f t="shared" si="99"/>
        <v>0</v>
      </c>
      <c r="AS113" s="179">
        <f t="shared" si="99"/>
        <v>0</v>
      </c>
      <c r="AT113" s="178">
        <f t="shared" si="99"/>
        <v>0</v>
      </c>
      <c r="AU113" s="178">
        <f t="shared" si="99"/>
        <v>0</v>
      </c>
      <c r="AV113" s="178">
        <f t="shared" si="99"/>
        <v>0</v>
      </c>
      <c r="AW113" s="179">
        <f t="shared" si="99"/>
        <v>0</v>
      </c>
      <c r="AX113" s="178">
        <f t="shared" ref="AX113:BC126" si="101">P113*AG113/1000</f>
        <v>0</v>
      </c>
      <c r="AY113" s="178">
        <f t="shared" si="101"/>
        <v>0</v>
      </c>
      <c r="AZ113" s="179">
        <f t="shared" si="101"/>
        <v>0</v>
      </c>
      <c r="BA113" s="184">
        <f t="shared" si="101"/>
        <v>0</v>
      </c>
      <c r="BB113" s="178">
        <f t="shared" si="101"/>
        <v>0</v>
      </c>
      <c r="BC113" s="184">
        <f t="shared" si="101"/>
        <v>0</v>
      </c>
      <c r="BD113" s="178">
        <f t="shared" si="100"/>
        <v>0</v>
      </c>
      <c r="BE113" s="251">
        <f t="shared" si="57"/>
        <v>0</v>
      </c>
      <c r="BF113" s="252">
        <f t="shared" si="98"/>
        <v>0</v>
      </c>
      <c r="BH113" s="262">
        <f>SUM(AO113)</f>
        <v>0</v>
      </c>
      <c r="BI113" s="262">
        <f>SUM(AP113:AS113)</f>
        <v>0</v>
      </c>
      <c r="BJ113" s="262">
        <f>SUM(AT113:AW113)</f>
        <v>0</v>
      </c>
      <c r="BK113" s="263">
        <f>SUM(AX113:BB113)</f>
        <v>0</v>
      </c>
      <c r="BL113" s="269">
        <f>SUM(BC113:BD113)</f>
        <v>0</v>
      </c>
      <c r="BM113" s="264">
        <f t="shared" si="55"/>
        <v>0</v>
      </c>
      <c r="BO113" s="732" t="str">
        <f t="shared" si="56"/>
        <v/>
      </c>
    </row>
    <row r="114" spans="1:72" ht="15" customHeight="1" x14ac:dyDescent="0.25">
      <c r="B114" s="156">
        <f>B113+1</f>
        <v>17</v>
      </c>
      <c r="C114" s="180" t="s">
        <v>135</v>
      </c>
      <c r="D114" s="181"/>
      <c r="E114" s="210" t="s">
        <v>136</v>
      </c>
      <c r="G114" s="488">
        <f>'Cust Specific'!T306</f>
        <v>0</v>
      </c>
      <c r="H114" s="489">
        <f>'Cust Specific'!T309</f>
        <v>8.9999999999999998E-4</v>
      </c>
      <c r="I114" s="471"/>
      <c r="J114" s="471"/>
      <c r="K114" s="472"/>
      <c r="L114" s="471"/>
      <c r="M114" s="471"/>
      <c r="N114" s="471"/>
      <c r="O114" s="472"/>
      <c r="P114" s="471"/>
      <c r="Q114" s="471"/>
      <c r="R114" s="472"/>
      <c r="S114" s="489">
        <f>'Cust Specific'!T307</f>
        <v>0</v>
      </c>
      <c r="T114" s="494">
        <f>'Cust Specific'!T308</f>
        <v>0</v>
      </c>
      <c r="U114" s="491"/>
      <c r="V114" s="492"/>
      <c r="X114" s="183">
        <f>'Q (t)'!G114</f>
        <v>365</v>
      </c>
      <c r="Y114" s="184">
        <f>'Q (t)'!H114</f>
        <v>8287.9185390000002</v>
      </c>
      <c r="Z114" s="178">
        <f>'Q (t)'!I114</f>
        <v>0</v>
      </c>
      <c r="AA114" s="178">
        <f>'Q (t)'!J114</f>
        <v>0</v>
      </c>
      <c r="AB114" s="179">
        <f>'Q (t)'!K114</f>
        <v>0</v>
      </c>
      <c r="AC114" s="178">
        <f>'Q (t)'!L114</f>
        <v>0</v>
      </c>
      <c r="AD114" s="178">
        <f>'Q (t)'!M114</f>
        <v>0</v>
      </c>
      <c r="AE114" s="178">
        <f>'Q (t)'!N114</f>
        <v>0</v>
      </c>
      <c r="AF114" s="179">
        <f>'Q (t)'!O114</f>
        <v>0</v>
      </c>
      <c r="AG114" s="178">
        <f>'Q (t)'!P114</f>
        <v>0</v>
      </c>
      <c r="AH114" s="178">
        <f>'Q (t)'!Q114</f>
        <v>0</v>
      </c>
      <c r="AI114" s="179">
        <f>'Q (t)'!R114</f>
        <v>0</v>
      </c>
      <c r="AJ114" s="184">
        <f>'Q (t)'!S114</f>
        <v>1070883.72</v>
      </c>
      <c r="AK114" s="178">
        <f>'Q (t)'!T114</f>
        <v>2372500</v>
      </c>
      <c r="AL114" s="184">
        <f>'Q (t)'!U114</f>
        <v>0</v>
      </c>
      <c r="AM114" s="179">
        <f>'Q (t)'!V114</f>
        <v>0</v>
      </c>
      <c r="AO114" s="183">
        <f t="shared" si="51"/>
        <v>0</v>
      </c>
      <c r="AP114" s="184">
        <f t="shared" si="99"/>
        <v>7.4591266851000002</v>
      </c>
      <c r="AQ114" s="178">
        <f t="shared" si="99"/>
        <v>0</v>
      </c>
      <c r="AR114" s="178">
        <f t="shared" si="99"/>
        <v>0</v>
      </c>
      <c r="AS114" s="179">
        <f t="shared" si="99"/>
        <v>0</v>
      </c>
      <c r="AT114" s="178">
        <f t="shared" si="99"/>
        <v>0</v>
      </c>
      <c r="AU114" s="178">
        <f t="shared" si="99"/>
        <v>0</v>
      </c>
      <c r="AV114" s="178">
        <f t="shared" si="99"/>
        <v>0</v>
      </c>
      <c r="AW114" s="179">
        <f t="shared" si="99"/>
        <v>0</v>
      </c>
      <c r="AX114" s="178">
        <f t="shared" si="101"/>
        <v>0</v>
      </c>
      <c r="AY114" s="178">
        <f t="shared" si="101"/>
        <v>0</v>
      </c>
      <c r="AZ114" s="179">
        <f t="shared" si="101"/>
        <v>0</v>
      </c>
      <c r="BA114" s="184">
        <f t="shared" si="101"/>
        <v>0</v>
      </c>
      <c r="BB114" s="178">
        <f t="shared" si="101"/>
        <v>0</v>
      </c>
      <c r="BC114" s="184">
        <f t="shared" si="101"/>
        <v>0</v>
      </c>
      <c r="BD114" s="178">
        <f t="shared" si="100"/>
        <v>0</v>
      </c>
      <c r="BE114" s="251">
        <f t="shared" si="57"/>
        <v>1</v>
      </c>
      <c r="BF114" s="252">
        <f t="shared" si="98"/>
        <v>8287.9185390000002</v>
      </c>
      <c r="BH114" s="262">
        <f>SUM(AO114)</f>
        <v>0</v>
      </c>
      <c r="BI114" s="262">
        <f>SUM(AP114:AS114)</f>
        <v>7.4591266851000002</v>
      </c>
      <c r="BJ114" s="262">
        <f>SUM(AT114:AW114)</f>
        <v>0</v>
      </c>
      <c r="BK114" s="263">
        <f>SUM(AX114:BB114)</f>
        <v>0</v>
      </c>
      <c r="BL114" s="269">
        <f>SUM(BC114:BD114)</f>
        <v>0</v>
      </c>
      <c r="BM114" s="264">
        <f t="shared" si="55"/>
        <v>7.4591266851000002</v>
      </c>
      <c r="BO114" s="732">
        <f t="shared" si="56"/>
        <v>0.9</v>
      </c>
    </row>
    <row r="115" spans="1:72" ht="15" customHeight="1" x14ac:dyDescent="0.25">
      <c r="B115" s="156">
        <f t="shared" ref="B115:B126" si="102">B114+1</f>
        <v>18</v>
      </c>
      <c r="C115" s="180" t="s">
        <v>137</v>
      </c>
      <c r="D115" s="181"/>
      <c r="E115" s="210" t="s">
        <v>136</v>
      </c>
      <c r="G115" s="488">
        <f>'Cust Specific'!T313</f>
        <v>0</v>
      </c>
      <c r="H115" s="489">
        <f>'Cust Specific'!T316</f>
        <v>8.9999999999999998E-4</v>
      </c>
      <c r="I115" s="471"/>
      <c r="J115" s="471"/>
      <c r="K115" s="472"/>
      <c r="L115" s="471"/>
      <c r="M115" s="471"/>
      <c r="N115" s="471"/>
      <c r="O115" s="472"/>
      <c r="P115" s="471"/>
      <c r="Q115" s="471"/>
      <c r="R115" s="472"/>
      <c r="S115" s="489">
        <f>'Cust Specific'!T314</f>
        <v>0</v>
      </c>
      <c r="T115" s="494">
        <f>'Cust Specific'!T315</f>
        <v>0</v>
      </c>
      <c r="U115" s="491"/>
      <c r="V115" s="492"/>
      <c r="X115" s="183">
        <f>'Q (t)'!G115</f>
        <v>365</v>
      </c>
      <c r="Y115" s="184">
        <f>'Q (t)'!H115</f>
        <v>2738.69022</v>
      </c>
      <c r="Z115" s="178">
        <f>'Q (t)'!I115</f>
        <v>0</v>
      </c>
      <c r="AA115" s="178">
        <f>'Q (t)'!J115</f>
        <v>0</v>
      </c>
      <c r="AB115" s="179">
        <f>'Q (t)'!K115</f>
        <v>0</v>
      </c>
      <c r="AC115" s="178">
        <f>'Q (t)'!L115</f>
        <v>0</v>
      </c>
      <c r="AD115" s="178">
        <f>'Q (t)'!M115</f>
        <v>0</v>
      </c>
      <c r="AE115" s="178">
        <f>'Q (t)'!N115</f>
        <v>0</v>
      </c>
      <c r="AF115" s="179">
        <f>'Q (t)'!O115</f>
        <v>0</v>
      </c>
      <c r="AG115" s="178">
        <f>'Q (t)'!P115</f>
        <v>0</v>
      </c>
      <c r="AH115" s="178">
        <f>'Q (t)'!Q115</f>
        <v>0</v>
      </c>
      <c r="AI115" s="179">
        <f>'Q (t)'!R115</f>
        <v>0</v>
      </c>
      <c r="AJ115" s="184">
        <f>'Q (t)'!S115</f>
        <v>308511.505</v>
      </c>
      <c r="AK115" s="178">
        <f>'Q (t)'!T115</f>
        <v>318869.83999999997</v>
      </c>
      <c r="AL115" s="184">
        <f>'Q (t)'!U115</f>
        <v>0</v>
      </c>
      <c r="AM115" s="179">
        <f>'Q (t)'!V115</f>
        <v>0</v>
      </c>
      <c r="AO115" s="183">
        <f t="shared" si="51"/>
        <v>0</v>
      </c>
      <c r="AP115" s="184">
        <f t="shared" si="99"/>
        <v>2.4648211980000001</v>
      </c>
      <c r="AQ115" s="178">
        <f t="shared" si="99"/>
        <v>0</v>
      </c>
      <c r="AR115" s="178">
        <f t="shared" si="99"/>
        <v>0</v>
      </c>
      <c r="AS115" s="179">
        <f t="shared" si="99"/>
        <v>0</v>
      </c>
      <c r="AT115" s="178">
        <f t="shared" si="99"/>
        <v>0</v>
      </c>
      <c r="AU115" s="178">
        <f t="shared" si="99"/>
        <v>0</v>
      </c>
      <c r="AV115" s="178">
        <f t="shared" si="99"/>
        <v>0</v>
      </c>
      <c r="AW115" s="179">
        <f t="shared" si="99"/>
        <v>0</v>
      </c>
      <c r="AX115" s="178">
        <f t="shared" si="101"/>
        <v>0</v>
      </c>
      <c r="AY115" s="178">
        <f t="shared" si="101"/>
        <v>0</v>
      </c>
      <c r="AZ115" s="179">
        <f t="shared" si="101"/>
        <v>0</v>
      </c>
      <c r="BA115" s="184">
        <f t="shared" si="101"/>
        <v>0</v>
      </c>
      <c r="BB115" s="178">
        <f t="shared" si="101"/>
        <v>0</v>
      </c>
      <c r="BC115" s="184">
        <f t="shared" si="101"/>
        <v>0</v>
      </c>
      <c r="BD115" s="178">
        <f t="shared" si="100"/>
        <v>0</v>
      </c>
      <c r="BE115" s="251">
        <f t="shared" si="57"/>
        <v>1</v>
      </c>
      <c r="BF115" s="252">
        <f t="shared" si="98"/>
        <v>2738.69022</v>
      </c>
      <c r="BH115" s="262">
        <f>SUM(AO115)</f>
        <v>0</v>
      </c>
      <c r="BI115" s="262">
        <f>SUM(AP115:AS115)</f>
        <v>2.4648211980000001</v>
      </c>
      <c r="BJ115" s="262">
        <f>SUM(AT115:AW115)</f>
        <v>0</v>
      </c>
      <c r="BK115" s="263">
        <f>SUM(AX115:BB115)</f>
        <v>0</v>
      </c>
      <c r="BL115" s="269">
        <f>SUM(BC115:BD115)</f>
        <v>0</v>
      </c>
      <c r="BM115" s="264">
        <f t="shared" si="55"/>
        <v>2.4648211980000001</v>
      </c>
      <c r="BO115" s="732">
        <f t="shared" si="56"/>
        <v>0.9</v>
      </c>
    </row>
    <row r="116" spans="1:72" ht="15" customHeight="1" x14ac:dyDescent="0.25">
      <c r="B116" s="156">
        <f t="shared" si="102"/>
        <v>19</v>
      </c>
      <c r="C116" s="180" t="s">
        <v>138</v>
      </c>
      <c r="D116" s="181"/>
      <c r="E116" s="210" t="s">
        <v>136</v>
      </c>
      <c r="G116" s="488">
        <f>'Cust Specific'!T320</f>
        <v>0</v>
      </c>
      <c r="H116" s="489">
        <f>'Cust Specific'!T323</f>
        <v>8.9999999999999998E-4</v>
      </c>
      <c r="I116" s="471"/>
      <c r="J116" s="471"/>
      <c r="K116" s="472"/>
      <c r="L116" s="471"/>
      <c r="M116" s="471"/>
      <c r="N116" s="471"/>
      <c r="O116" s="472"/>
      <c r="P116" s="471"/>
      <c r="Q116" s="471"/>
      <c r="R116" s="472"/>
      <c r="S116" s="489">
        <f>'Cust Specific'!T321</f>
        <v>0</v>
      </c>
      <c r="T116" s="494">
        <f>'Cust Specific'!T322</f>
        <v>0</v>
      </c>
      <c r="U116" s="491"/>
      <c r="V116" s="492"/>
      <c r="X116" s="183">
        <f>'Q (t)'!G116</f>
        <v>365</v>
      </c>
      <c r="Y116" s="184">
        <f>'Q (t)'!H116</f>
        <v>9800</v>
      </c>
      <c r="Z116" s="178">
        <f>'Q (t)'!I116</f>
        <v>0</v>
      </c>
      <c r="AA116" s="178">
        <f>'Q (t)'!J116</f>
        <v>0</v>
      </c>
      <c r="AB116" s="179">
        <f>'Q (t)'!K116</f>
        <v>0</v>
      </c>
      <c r="AC116" s="178">
        <f>'Q (t)'!L116</f>
        <v>0</v>
      </c>
      <c r="AD116" s="178">
        <f>'Q (t)'!M116</f>
        <v>0</v>
      </c>
      <c r="AE116" s="178">
        <f>'Q (t)'!N116</f>
        <v>0</v>
      </c>
      <c r="AF116" s="179">
        <f>'Q (t)'!O116</f>
        <v>0</v>
      </c>
      <c r="AG116" s="178">
        <f>'Q (t)'!P116</f>
        <v>0</v>
      </c>
      <c r="AH116" s="178">
        <f>'Q (t)'!Q116</f>
        <v>0</v>
      </c>
      <c r="AI116" s="179">
        <f>'Q (t)'!R116</f>
        <v>0</v>
      </c>
      <c r="AJ116" s="184">
        <f>'Q (t)'!S116</f>
        <v>1414892.2050000001</v>
      </c>
      <c r="AK116" s="178">
        <f>'Q (t)'!T116</f>
        <v>1825000</v>
      </c>
      <c r="AL116" s="184">
        <f>'Q (t)'!U116</f>
        <v>0</v>
      </c>
      <c r="AM116" s="179">
        <f>'Q (t)'!V116</f>
        <v>0</v>
      </c>
      <c r="AO116" s="183">
        <f t="shared" si="51"/>
        <v>0</v>
      </c>
      <c r="AP116" s="184">
        <f t="shared" si="99"/>
        <v>8.82</v>
      </c>
      <c r="AQ116" s="178">
        <f t="shared" si="99"/>
        <v>0</v>
      </c>
      <c r="AR116" s="178">
        <f t="shared" si="99"/>
        <v>0</v>
      </c>
      <c r="AS116" s="179">
        <f t="shared" si="99"/>
        <v>0</v>
      </c>
      <c r="AT116" s="178">
        <f t="shared" si="99"/>
        <v>0</v>
      </c>
      <c r="AU116" s="178">
        <f t="shared" si="99"/>
        <v>0</v>
      </c>
      <c r="AV116" s="178">
        <f t="shared" si="99"/>
        <v>0</v>
      </c>
      <c r="AW116" s="179">
        <f t="shared" si="99"/>
        <v>0</v>
      </c>
      <c r="AX116" s="178">
        <f t="shared" si="101"/>
        <v>0</v>
      </c>
      <c r="AY116" s="178">
        <f t="shared" si="101"/>
        <v>0</v>
      </c>
      <c r="AZ116" s="179">
        <f t="shared" si="101"/>
        <v>0</v>
      </c>
      <c r="BA116" s="184">
        <f t="shared" si="101"/>
        <v>0</v>
      </c>
      <c r="BB116" s="178">
        <f t="shared" si="101"/>
        <v>0</v>
      </c>
      <c r="BC116" s="184">
        <f t="shared" si="101"/>
        <v>0</v>
      </c>
      <c r="BD116" s="178">
        <f t="shared" si="100"/>
        <v>0</v>
      </c>
      <c r="BE116" s="251">
        <f t="shared" si="57"/>
        <v>1</v>
      </c>
      <c r="BF116" s="252">
        <f t="shared" si="98"/>
        <v>9800</v>
      </c>
      <c r="BH116" s="262">
        <f>SUM(AO116)</f>
        <v>0</v>
      </c>
      <c r="BI116" s="262">
        <f>SUM(AP116:AS116)</f>
        <v>8.82</v>
      </c>
      <c r="BJ116" s="262">
        <f>SUM(AT116:AW116)</f>
        <v>0</v>
      </c>
      <c r="BK116" s="263">
        <f>SUM(AX116:BB116)</f>
        <v>0</v>
      </c>
      <c r="BL116" s="269">
        <f>SUM(BC116:BD116)</f>
        <v>0</v>
      </c>
      <c r="BM116" s="264">
        <f t="shared" si="55"/>
        <v>8.82</v>
      </c>
      <c r="BO116" s="732">
        <f t="shared" si="56"/>
        <v>0.9</v>
      </c>
    </row>
    <row r="117" spans="1:72" ht="15" customHeight="1" x14ac:dyDescent="0.25">
      <c r="B117" s="156"/>
      <c r="C117" s="126" t="s">
        <v>139</v>
      </c>
      <c r="D117" s="202"/>
      <c r="E117" s="202"/>
      <c r="G117" s="493"/>
      <c r="H117" s="490"/>
      <c r="I117" s="471"/>
      <c r="J117" s="471"/>
      <c r="K117" s="472"/>
      <c r="L117" s="471"/>
      <c r="M117" s="471"/>
      <c r="N117" s="471"/>
      <c r="O117" s="472"/>
      <c r="P117" s="471"/>
      <c r="Q117" s="471"/>
      <c r="R117" s="472"/>
      <c r="S117" s="490"/>
      <c r="T117" s="471"/>
      <c r="U117" s="490"/>
      <c r="V117" s="472"/>
      <c r="X117" s="183">
        <f>'Q (t)'!G117</f>
        <v>0</v>
      </c>
      <c r="Y117" s="184">
        <f>'Q (t)'!H117</f>
        <v>0</v>
      </c>
      <c r="Z117" s="178">
        <f>'Q (t)'!I117</f>
        <v>0</v>
      </c>
      <c r="AA117" s="178">
        <f>'Q (t)'!J117</f>
        <v>0</v>
      </c>
      <c r="AB117" s="179">
        <f>'Q (t)'!K117</f>
        <v>0</v>
      </c>
      <c r="AC117" s="178">
        <f>'Q (t)'!L117</f>
        <v>0</v>
      </c>
      <c r="AD117" s="178">
        <f>'Q (t)'!M117</f>
        <v>0</v>
      </c>
      <c r="AE117" s="178">
        <f>'Q (t)'!N117</f>
        <v>0</v>
      </c>
      <c r="AF117" s="179">
        <f>'Q (t)'!O117</f>
        <v>0</v>
      </c>
      <c r="AG117" s="178">
        <f>'Q (t)'!P117</f>
        <v>0</v>
      </c>
      <c r="AH117" s="178">
        <f>'Q (t)'!Q117</f>
        <v>0</v>
      </c>
      <c r="AI117" s="179">
        <f>'Q (t)'!R117</f>
        <v>0</v>
      </c>
      <c r="AJ117" s="184">
        <f>'Q (t)'!S117</f>
        <v>0</v>
      </c>
      <c r="AK117" s="178">
        <f>'Q (t)'!T117</f>
        <v>0</v>
      </c>
      <c r="AL117" s="184">
        <f>'Q (t)'!U117</f>
        <v>0</v>
      </c>
      <c r="AM117" s="179">
        <f>'Q (t)'!V117</f>
        <v>0</v>
      </c>
      <c r="AO117" s="183">
        <f t="shared" si="51"/>
        <v>0</v>
      </c>
      <c r="AP117" s="184">
        <f t="shared" si="99"/>
        <v>0</v>
      </c>
      <c r="AQ117" s="178">
        <f t="shared" si="99"/>
        <v>0</v>
      </c>
      <c r="AR117" s="178">
        <f t="shared" si="99"/>
        <v>0</v>
      </c>
      <c r="AS117" s="179">
        <f t="shared" si="99"/>
        <v>0</v>
      </c>
      <c r="AT117" s="178">
        <f t="shared" si="99"/>
        <v>0</v>
      </c>
      <c r="AU117" s="178">
        <f t="shared" si="99"/>
        <v>0</v>
      </c>
      <c r="AV117" s="178">
        <f t="shared" si="99"/>
        <v>0</v>
      </c>
      <c r="AW117" s="179">
        <f t="shared" si="99"/>
        <v>0</v>
      </c>
      <c r="AX117" s="178">
        <f t="shared" si="101"/>
        <v>0</v>
      </c>
      <c r="AY117" s="178">
        <f t="shared" si="101"/>
        <v>0</v>
      </c>
      <c r="AZ117" s="179">
        <f t="shared" si="101"/>
        <v>0</v>
      </c>
      <c r="BA117" s="184">
        <f t="shared" si="101"/>
        <v>0</v>
      </c>
      <c r="BB117" s="178">
        <f t="shared" si="101"/>
        <v>0</v>
      </c>
      <c r="BC117" s="184">
        <f t="shared" si="101"/>
        <v>0</v>
      </c>
      <c r="BD117" s="178">
        <f t="shared" si="100"/>
        <v>0</v>
      </c>
      <c r="BE117" s="251">
        <f t="shared" si="57"/>
        <v>0</v>
      </c>
      <c r="BF117" s="252">
        <f t="shared" si="98"/>
        <v>0</v>
      </c>
      <c r="BH117" s="259">
        <f>SUBTOTAL(9,BH118:BH126)</f>
        <v>0</v>
      </c>
      <c r="BI117" s="259">
        <f t="shared" ref="BI117:BL117" si="103">SUBTOTAL(9,BI118:BI126)</f>
        <v>597.82752558719994</v>
      </c>
      <c r="BJ117" s="259">
        <f t="shared" si="103"/>
        <v>0</v>
      </c>
      <c r="BK117" s="259">
        <f t="shared" si="103"/>
        <v>0</v>
      </c>
      <c r="BL117" s="259">
        <f t="shared" si="103"/>
        <v>0</v>
      </c>
      <c r="BM117" s="264">
        <f t="shared" si="55"/>
        <v>597.82752558719994</v>
      </c>
      <c r="BO117" s="732" t="str">
        <f t="shared" si="56"/>
        <v/>
      </c>
    </row>
    <row r="118" spans="1:72" ht="15" customHeight="1" x14ac:dyDescent="0.25">
      <c r="B118" s="156">
        <f>B116+1</f>
        <v>20</v>
      </c>
      <c r="C118" s="180" t="s">
        <v>140</v>
      </c>
      <c r="D118" s="181"/>
      <c r="E118" s="210" t="s">
        <v>141</v>
      </c>
      <c r="G118" s="488">
        <f>'Cust Specific'!T331</f>
        <v>0</v>
      </c>
      <c r="H118" s="489">
        <f>'Cust Specific'!T334</f>
        <v>8.9999999999999998E-4</v>
      </c>
      <c r="I118" s="471"/>
      <c r="J118" s="471"/>
      <c r="K118" s="472"/>
      <c r="L118" s="471"/>
      <c r="M118" s="471"/>
      <c r="N118" s="471"/>
      <c r="O118" s="472"/>
      <c r="P118" s="471"/>
      <c r="Q118" s="471"/>
      <c r="R118" s="472"/>
      <c r="S118" s="489">
        <f>'Cust Specific'!T332</f>
        <v>0</v>
      </c>
      <c r="T118" s="494">
        <f>'Cust Specific'!T333</f>
        <v>0</v>
      </c>
      <c r="U118" s="491"/>
      <c r="V118" s="492"/>
      <c r="X118" s="183">
        <f>'Q (t)'!G118</f>
        <v>365</v>
      </c>
      <c r="Y118" s="184">
        <f>'Q (t)'!H118</f>
        <v>150000</v>
      </c>
      <c r="Z118" s="178">
        <f>'Q (t)'!I118</f>
        <v>0</v>
      </c>
      <c r="AA118" s="178">
        <f>'Q (t)'!J118</f>
        <v>0</v>
      </c>
      <c r="AB118" s="179">
        <f>'Q (t)'!K118</f>
        <v>0</v>
      </c>
      <c r="AC118" s="178">
        <f>'Q (t)'!L118</f>
        <v>0</v>
      </c>
      <c r="AD118" s="178">
        <f>'Q (t)'!M118</f>
        <v>0</v>
      </c>
      <c r="AE118" s="178">
        <f>'Q (t)'!N118</f>
        <v>0</v>
      </c>
      <c r="AF118" s="179">
        <f>'Q (t)'!O118</f>
        <v>0</v>
      </c>
      <c r="AG118" s="178">
        <f>'Q (t)'!P118</f>
        <v>0</v>
      </c>
      <c r="AH118" s="178">
        <f>'Q (t)'!Q118</f>
        <v>0</v>
      </c>
      <c r="AI118" s="179">
        <f>'Q (t)'!R118</f>
        <v>0</v>
      </c>
      <c r="AJ118" s="184">
        <f>'Q (t)'!S118</f>
        <v>7717962.2299999995</v>
      </c>
      <c r="AK118" s="178">
        <f>'Q (t)'!T118</f>
        <v>8005846.4900000002</v>
      </c>
      <c r="AL118" s="184">
        <f>'Q (t)'!U118</f>
        <v>0</v>
      </c>
      <c r="AM118" s="179">
        <f>'Q (t)'!V118</f>
        <v>0</v>
      </c>
      <c r="AO118" s="183">
        <f t="shared" si="51"/>
        <v>0</v>
      </c>
      <c r="AP118" s="184">
        <f t="shared" si="99"/>
        <v>135</v>
      </c>
      <c r="AQ118" s="178">
        <f t="shared" si="99"/>
        <v>0</v>
      </c>
      <c r="AR118" s="178">
        <f t="shared" si="99"/>
        <v>0</v>
      </c>
      <c r="AS118" s="179">
        <f t="shared" si="99"/>
        <v>0</v>
      </c>
      <c r="AT118" s="178">
        <f t="shared" si="99"/>
        <v>0</v>
      </c>
      <c r="AU118" s="178">
        <f t="shared" si="99"/>
        <v>0</v>
      </c>
      <c r="AV118" s="178">
        <f t="shared" si="99"/>
        <v>0</v>
      </c>
      <c r="AW118" s="179">
        <f t="shared" si="99"/>
        <v>0</v>
      </c>
      <c r="AX118" s="178">
        <f t="shared" si="101"/>
        <v>0</v>
      </c>
      <c r="AY118" s="178">
        <f t="shared" si="101"/>
        <v>0</v>
      </c>
      <c r="AZ118" s="179">
        <f t="shared" si="101"/>
        <v>0</v>
      </c>
      <c r="BA118" s="184">
        <f t="shared" si="101"/>
        <v>0</v>
      </c>
      <c r="BB118" s="178">
        <f t="shared" si="101"/>
        <v>0</v>
      </c>
      <c r="BC118" s="184">
        <f t="shared" si="101"/>
        <v>0</v>
      </c>
      <c r="BD118" s="178">
        <f t="shared" si="100"/>
        <v>0</v>
      </c>
      <c r="BE118" s="251">
        <f t="shared" si="57"/>
        <v>1</v>
      </c>
      <c r="BF118" s="252">
        <f t="shared" si="98"/>
        <v>150000</v>
      </c>
      <c r="BH118" s="262">
        <f t="shared" ref="BH118:BH126" si="104">SUM(AO118)</f>
        <v>0</v>
      </c>
      <c r="BI118" s="262">
        <f t="shared" ref="BI118:BI126" si="105">SUM(AP118:AS118)</f>
        <v>135</v>
      </c>
      <c r="BJ118" s="262">
        <f t="shared" ref="BJ118:BJ126" si="106">SUM(AT118:AW118)</f>
        <v>0</v>
      </c>
      <c r="BK118" s="263">
        <f t="shared" ref="BK118:BK126" si="107">SUM(AX118:BB118)</f>
        <v>0</v>
      </c>
      <c r="BL118" s="269">
        <f t="shared" ref="BL118:BL126" si="108">SUM(BC118:BD118)</f>
        <v>0</v>
      </c>
      <c r="BM118" s="264">
        <f t="shared" si="55"/>
        <v>135</v>
      </c>
      <c r="BO118" s="732">
        <f t="shared" si="56"/>
        <v>0.9</v>
      </c>
    </row>
    <row r="119" spans="1:72" ht="15" customHeight="1" x14ac:dyDescent="0.25">
      <c r="B119" s="156">
        <f t="shared" si="102"/>
        <v>21</v>
      </c>
      <c r="C119" s="180" t="s">
        <v>142</v>
      </c>
      <c r="D119" s="181"/>
      <c r="E119" s="210" t="s">
        <v>141</v>
      </c>
      <c r="G119" s="488">
        <f>'Cust Specific'!T338</f>
        <v>0</v>
      </c>
      <c r="H119" s="489">
        <f>'Cust Specific'!T341</f>
        <v>8.9999999999999998E-4</v>
      </c>
      <c r="I119" s="471"/>
      <c r="J119" s="471"/>
      <c r="K119" s="472"/>
      <c r="L119" s="471"/>
      <c r="M119" s="471"/>
      <c r="N119" s="471"/>
      <c r="O119" s="472"/>
      <c r="P119" s="471"/>
      <c r="Q119" s="471"/>
      <c r="R119" s="472"/>
      <c r="S119" s="489">
        <f>'Cust Specific'!T339</f>
        <v>0</v>
      </c>
      <c r="T119" s="494">
        <f>'Cust Specific'!T340</f>
        <v>0</v>
      </c>
      <c r="U119" s="491"/>
      <c r="V119" s="492"/>
      <c r="X119" s="183">
        <f>'Q (t)'!G119</f>
        <v>365</v>
      </c>
      <c r="Y119" s="184">
        <f>'Q (t)'!H119</f>
        <v>229778.88508499999</v>
      </c>
      <c r="Z119" s="178">
        <f>'Q (t)'!I119</f>
        <v>0</v>
      </c>
      <c r="AA119" s="178">
        <f>'Q (t)'!J119</f>
        <v>0</v>
      </c>
      <c r="AB119" s="179">
        <f>'Q (t)'!K119</f>
        <v>0</v>
      </c>
      <c r="AC119" s="178">
        <f>'Q (t)'!L119</f>
        <v>0</v>
      </c>
      <c r="AD119" s="178">
        <f>'Q (t)'!M119</f>
        <v>0</v>
      </c>
      <c r="AE119" s="178">
        <f>'Q (t)'!N119</f>
        <v>0</v>
      </c>
      <c r="AF119" s="179">
        <f>'Q (t)'!O119</f>
        <v>0</v>
      </c>
      <c r="AG119" s="178">
        <f>'Q (t)'!P119</f>
        <v>0</v>
      </c>
      <c r="AH119" s="178">
        <f>'Q (t)'!Q119</f>
        <v>0</v>
      </c>
      <c r="AI119" s="179">
        <f>'Q (t)'!R119</f>
        <v>0</v>
      </c>
      <c r="AJ119" s="184">
        <f>'Q (t)'!S119</f>
        <v>10220000</v>
      </c>
      <c r="AK119" s="178">
        <f>'Q (t)'!T119</f>
        <v>18207293.905000001</v>
      </c>
      <c r="AL119" s="184">
        <f>'Q (t)'!U119</f>
        <v>0</v>
      </c>
      <c r="AM119" s="179">
        <f>'Q (t)'!V119</f>
        <v>0</v>
      </c>
      <c r="AO119" s="183">
        <f t="shared" si="51"/>
        <v>0</v>
      </c>
      <c r="AP119" s="184">
        <f t="shared" si="99"/>
        <v>206.80099657649998</v>
      </c>
      <c r="AQ119" s="178">
        <f t="shared" si="99"/>
        <v>0</v>
      </c>
      <c r="AR119" s="178">
        <f t="shared" si="99"/>
        <v>0</v>
      </c>
      <c r="AS119" s="179">
        <f t="shared" si="99"/>
        <v>0</v>
      </c>
      <c r="AT119" s="178">
        <f t="shared" si="99"/>
        <v>0</v>
      </c>
      <c r="AU119" s="178">
        <f t="shared" si="99"/>
        <v>0</v>
      </c>
      <c r="AV119" s="178">
        <f t="shared" si="99"/>
        <v>0</v>
      </c>
      <c r="AW119" s="179">
        <f t="shared" si="99"/>
        <v>0</v>
      </c>
      <c r="AX119" s="178">
        <f t="shared" si="101"/>
        <v>0</v>
      </c>
      <c r="AY119" s="178">
        <f t="shared" si="101"/>
        <v>0</v>
      </c>
      <c r="AZ119" s="179">
        <f t="shared" si="101"/>
        <v>0</v>
      </c>
      <c r="BA119" s="184">
        <f t="shared" si="101"/>
        <v>0</v>
      </c>
      <c r="BB119" s="178">
        <f t="shared" si="101"/>
        <v>0</v>
      </c>
      <c r="BC119" s="184">
        <f t="shared" si="101"/>
        <v>0</v>
      </c>
      <c r="BD119" s="178">
        <f t="shared" si="100"/>
        <v>0</v>
      </c>
      <c r="BE119" s="251">
        <f t="shared" si="57"/>
        <v>1</v>
      </c>
      <c r="BF119" s="252">
        <f t="shared" si="98"/>
        <v>229778.88508499999</v>
      </c>
      <c r="BH119" s="262">
        <f t="shared" si="104"/>
        <v>0</v>
      </c>
      <c r="BI119" s="262">
        <f t="shared" si="105"/>
        <v>206.80099657649998</v>
      </c>
      <c r="BJ119" s="262">
        <f t="shared" si="106"/>
        <v>0</v>
      </c>
      <c r="BK119" s="263">
        <f t="shared" si="107"/>
        <v>0</v>
      </c>
      <c r="BL119" s="269">
        <f t="shared" si="108"/>
        <v>0</v>
      </c>
      <c r="BM119" s="264">
        <f t="shared" si="55"/>
        <v>206.80099657649998</v>
      </c>
      <c r="BO119" s="732">
        <f t="shared" si="56"/>
        <v>0.89999999999999991</v>
      </c>
    </row>
    <row r="120" spans="1:72" ht="15" customHeight="1" x14ac:dyDescent="0.25">
      <c r="B120" s="156">
        <f t="shared" si="102"/>
        <v>22</v>
      </c>
      <c r="C120" s="180" t="s">
        <v>143</v>
      </c>
      <c r="D120" s="181"/>
      <c r="E120" s="210" t="s">
        <v>141</v>
      </c>
      <c r="G120" s="488">
        <f>'Cust Specific'!T345</f>
        <v>0</v>
      </c>
      <c r="H120" s="489">
        <f>'Cust Specific'!T348</f>
        <v>8.9999999999999998E-4</v>
      </c>
      <c r="I120" s="471"/>
      <c r="J120" s="471"/>
      <c r="K120" s="472"/>
      <c r="L120" s="471"/>
      <c r="M120" s="471"/>
      <c r="N120" s="471"/>
      <c r="O120" s="472"/>
      <c r="P120" s="471"/>
      <c r="Q120" s="471"/>
      <c r="R120" s="472"/>
      <c r="S120" s="489">
        <f>'Cust Specific'!T346</f>
        <v>0</v>
      </c>
      <c r="T120" s="494">
        <f>'Cust Specific'!T347</f>
        <v>0</v>
      </c>
      <c r="U120" s="491"/>
      <c r="V120" s="492"/>
      <c r="X120" s="183">
        <f>'Q (t)'!G120</f>
        <v>365</v>
      </c>
      <c r="Y120" s="184">
        <f>'Q (t)'!H120</f>
        <v>85000</v>
      </c>
      <c r="Z120" s="178">
        <f>'Q (t)'!I120</f>
        <v>0</v>
      </c>
      <c r="AA120" s="178">
        <f>'Q (t)'!J120</f>
        <v>0</v>
      </c>
      <c r="AB120" s="179">
        <f>'Q (t)'!K120</f>
        <v>0</v>
      </c>
      <c r="AC120" s="178">
        <f>'Q (t)'!L120</f>
        <v>0</v>
      </c>
      <c r="AD120" s="178">
        <f>'Q (t)'!M120</f>
        <v>0</v>
      </c>
      <c r="AE120" s="178">
        <f>'Q (t)'!N120</f>
        <v>0</v>
      </c>
      <c r="AF120" s="179">
        <f>'Q (t)'!O120</f>
        <v>0</v>
      </c>
      <c r="AG120" s="178">
        <f>'Q (t)'!P120</f>
        <v>0</v>
      </c>
      <c r="AH120" s="178">
        <f>'Q (t)'!Q120</f>
        <v>0</v>
      </c>
      <c r="AI120" s="179">
        <f>'Q (t)'!R120</f>
        <v>0</v>
      </c>
      <c r="AJ120" s="184">
        <f>'Q (t)'!S120</f>
        <v>14547318.455</v>
      </c>
      <c r="AK120" s="178">
        <f>'Q (t)'!T120</f>
        <v>15953731.345000001</v>
      </c>
      <c r="AL120" s="184">
        <f>'Q (t)'!U120</f>
        <v>0</v>
      </c>
      <c r="AM120" s="179">
        <f>'Q (t)'!V120</f>
        <v>0</v>
      </c>
      <c r="AO120" s="183">
        <f t="shared" si="51"/>
        <v>0</v>
      </c>
      <c r="AP120" s="184">
        <f t="shared" si="99"/>
        <v>76.5</v>
      </c>
      <c r="AQ120" s="178">
        <f t="shared" si="99"/>
        <v>0</v>
      </c>
      <c r="AR120" s="178">
        <f t="shared" si="99"/>
        <v>0</v>
      </c>
      <c r="AS120" s="179">
        <f t="shared" si="99"/>
        <v>0</v>
      </c>
      <c r="AT120" s="178">
        <f t="shared" si="99"/>
        <v>0</v>
      </c>
      <c r="AU120" s="178">
        <f t="shared" si="99"/>
        <v>0</v>
      </c>
      <c r="AV120" s="178">
        <f t="shared" si="99"/>
        <v>0</v>
      </c>
      <c r="AW120" s="179">
        <f t="shared" si="99"/>
        <v>0</v>
      </c>
      <c r="AX120" s="178">
        <f t="shared" si="101"/>
        <v>0</v>
      </c>
      <c r="AY120" s="178">
        <f t="shared" si="101"/>
        <v>0</v>
      </c>
      <c r="AZ120" s="179">
        <f t="shared" si="101"/>
        <v>0</v>
      </c>
      <c r="BA120" s="184">
        <f t="shared" si="101"/>
        <v>0</v>
      </c>
      <c r="BB120" s="178">
        <f t="shared" si="101"/>
        <v>0</v>
      </c>
      <c r="BC120" s="184">
        <f t="shared" si="101"/>
        <v>0</v>
      </c>
      <c r="BD120" s="178">
        <f t="shared" si="100"/>
        <v>0</v>
      </c>
      <c r="BE120" s="251">
        <f t="shared" si="57"/>
        <v>1</v>
      </c>
      <c r="BF120" s="252">
        <f t="shared" si="98"/>
        <v>85000</v>
      </c>
      <c r="BH120" s="262">
        <f t="shared" si="104"/>
        <v>0</v>
      </c>
      <c r="BI120" s="262">
        <f t="shared" si="105"/>
        <v>76.5</v>
      </c>
      <c r="BJ120" s="262">
        <f t="shared" si="106"/>
        <v>0</v>
      </c>
      <c r="BK120" s="263">
        <f t="shared" si="107"/>
        <v>0</v>
      </c>
      <c r="BL120" s="269">
        <f t="shared" si="108"/>
        <v>0</v>
      </c>
      <c r="BM120" s="264">
        <f t="shared" si="55"/>
        <v>76.5</v>
      </c>
      <c r="BO120" s="732">
        <f t="shared" si="56"/>
        <v>0.9</v>
      </c>
    </row>
    <row r="121" spans="1:72" ht="15" customHeight="1" x14ac:dyDescent="0.25">
      <c r="B121" s="156">
        <f t="shared" si="102"/>
        <v>23</v>
      </c>
      <c r="C121" s="180" t="s">
        <v>144</v>
      </c>
      <c r="D121" s="181"/>
      <c r="E121" s="210" t="s">
        <v>141</v>
      </c>
      <c r="G121" s="488">
        <f>'Cust Specific'!T352</f>
        <v>0</v>
      </c>
      <c r="H121" s="489">
        <f>'Cust Specific'!T355</f>
        <v>8.9999999999999998E-4</v>
      </c>
      <c r="I121" s="471"/>
      <c r="J121" s="471"/>
      <c r="K121" s="472"/>
      <c r="L121" s="471"/>
      <c r="M121" s="471"/>
      <c r="N121" s="471"/>
      <c r="O121" s="472"/>
      <c r="P121" s="471"/>
      <c r="Q121" s="471"/>
      <c r="R121" s="472"/>
      <c r="S121" s="489">
        <f>'Cust Specific'!T353</f>
        <v>0</v>
      </c>
      <c r="T121" s="494">
        <f>'Cust Specific'!T354</f>
        <v>0</v>
      </c>
      <c r="U121" s="491"/>
      <c r="V121" s="492"/>
      <c r="X121" s="183">
        <f>'Q (t)'!G121</f>
        <v>365</v>
      </c>
      <c r="Y121" s="184">
        <f>'Q (t)'!H121</f>
        <v>15061.964</v>
      </c>
      <c r="Z121" s="178">
        <f>'Q (t)'!I121</f>
        <v>0</v>
      </c>
      <c r="AA121" s="178">
        <f>'Q (t)'!J121</f>
        <v>0</v>
      </c>
      <c r="AB121" s="179">
        <f>'Q (t)'!K121</f>
        <v>0</v>
      </c>
      <c r="AC121" s="178">
        <f>'Q (t)'!L121</f>
        <v>0</v>
      </c>
      <c r="AD121" s="178">
        <f>'Q (t)'!M121</f>
        <v>0</v>
      </c>
      <c r="AE121" s="178">
        <f>'Q (t)'!N121</f>
        <v>0</v>
      </c>
      <c r="AF121" s="179">
        <f>'Q (t)'!O121</f>
        <v>0</v>
      </c>
      <c r="AG121" s="178">
        <f>'Q (t)'!P121</f>
        <v>0</v>
      </c>
      <c r="AH121" s="178">
        <f>'Q (t)'!Q121</f>
        <v>0</v>
      </c>
      <c r="AI121" s="179">
        <f>'Q (t)'!R121</f>
        <v>0</v>
      </c>
      <c r="AJ121" s="184">
        <f>'Q (t)'!S121</f>
        <v>1836743.875</v>
      </c>
      <c r="AK121" s="178">
        <f>'Q (t)'!T121</f>
        <v>3650000</v>
      </c>
      <c r="AL121" s="184">
        <f>'Q (t)'!U121</f>
        <v>0</v>
      </c>
      <c r="AM121" s="179">
        <f>'Q (t)'!V121</f>
        <v>0</v>
      </c>
      <c r="AO121" s="183">
        <f t="shared" si="51"/>
        <v>0</v>
      </c>
      <c r="AP121" s="184">
        <f t="shared" si="99"/>
        <v>13.555767599999999</v>
      </c>
      <c r="AQ121" s="178">
        <f t="shared" si="99"/>
        <v>0</v>
      </c>
      <c r="AR121" s="178">
        <f t="shared" si="99"/>
        <v>0</v>
      </c>
      <c r="AS121" s="179">
        <f t="shared" si="99"/>
        <v>0</v>
      </c>
      <c r="AT121" s="178">
        <f t="shared" si="99"/>
        <v>0</v>
      </c>
      <c r="AU121" s="178">
        <f t="shared" si="99"/>
        <v>0</v>
      </c>
      <c r="AV121" s="178">
        <f t="shared" si="99"/>
        <v>0</v>
      </c>
      <c r="AW121" s="179">
        <f t="shared" si="99"/>
        <v>0</v>
      </c>
      <c r="AX121" s="178">
        <f t="shared" si="101"/>
        <v>0</v>
      </c>
      <c r="AY121" s="178">
        <f t="shared" si="101"/>
        <v>0</v>
      </c>
      <c r="AZ121" s="179">
        <f t="shared" si="101"/>
        <v>0</v>
      </c>
      <c r="BA121" s="184">
        <f t="shared" si="101"/>
        <v>0</v>
      </c>
      <c r="BB121" s="178">
        <f t="shared" si="101"/>
        <v>0</v>
      </c>
      <c r="BC121" s="184">
        <f t="shared" si="101"/>
        <v>0</v>
      </c>
      <c r="BD121" s="178">
        <f t="shared" si="100"/>
        <v>0</v>
      </c>
      <c r="BE121" s="251">
        <f t="shared" si="57"/>
        <v>1</v>
      </c>
      <c r="BF121" s="252">
        <f t="shared" si="98"/>
        <v>15061.964</v>
      </c>
      <c r="BH121" s="262">
        <f t="shared" si="104"/>
        <v>0</v>
      </c>
      <c r="BI121" s="262">
        <f t="shared" si="105"/>
        <v>13.555767599999999</v>
      </c>
      <c r="BJ121" s="262">
        <f t="shared" si="106"/>
        <v>0</v>
      </c>
      <c r="BK121" s="263">
        <f t="shared" si="107"/>
        <v>0</v>
      </c>
      <c r="BL121" s="269">
        <f t="shared" si="108"/>
        <v>0</v>
      </c>
      <c r="BM121" s="264">
        <f t="shared" si="55"/>
        <v>13.555767599999999</v>
      </c>
      <c r="BO121" s="732">
        <f t="shared" si="56"/>
        <v>0.89999999999999991</v>
      </c>
    </row>
    <row r="122" spans="1:72" ht="15" customHeight="1" x14ac:dyDescent="0.25">
      <c r="B122" s="156">
        <f t="shared" si="102"/>
        <v>24</v>
      </c>
      <c r="C122" s="180" t="s">
        <v>145</v>
      </c>
      <c r="D122" s="181"/>
      <c r="E122" s="210" t="s">
        <v>141</v>
      </c>
      <c r="G122" s="488">
        <f>'Cust Specific'!T359</f>
        <v>0</v>
      </c>
      <c r="H122" s="489">
        <f>'Cust Specific'!T362</f>
        <v>8.9999999999999998E-4</v>
      </c>
      <c r="I122" s="471"/>
      <c r="J122" s="471"/>
      <c r="K122" s="472"/>
      <c r="L122" s="471"/>
      <c r="M122" s="471"/>
      <c r="N122" s="471"/>
      <c r="O122" s="472"/>
      <c r="P122" s="471"/>
      <c r="Q122" s="471"/>
      <c r="R122" s="472"/>
      <c r="S122" s="489">
        <f>'Cust Specific'!T360</f>
        <v>0</v>
      </c>
      <c r="T122" s="494">
        <f>'Cust Specific'!T361</f>
        <v>0</v>
      </c>
      <c r="U122" s="491"/>
      <c r="V122" s="492"/>
      <c r="X122" s="183">
        <f>'Q (t)'!G122</f>
        <v>365</v>
      </c>
      <c r="Y122" s="184">
        <f>'Q (t)'!H122</f>
        <v>90658.642500000002</v>
      </c>
      <c r="Z122" s="178">
        <f>'Q (t)'!I122</f>
        <v>0</v>
      </c>
      <c r="AA122" s="178">
        <f>'Q (t)'!J122</f>
        <v>0</v>
      </c>
      <c r="AB122" s="179">
        <f>'Q (t)'!K122</f>
        <v>0</v>
      </c>
      <c r="AC122" s="178">
        <f>'Q (t)'!L122</f>
        <v>0</v>
      </c>
      <c r="AD122" s="178">
        <f>'Q (t)'!M122</f>
        <v>0</v>
      </c>
      <c r="AE122" s="178">
        <f>'Q (t)'!N122</f>
        <v>0</v>
      </c>
      <c r="AF122" s="179">
        <f>'Q (t)'!O122</f>
        <v>0</v>
      </c>
      <c r="AG122" s="178">
        <f>'Q (t)'!P122</f>
        <v>0</v>
      </c>
      <c r="AH122" s="178">
        <f>'Q (t)'!Q122</f>
        <v>0</v>
      </c>
      <c r="AI122" s="179">
        <f>'Q (t)'!R122</f>
        <v>0</v>
      </c>
      <c r="AJ122" s="184">
        <f>'Q (t)'!S122</f>
        <v>4013540</v>
      </c>
      <c r="AK122" s="178">
        <f>'Q (t)'!T122</f>
        <v>5960337.9449999994</v>
      </c>
      <c r="AL122" s="184">
        <f>'Q (t)'!U122</f>
        <v>0</v>
      </c>
      <c r="AM122" s="179">
        <f>'Q (t)'!V122</f>
        <v>0</v>
      </c>
      <c r="AO122" s="183">
        <f t="shared" si="51"/>
        <v>0</v>
      </c>
      <c r="AP122" s="184">
        <f t="shared" si="99"/>
        <v>81.592778249999995</v>
      </c>
      <c r="AQ122" s="178">
        <f t="shared" si="99"/>
        <v>0</v>
      </c>
      <c r="AR122" s="178">
        <f t="shared" si="99"/>
        <v>0</v>
      </c>
      <c r="AS122" s="179">
        <f t="shared" si="99"/>
        <v>0</v>
      </c>
      <c r="AT122" s="178">
        <f t="shared" si="99"/>
        <v>0</v>
      </c>
      <c r="AU122" s="178">
        <f t="shared" si="99"/>
        <v>0</v>
      </c>
      <c r="AV122" s="178">
        <f t="shared" si="99"/>
        <v>0</v>
      </c>
      <c r="AW122" s="179">
        <f t="shared" si="99"/>
        <v>0</v>
      </c>
      <c r="AX122" s="178">
        <f t="shared" si="101"/>
        <v>0</v>
      </c>
      <c r="AY122" s="178">
        <f t="shared" si="101"/>
        <v>0</v>
      </c>
      <c r="AZ122" s="179">
        <f t="shared" si="101"/>
        <v>0</v>
      </c>
      <c r="BA122" s="184">
        <f t="shared" si="101"/>
        <v>0</v>
      </c>
      <c r="BB122" s="178">
        <f t="shared" si="101"/>
        <v>0</v>
      </c>
      <c r="BC122" s="184">
        <f t="shared" si="101"/>
        <v>0</v>
      </c>
      <c r="BD122" s="178">
        <f t="shared" si="100"/>
        <v>0</v>
      </c>
      <c r="BE122" s="251">
        <f t="shared" si="57"/>
        <v>1</v>
      </c>
      <c r="BF122" s="252">
        <f t="shared" si="98"/>
        <v>90658.642500000002</v>
      </c>
      <c r="BH122" s="262">
        <f t="shared" si="104"/>
        <v>0</v>
      </c>
      <c r="BI122" s="262">
        <f t="shared" si="105"/>
        <v>81.592778249999995</v>
      </c>
      <c r="BJ122" s="262">
        <f t="shared" si="106"/>
        <v>0</v>
      </c>
      <c r="BK122" s="263">
        <f t="shared" si="107"/>
        <v>0</v>
      </c>
      <c r="BL122" s="269">
        <f t="shared" si="108"/>
        <v>0</v>
      </c>
      <c r="BM122" s="264">
        <f t="shared" si="55"/>
        <v>81.592778249999995</v>
      </c>
      <c r="BO122" s="732">
        <f t="shared" si="56"/>
        <v>0.8999999999999998</v>
      </c>
    </row>
    <row r="123" spans="1:72" ht="15" customHeight="1" x14ac:dyDescent="0.25">
      <c r="B123" s="156">
        <f t="shared" si="102"/>
        <v>25</v>
      </c>
      <c r="C123" s="180" t="s">
        <v>146</v>
      </c>
      <c r="D123" s="181"/>
      <c r="E123" s="210" t="s">
        <v>141</v>
      </c>
      <c r="G123" s="488">
        <f>'Cust Specific'!T366</f>
        <v>0</v>
      </c>
      <c r="H123" s="489">
        <f>'Cust Specific'!T369</f>
        <v>8.9999999999999998E-4</v>
      </c>
      <c r="I123" s="471"/>
      <c r="J123" s="471"/>
      <c r="K123" s="472"/>
      <c r="L123" s="471"/>
      <c r="M123" s="471"/>
      <c r="N123" s="471"/>
      <c r="O123" s="472"/>
      <c r="P123" s="471"/>
      <c r="Q123" s="471"/>
      <c r="R123" s="472"/>
      <c r="S123" s="489">
        <f>'Cust Specific'!T367</f>
        <v>0</v>
      </c>
      <c r="T123" s="494">
        <f>'Cust Specific'!T368</f>
        <v>0</v>
      </c>
      <c r="U123" s="491"/>
      <c r="V123" s="492"/>
      <c r="X123" s="183">
        <f>'Q (t)'!G123</f>
        <v>365</v>
      </c>
      <c r="Y123" s="184">
        <f>'Q (t)'!H123</f>
        <v>31008.333723000003</v>
      </c>
      <c r="Z123" s="178">
        <f>'Q (t)'!I123</f>
        <v>0</v>
      </c>
      <c r="AA123" s="178">
        <f>'Q (t)'!J123</f>
        <v>0</v>
      </c>
      <c r="AB123" s="179">
        <f>'Q (t)'!K123</f>
        <v>0</v>
      </c>
      <c r="AC123" s="178">
        <f>'Q (t)'!L123</f>
        <v>0</v>
      </c>
      <c r="AD123" s="178">
        <f>'Q (t)'!M123</f>
        <v>0</v>
      </c>
      <c r="AE123" s="178">
        <f>'Q (t)'!N123</f>
        <v>0</v>
      </c>
      <c r="AF123" s="179">
        <f>'Q (t)'!O123</f>
        <v>0</v>
      </c>
      <c r="AG123" s="178">
        <f>'Q (t)'!P123</f>
        <v>0</v>
      </c>
      <c r="AH123" s="178">
        <f>'Q (t)'!Q123</f>
        <v>0</v>
      </c>
      <c r="AI123" s="179">
        <f>'Q (t)'!R123</f>
        <v>0</v>
      </c>
      <c r="AJ123" s="184">
        <f>'Q (t)'!S123</f>
        <v>3680831.55</v>
      </c>
      <c r="AK123" s="178">
        <f>'Q (t)'!T123</f>
        <v>3702753.8150000004</v>
      </c>
      <c r="AL123" s="184">
        <f>'Q (t)'!U123</f>
        <v>0</v>
      </c>
      <c r="AM123" s="179">
        <f>'Q (t)'!V123</f>
        <v>0</v>
      </c>
      <c r="AO123" s="183">
        <f t="shared" si="51"/>
        <v>0</v>
      </c>
      <c r="AP123" s="184">
        <f t="shared" si="99"/>
        <v>27.907500350700001</v>
      </c>
      <c r="AQ123" s="178">
        <f t="shared" si="99"/>
        <v>0</v>
      </c>
      <c r="AR123" s="178">
        <f t="shared" si="99"/>
        <v>0</v>
      </c>
      <c r="AS123" s="179">
        <f t="shared" si="99"/>
        <v>0</v>
      </c>
      <c r="AT123" s="178">
        <f t="shared" si="99"/>
        <v>0</v>
      </c>
      <c r="AU123" s="178">
        <f t="shared" si="99"/>
        <v>0</v>
      </c>
      <c r="AV123" s="178">
        <f t="shared" si="99"/>
        <v>0</v>
      </c>
      <c r="AW123" s="179">
        <f t="shared" si="99"/>
        <v>0</v>
      </c>
      <c r="AX123" s="178">
        <f t="shared" si="101"/>
        <v>0</v>
      </c>
      <c r="AY123" s="178">
        <f t="shared" si="101"/>
        <v>0</v>
      </c>
      <c r="AZ123" s="179">
        <f t="shared" si="101"/>
        <v>0</v>
      </c>
      <c r="BA123" s="184">
        <f t="shared" si="101"/>
        <v>0</v>
      </c>
      <c r="BB123" s="178">
        <f t="shared" si="101"/>
        <v>0</v>
      </c>
      <c r="BC123" s="184">
        <f t="shared" si="101"/>
        <v>0</v>
      </c>
      <c r="BD123" s="178">
        <f t="shared" si="100"/>
        <v>0</v>
      </c>
      <c r="BE123" s="251">
        <f t="shared" si="57"/>
        <v>1</v>
      </c>
      <c r="BF123" s="252">
        <f t="shared" si="98"/>
        <v>31008.333723000003</v>
      </c>
      <c r="BH123" s="262">
        <f t="shared" si="104"/>
        <v>0</v>
      </c>
      <c r="BI123" s="262">
        <f t="shared" si="105"/>
        <v>27.907500350700001</v>
      </c>
      <c r="BJ123" s="262">
        <f t="shared" si="106"/>
        <v>0</v>
      </c>
      <c r="BK123" s="263">
        <f t="shared" si="107"/>
        <v>0</v>
      </c>
      <c r="BL123" s="269">
        <f t="shared" si="108"/>
        <v>0</v>
      </c>
      <c r="BM123" s="264">
        <f t="shared" si="55"/>
        <v>27.907500350700001</v>
      </c>
      <c r="BO123" s="732">
        <f t="shared" si="56"/>
        <v>0.89999999999999991</v>
      </c>
    </row>
    <row r="124" spans="1:72" ht="15" customHeight="1" x14ac:dyDescent="0.25">
      <c r="B124" s="156">
        <f t="shared" si="102"/>
        <v>26</v>
      </c>
      <c r="C124" s="180" t="s">
        <v>147</v>
      </c>
      <c r="D124" s="181"/>
      <c r="E124" s="210" t="s">
        <v>141</v>
      </c>
      <c r="G124" s="488">
        <f>'Cust Specific'!T373</f>
        <v>0</v>
      </c>
      <c r="H124" s="489">
        <f>'Cust Specific'!T376</f>
        <v>8.9999999999999998E-4</v>
      </c>
      <c r="I124" s="471"/>
      <c r="J124" s="471"/>
      <c r="K124" s="472"/>
      <c r="L124" s="471"/>
      <c r="M124" s="471"/>
      <c r="N124" s="471"/>
      <c r="O124" s="472"/>
      <c r="P124" s="471"/>
      <c r="Q124" s="471"/>
      <c r="R124" s="472"/>
      <c r="S124" s="489">
        <f>'Cust Specific'!T374</f>
        <v>0</v>
      </c>
      <c r="T124" s="494">
        <f>'Cust Specific'!T375</f>
        <v>0</v>
      </c>
      <c r="U124" s="491"/>
      <c r="V124" s="492"/>
      <c r="X124" s="183">
        <f>'Q (t)'!G124</f>
        <v>365</v>
      </c>
      <c r="Y124" s="184">
        <f>'Q (t)'!H124</f>
        <v>17329.286500000002</v>
      </c>
      <c r="Z124" s="178">
        <f>'Q (t)'!I124</f>
        <v>0</v>
      </c>
      <c r="AA124" s="178">
        <f>'Q (t)'!J124</f>
        <v>0</v>
      </c>
      <c r="AB124" s="179">
        <f>'Q (t)'!K124</f>
        <v>0</v>
      </c>
      <c r="AC124" s="178">
        <f>'Q (t)'!L124</f>
        <v>0</v>
      </c>
      <c r="AD124" s="178">
        <f>'Q (t)'!M124</f>
        <v>0</v>
      </c>
      <c r="AE124" s="178">
        <f>'Q (t)'!N124</f>
        <v>0</v>
      </c>
      <c r="AF124" s="179">
        <f>'Q (t)'!O124</f>
        <v>0</v>
      </c>
      <c r="AG124" s="178">
        <f>'Q (t)'!P124</f>
        <v>0</v>
      </c>
      <c r="AH124" s="178">
        <f>'Q (t)'!Q124</f>
        <v>0</v>
      </c>
      <c r="AI124" s="179">
        <f>'Q (t)'!R124</f>
        <v>0</v>
      </c>
      <c r="AJ124" s="184">
        <f>'Q (t)'!S124</f>
        <v>2555000</v>
      </c>
      <c r="AK124" s="178">
        <f>'Q (t)'!T124</f>
        <v>9330396.8149999995</v>
      </c>
      <c r="AL124" s="184">
        <f>'Q (t)'!U124</f>
        <v>0</v>
      </c>
      <c r="AM124" s="179">
        <f>'Q (t)'!V124</f>
        <v>0</v>
      </c>
      <c r="AO124" s="183">
        <f t="shared" si="51"/>
        <v>0</v>
      </c>
      <c r="AP124" s="184">
        <f t="shared" si="99"/>
        <v>15.596357850000002</v>
      </c>
      <c r="AQ124" s="178">
        <f t="shared" si="99"/>
        <v>0</v>
      </c>
      <c r="AR124" s="178">
        <f t="shared" si="99"/>
        <v>0</v>
      </c>
      <c r="AS124" s="179">
        <f t="shared" si="99"/>
        <v>0</v>
      </c>
      <c r="AT124" s="178">
        <f t="shared" si="99"/>
        <v>0</v>
      </c>
      <c r="AU124" s="178">
        <f t="shared" si="99"/>
        <v>0</v>
      </c>
      <c r="AV124" s="178">
        <f t="shared" si="99"/>
        <v>0</v>
      </c>
      <c r="AW124" s="179">
        <f t="shared" si="99"/>
        <v>0</v>
      </c>
      <c r="AX124" s="178">
        <f t="shared" si="101"/>
        <v>0</v>
      </c>
      <c r="AY124" s="178">
        <f t="shared" si="101"/>
        <v>0</v>
      </c>
      <c r="AZ124" s="179">
        <f t="shared" si="101"/>
        <v>0</v>
      </c>
      <c r="BA124" s="184">
        <f t="shared" si="101"/>
        <v>0</v>
      </c>
      <c r="BB124" s="178">
        <f t="shared" si="101"/>
        <v>0</v>
      </c>
      <c r="BC124" s="184">
        <f t="shared" si="101"/>
        <v>0</v>
      </c>
      <c r="BD124" s="178">
        <f t="shared" si="100"/>
        <v>0</v>
      </c>
      <c r="BE124" s="251">
        <f t="shared" si="57"/>
        <v>1</v>
      </c>
      <c r="BF124" s="252">
        <f t="shared" si="98"/>
        <v>17329.286500000002</v>
      </c>
      <c r="BH124" s="262">
        <f t="shared" si="104"/>
        <v>0</v>
      </c>
      <c r="BI124" s="262">
        <f t="shared" si="105"/>
        <v>15.596357850000002</v>
      </c>
      <c r="BJ124" s="262">
        <f t="shared" si="106"/>
        <v>0</v>
      </c>
      <c r="BK124" s="263">
        <f t="shared" si="107"/>
        <v>0</v>
      </c>
      <c r="BL124" s="269">
        <f t="shared" si="108"/>
        <v>0</v>
      </c>
      <c r="BM124" s="264">
        <f t="shared" si="55"/>
        <v>15.596357850000002</v>
      </c>
      <c r="BO124" s="732">
        <f t="shared" si="56"/>
        <v>0.9</v>
      </c>
    </row>
    <row r="125" spans="1:72" ht="15" customHeight="1" x14ac:dyDescent="0.25">
      <c r="B125" s="156">
        <f t="shared" si="102"/>
        <v>27</v>
      </c>
      <c r="C125" s="180" t="s">
        <v>148</v>
      </c>
      <c r="D125" s="181"/>
      <c r="E125" s="210" t="s">
        <v>141</v>
      </c>
      <c r="G125" s="488">
        <f>'Cust Specific'!T380</f>
        <v>0</v>
      </c>
      <c r="H125" s="489">
        <f>'Cust Specific'!T383</f>
        <v>8.9999999999999998E-4</v>
      </c>
      <c r="I125" s="471"/>
      <c r="J125" s="471"/>
      <c r="K125" s="472"/>
      <c r="L125" s="471"/>
      <c r="M125" s="471"/>
      <c r="N125" s="471"/>
      <c r="O125" s="472"/>
      <c r="P125" s="471"/>
      <c r="Q125" s="471"/>
      <c r="R125" s="472"/>
      <c r="S125" s="489">
        <f>'Cust Specific'!T381</f>
        <v>0</v>
      </c>
      <c r="T125" s="494">
        <f>'Cust Specific'!T382</f>
        <v>0</v>
      </c>
      <c r="U125" s="491"/>
      <c r="V125" s="492"/>
      <c r="X125" s="183">
        <f>'Q (t)'!G125</f>
        <v>365</v>
      </c>
      <c r="Y125" s="184">
        <f>'Q (t)'!H125</f>
        <v>33415.6944</v>
      </c>
      <c r="Z125" s="178">
        <f>'Q (t)'!I125</f>
        <v>0</v>
      </c>
      <c r="AA125" s="178">
        <f>'Q (t)'!J125</f>
        <v>0</v>
      </c>
      <c r="AB125" s="179">
        <f>'Q (t)'!K125</f>
        <v>0</v>
      </c>
      <c r="AC125" s="178">
        <f>'Q (t)'!L125</f>
        <v>0</v>
      </c>
      <c r="AD125" s="178">
        <f>'Q (t)'!M125</f>
        <v>0</v>
      </c>
      <c r="AE125" s="178">
        <f>'Q (t)'!N125</f>
        <v>0</v>
      </c>
      <c r="AF125" s="179">
        <f>'Q (t)'!O125</f>
        <v>0</v>
      </c>
      <c r="AG125" s="178">
        <f>'Q (t)'!P125</f>
        <v>0</v>
      </c>
      <c r="AH125" s="178">
        <f>'Q (t)'!Q125</f>
        <v>0</v>
      </c>
      <c r="AI125" s="179">
        <f>'Q (t)'!R125</f>
        <v>0</v>
      </c>
      <c r="AJ125" s="184">
        <f>'Q (t)'!S125</f>
        <v>3308941.4450000003</v>
      </c>
      <c r="AK125" s="178">
        <f>'Q (t)'!T125</f>
        <v>3317635.38</v>
      </c>
      <c r="AL125" s="184">
        <f>'Q (t)'!U125</f>
        <v>0</v>
      </c>
      <c r="AM125" s="179">
        <f>'Q (t)'!V125</f>
        <v>0</v>
      </c>
      <c r="AO125" s="183">
        <f t="shared" si="51"/>
        <v>0</v>
      </c>
      <c r="AP125" s="184">
        <f t="shared" ref="AP125:AW126" si="109">H125*Y125</f>
        <v>30.074124959999999</v>
      </c>
      <c r="AQ125" s="178">
        <f t="shared" si="109"/>
        <v>0</v>
      </c>
      <c r="AR125" s="178">
        <f t="shared" si="109"/>
        <v>0</v>
      </c>
      <c r="AS125" s="179">
        <f t="shared" si="109"/>
        <v>0</v>
      </c>
      <c r="AT125" s="178">
        <f t="shared" si="109"/>
        <v>0</v>
      </c>
      <c r="AU125" s="178">
        <f t="shared" si="109"/>
        <v>0</v>
      </c>
      <c r="AV125" s="178">
        <f t="shared" si="109"/>
        <v>0</v>
      </c>
      <c r="AW125" s="179">
        <f t="shared" si="109"/>
        <v>0</v>
      </c>
      <c r="AX125" s="178">
        <f t="shared" si="101"/>
        <v>0</v>
      </c>
      <c r="AY125" s="178">
        <f t="shared" si="101"/>
        <v>0</v>
      </c>
      <c r="AZ125" s="179">
        <f t="shared" si="101"/>
        <v>0</v>
      </c>
      <c r="BA125" s="184">
        <f t="shared" si="101"/>
        <v>0</v>
      </c>
      <c r="BB125" s="178">
        <f t="shared" si="101"/>
        <v>0</v>
      </c>
      <c r="BC125" s="184">
        <f t="shared" si="101"/>
        <v>0</v>
      </c>
      <c r="BD125" s="178">
        <f t="shared" si="100"/>
        <v>0</v>
      </c>
      <c r="BE125" s="251">
        <f t="shared" si="57"/>
        <v>1</v>
      </c>
      <c r="BF125" s="252">
        <f t="shared" si="98"/>
        <v>33415.6944</v>
      </c>
      <c r="BH125" s="262">
        <f t="shared" si="104"/>
        <v>0</v>
      </c>
      <c r="BI125" s="262">
        <f t="shared" si="105"/>
        <v>30.074124959999999</v>
      </c>
      <c r="BJ125" s="262">
        <f t="shared" si="106"/>
        <v>0</v>
      </c>
      <c r="BK125" s="263">
        <f t="shared" si="107"/>
        <v>0</v>
      </c>
      <c r="BL125" s="269">
        <f t="shared" si="108"/>
        <v>0</v>
      </c>
      <c r="BM125" s="264">
        <f t="shared" si="55"/>
        <v>30.074124959999999</v>
      </c>
      <c r="BO125" s="732">
        <f t="shared" si="56"/>
        <v>0.89999999999999991</v>
      </c>
    </row>
    <row r="126" spans="1:72" ht="15" customHeight="1" x14ac:dyDescent="0.25">
      <c r="A126" s="220"/>
      <c r="B126" s="162">
        <f t="shared" si="102"/>
        <v>28</v>
      </c>
      <c r="C126" s="187" t="s">
        <v>149</v>
      </c>
      <c r="D126" s="188"/>
      <c r="E126" s="221" t="s">
        <v>141</v>
      </c>
      <c r="G126" s="496">
        <f>'Cust Specific'!T387</f>
        <v>0</v>
      </c>
      <c r="H126" s="497">
        <f>'Cust Specific'!T390</f>
        <v>8.9999999999999998E-4</v>
      </c>
      <c r="I126" s="498"/>
      <c r="J126" s="498"/>
      <c r="K126" s="499"/>
      <c r="L126" s="498"/>
      <c r="M126" s="498"/>
      <c r="N126" s="498"/>
      <c r="O126" s="499"/>
      <c r="P126" s="498"/>
      <c r="Q126" s="498"/>
      <c r="R126" s="499"/>
      <c r="S126" s="497">
        <f>'Cust Specific'!T388</f>
        <v>0</v>
      </c>
      <c r="T126" s="500">
        <f>'Cust Specific'!T389</f>
        <v>0</v>
      </c>
      <c r="U126" s="503"/>
      <c r="V126" s="504"/>
      <c r="X126" s="190">
        <f>'Q (t)'!G126</f>
        <v>365</v>
      </c>
      <c r="Y126" s="197">
        <f>'Q (t)'!H126</f>
        <v>12000</v>
      </c>
      <c r="Z126" s="192">
        <f>'Q (t)'!I126</f>
        <v>0</v>
      </c>
      <c r="AA126" s="192">
        <f>'Q (t)'!J126</f>
        <v>0</v>
      </c>
      <c r="AB126" s="193">
        <f>'Q (t)'!K126</f>
        <v>0</v>
      </c>
      <c r="AC126" s="192">
        <f>'Q (t)'!L126</f>
        <v>0</v>
      </c>
      <c r="AD126" s="192">
        <f>'Q (t)'!M126</f>
        <v>0</v>
      </c>
      <c r="AE126" s="192">
        <f>'Q (t)'!N126</f>
        <v>0</v>
      </c>
      <c r="AF126" s="193">
        <f>'Q (t)'!O126</f>
        <v>0</v>
      </c>
      <c r="AG126" s="192">
        <f>'Q (t)'!P126</f>
        <v>0</v>
      </c>
      <c r="AH126" s="192">
        <f>'Q (t)'!Q126</f>
        <v>0</v>
      </c>
      <c r="AI126" s="193">
        <f>'Q (t)'!R126</f>
        <v>0</v>
      </c>
      <c r="AJ126" s="197">
        <f>'Q (t)'!S126</f>
        <v>2015820.54</v>
      </c>
      <c r="AK126" s="192">
        <f>'Q (t)'!T126</f>
        <v>2331851.0449999999</v>
      </c>
      <c r="AL126" s="197">
        <f>'Q (t)'!U126</f>
        <v>0</v>
      </c>
      <c r="AM126" s="193">
        <f>'Q (t)'!V126</f>
        <v>0</v>
      </c>
      <c r="AO126" s="190">
        <f t="shared" si="51"/>
        <v>0</v>
      </c>
      <c r="AP126" s="197">
        <f t="shared" si="109"/>
        <v>10.799999999999999</v>
      </c>
      <c r="AQ126" s="192">
        <f t="shared" si="109"/>
        <v>0</v>
      </c>
      <c r="AR126" s="192">
        <f t="shared" si="109"/>
        <v>0</v>
      </c>
      <c r="AS126" s="193">
        <f t="shared" si="109"/>
        <v>0</v>
      </c>
      <c r="AT126" s="192">
        <f t="shared" si="109"/>
        <v>0</v>
      </c>
      <c r="AU126" s="192">
        <f t="shared" si="109"/>
        <v>0</v>
      </c>
      <c r="AV126" s="192">
        <f t="shared" si="109"/>
        <v>0</v>
      </c>
      <c r="AW126" s="193">
        <f t="shared" si="109"/>
        <v>0</v>
      </c>
      <c r="AX126" s="192">
        <f t="shared" si="101"/>
        <v>0</v>
      </c>
      <c r="AY126" s="192">
        <f t="shared" si="101"/>
        <v>0</v>
      </c>
      <c r="AZ126" s="193">
        <f t="shared" si="101"/>
        <v>0</v>
      </c>
      <c r="BA126" s="197">
        <f t="shared" si="101"/>
        <v>0</v>
      </c>
      <c r="BB126" s="192">
        <f t="shared" si="101"/>
        <v>0</v>
      </c>
      <c r="BC126" s="197">
        <f t="shared" si="101"/>
        <v>0</v>
      </c>
      <c r="BD126" s="193">
        <f t="shared" si="100"/>
        <v>0</v>
      </c>
      <c r="BE126" s="253">
        <f t="shared" si="57"/>
        <v>1</v>
      </c>
      <c r="BF126" s="254">
        <f t="shared" si="98"/>
        <v>12000</v>
      </c>
      <c r="BH126" s="265">
        <f t="shared" si="104"/>
        <v>0</v>
      </c>
      <c r="BI126" s="265">
        <f t="shared" si="105"/>
        <v>10.799999999999999</v>
      </c>
      <c r="BJ126" s="265">
        <f t="shared" si="106"/>
        <v>0</v>
      </c>
      <c r="BK126" s="266">
        <f t="shared" si="107"/>
        <v>0</v>
      </c>
      <c r="BL126" s="270">
        <f t="shared" si="108"/>
        <v>0</v>
      </c>
      <c r="BM126" s="271">
        <f t="shared" si="55"/>
        <v>10.799999999999999</v>
      </c>
      <c r="BO126" s="732">
        <f t="shared" si="56"/>
        <v>0.8999999999999998</v>
      </c>
    </row>
    <row r="127" spans="1:72" x14ac:dyDescent="0.25">
      <c r="BE127" s="255"/>
      <c r="BF127" s="256"/>
    </row>
    <row r="128" spans="1:72" x14ac:dyDescent="0.25">
      <c r="C128" s="223" t="s">
        <v>150</v>
      </c>
      <c r="D128" s="224"/>
      <c r="E128" s="224"/>
      <c r="G128" s="224"/>
      <c r="H128" s="224"/>
      <c r="I128" s="224"/>
      <c r="J128" s="224"/>
      <c r="K128" s="224"/>
      <c r="L128" s="224"/>
      <c r="M128" s="224"/>
      <c r="N128" s="224"/>
      <c r="O128" s="224"/>
      <c r="P128" s="224"/>
      <c r="Q128" s="224"/>
      <c r="R128" s="224"/>
      <c r="S128" s="224"/>
      <c r="T128" s="224"/>
      <c r="U128" s="224"/>
      <c r="V128" s="224"/>
      <c r="X128" s="225">
        <f t="shared" ref="X128:AM128" si="110">SUM(X16:X25)</f>
        <v>291420380</v>
      </c>
      <c r="Y128" s="225">
        <f t="shared" si="110"/>
        <v>2657800</v>
      </c>
      <c r="Z128" s="225">
        <f t="shared" si="110"/>
        <v>354400</v>
      </c>
      <c r="AA128" s="225">
        <f t="shared" si="110"/>
        <v>69400</v>
      </c>
      <c r="AB128" s="225">
        <f t="shared" si="110"/>
        <v>105400</v>
      </c>
      <c r="AC128" s="225">
        <f t="shared" si="110"/>
        <v>361600</v>
      </c>
      <c r="AD128" s="225">
        <f t="shared" si="110"/>
        <v>0</v>
      </c>
      <c r="AE128" s="225">
        <f t="shared" si="110"/>
        <v>87500</v>
      </c>
      <c r="AF128" s="225">
        <f t="shared" si="110"/>
        <v>21900</v>
      </c>
      <c r="AG128" s="225">
        <f t="shared" si="110"/>
        <v>0</v>
      </c>
      <c r="AH128" s="225">
        <f t="shared" si="110"/>
        <v>0</v>
      </c>
      <c r="AI128" s="225">
        <f t="shared" si="110"/>
        <v>0</v>
      </c>
      <c r="AJ128" s="225">
        <f t="shared" si="110"/>
        <v>0</v>
      </c>
      <c r="AK128" s="225">
        <f t="shared" si="110"/>
        <v>0</v>
      </c>
      <c r="AL128" s="225">
        <f t="shared" si="110"/>
        <v>1752000</v>
      </c>
      <c r="AM128" s="225">
        <f t="shared" si="110"/>
        <v>0</v>
      </c>
      <c r="AO128" s="225">
        <f t="shared" ref="AO128:BD128" si="111">SUM(AO16:AO25)</f>
        <v>11977.377617999999</v>
      </c>
      <c r="AP128" s="225">
        <f t="shared" si="111"/>
        <v>30830.48</v>
      </c>
      <c r="AQ128" s="225">
        <f t="shared" si="111"/>
        <v>5128.3599999999997</v>
      </c>
      <c r="AR128" s="225">
        <f t="shared" si="111"/>
        <v>398.60999999999996</v>
      </c>
      <c r="AS128" s="225">
        <f t="shared" si="111"/>
        <v>304.45999999999998</v>
      </c>
      <c r="AT128" s="225">
        <f t="shared" si="111"/>
        <v>2097.2799999999997</v>
      </c>
      <c r="AU128" s="225">
        <f t="shared" si="111"/>
        <v>0</v>
      </c>
      <c r="AV128" s="225">
        <f t="shared" si="111"/>
        <v>507.49999999999994</v>
      </c>
      <c r="AW128" s="225">
        <f t="shared" si="111"/>
        <v>63.51</v>
      </c>
      <c r="AX128" s="225">
        <f t="shared" si="111"/>
        <v>0</v>
      </c>
      <c r="AY128" s="225">
        <f t="shared" si="111"/>
        <v>0</v>
      </c>
      <c r="AZ128" s="225">
        <f t="shared" si="111"/>
        <v>0</v>
      </c>
      <c r="BA128" s="225">
        <f t="shared" si="111"/>
        <v>0</v>
      </c>
      <c r="BB128" s="225">
        <f t="shared" si="111"/>
        <v>0</v>
      </c>
      <c r="BC128" s="225">
        <f t="shared" si="111"/>
        <v>112.47839999999999</v>
      </c>
      <c r="BD128" s="225">
        <f t="shared" si="111"/>
        <v>0</v>
      </c>
      <c r="BE128" s="251">
        <f>SUM(BE17:BE25)</f>
        <v>798412</v>
      </c>
      <c r="BF128" s="252">
        <f>SUM(BF17:BF25)</f>
        <v>3658000</v>
      </c>
      <c r="BH128" s="225">
        <f t="shared" ref="BH128:BM128" si="112">BH16</f>
        <v>11977.377617999999</v>
      </c>
      <c r="BI128" s="225">
        <f t="shared" si="112"/>
        <v>36661.909999999996</v>
      </c>
      <c r="BJ128" s="225">
        <f t="shared" si="112"/>
        <v>2668.29</v>
      </c>
      <c r="BK128" s="225">
        <f t="shared" si="112"/>
        <v>0</v>
      </c>
      <c r="BL128" s="225">
        <f t="shared" si="112"/>
        <v>112.47839999999999</v>
      </c>
      <c r="BM128" s="225">
        <f t="shared" si="112"/>
        <v>51420.056017999996</v>
      </c>
      <c r="BN128" s="736">
        <f>BM128/$BM$133</f>
        <v>0.63443609209692287</v>
      </c>
      <c r="BO128" s="732">
        <f t="shared" ref="BO128:BO133" si="113">BM128*1000/BF128</f>
        <v>14.056876986878075</v>
      </c>
      <c r="BQ128" s="677">
        <f>'[14]JSO (t)'!AR133</f>
        <v>14.793104811644659</v>
      </c>
      <c r="BR128" s="736">
        <f>BO128/BQ128-1</f>
        <v>-4.97683099079409E-2</v>
      </c>
      <c r="BT128" s="136"/>
    </row>
    <row r="129" spans="3:75" x14ac:dyDescent="0.25">
      <c r="C129" s="223" t="s">
        <v>151</v>
      </c>
      <c r="D129" s="224"/>
      <c r="E129" s="224"/>
      <c r="G129" s="224"/>
      <c r="H129" s="224"/>
      <c r="I129" s="224"/>
      <c r="J129" s="224"/>
      <c r="K129" s="224"/>
      <c r="L129" s="224"/>
      <c r="M129" s="224"/>
      <c r="N129" s="224"/>
      <c r="O129" s="224"/>
      <c r="P129" s="224"/>
      <c r="Q129" s="224"/>
      <c r="R129" s="224"/>
      <c r="S129" s="224"/>
      <c r="T129" s="224"/>
      <c r="U129" s="224"/>
      <c r="V129" s="224"/>
      <c r="X129" s="225">
        <f t="shared" ref="X129:AM129" si="114">SUM(X26:X39)</f>
        <v>33899740</v>
      </c>
      <c r="Y129" s="225">
        <f t="shared" si="114"/>
        <v>478700</v>
      </c>
      <c r="Z129" s="225">
        <f t="shared" si="114"/>
        <v>208600</v>
      </c>
      <c r="AA129" s="225">
        <f t="shared" si="114"/>
        <v>267600</v>
      </c>
      <c r="AB129" s="225">
        <f t="shared" si="114"/>
        <v>385400</v>
      </c>
      <c r="AC129" s="225">
        <f t="shared" si="114"/>
        <v>6000</v>
      </c>
      <c r="AD129" s="225">
        <f t="shared" si="114"/>
        <v>0</v>
      </c>
      <c r="AE129" s="225">
        <f t="shared" si="114"/>
        <v>0</v>
      </c>
      <c r="AF129" s="225">
        <f t="shared" si="114"/>
        <v>0</v>
      </c>
      <c r="AG129" s="225">
        <f t="shared" si="114"/>
        <v>0</v>
      </c>
      <c r="AH129" s="225">
        <f t="shared" si="114"/>
        <v>1825137</v>
      </c>
      <c r="AI129" s="225">
        <f t="shared" si="114"/>
        <v>4632215</v>
      </c>
      <c r="AJ129" s="225">
        <f t="shared" si="114"/>
        <v>0</v>
      </c>
      <c r="AK129" s="225">
        <f t="shared" si="114"/>
        <v>26073045</v>
      </c>
      <c r="AL129" s="225">
        <f t="shared" si="114"/>
        <v>0</v>
      </c>
      <c r="AM129" s="225">
        <f t="shared" si="114"/>
        <v>0</v>
      </c>
      <c r="AO129" s="225">
        <f t="shared" ref="AO129:BF129" si="115">SUM(AO26:AO39)</f>
        <v>1393.2793139999997</v>
      </c>
      <c r="AP129" s="225">
        <f t="shared" si="115"/>
        <v>3631.12</v>
      </c>
      <c r="AQ129" s="225">
        <f t="shared" si="115"/>
        <v>2085.4</v>
      </c>
      <c r="AR129" s="225">
        <f t="shared" si="115"/>
        <v>2286.48</v>
      </c>
      <c r="AS129" s="225">
        <f t="shared" si="115"/>
        <v>1788.2500000000002</v>
      </c>
      <c r="AT129" s="225">
        <f t="shared" si="115"/>
        <v>49.8</v>
      </c>
      <c r="AU129" s="225">
        <f t="shared" si="115"/>
        <v>0</v>
      </c>
      <c r="AV129" s="225">
        <f t="shared" si="115"/>
        <v>0</v>
      </c>
      <c r="AW129" s="225">
        <f t="shared" si="115"/>
        <v>0</v>
      </c>
      <c r="AX129" s="225">
        <f t="shared" si="115"/>
        <v>0</v>
      </c>
      <c r="AY129" s="225">
        <f t="shared" si="115"/>
        <v>0</v>
      </c>
      <c r="AZ129" s="225">
        <f t="shared" si="115"/>
        <v>0</v>
      </c>
      <c r="BA129" s="225">
        <f t="shared" si="115"/>
        <v>0</v>
      </c>
      <c r="BB129" s="225">
        <f t="shared" si="115"/>
        <v>0</v>
      </c>
      <c r="BC129" s="225">
        <f t="shared" si="115"/>
        <v>0</v>
      </c>
      <c r="BD129" s="225">
        <f t="shared" si="115"/>
        <v>0</v>
      </c>
      <c r="BE129" s="251">
        <f t="shared" si="115"/>
        <v>92876</v>
      </c>
      <c r="BF129" s="252">
        <f t="shared" si="115"/>
        <v>1346300</v>
      </c>
      <c r="BH129" s="225">
        <f t="shared" ref="BH129:BM129" si="116">BH26</f>
        <v>1393.2793139999997</v>
      </c>
      <c r="BI129" s="225">
        <f t="shared" si="116"/>
        <v>9791.25</v>
      </c>
      <c r="BJ129" s="225">
        <f t="shared" si="116"/>
        <v>49.8</v>
      </c>
      <c r="BK129" s="225">
        <f t="shared" si="116"/>
        <v>0</v>
      </c>
      <c r="BL129" s="225">
        <f t="shared" si="116"/>
        <v>0</v>
      </c>
      <c r="BM129" s="225">
        <f t="shared" si="116"/>
        <v>11234.329313999999</v>
      </c>
      <c r="BN129" s="736">
        <f t="shared" ref="BN129:BN133" si="117">BM129/$BM$133</f>
        <v>0.13861252863686183</v>
      </c>
      <c r="BO129" s="732">
        <f t="shared" si="113"/>
        <v>8.3445957914283593</v>
      </c>
      <c r="BQ129" s="677">
        <f>'[14]JSO (t)'!AR134</f>
        <v>8.0838307903408424</v>
      </c>
      <c r="BR129" s="736">
        <f t="shared" ref="BR129:BR136" si="118">BO129/BQ129-1</f>
        <v>3.2257602595924917E-2</v>
      </c>
      <c r="BT129" s="136">
        <f>'DUoS (t)'!BM129</f>
        <v>141489.47543530003</v>
      </c>
      <c r="BU129" s="816">
        <f>BM129/BT129</f>
        <v>7.9400459146780886E-2</v>
      </c>
      <c r="BV129" s="136">
        <f>(BU129-$BU$133)*BT129</f>
        <v>-65.77187647587931</v>
      </c>
      <c r="BW129" s="816">
        <f>BV129/BM129</f>
        <v>-5.8545441065107201E-3</v>
      </c>
    </row>
    <row r="130" spans="3:75" x14ac:dyDescent="0.25">
      <c r="C130" s="223" t="s">
        <v>152</v>
      </c>
      <c r="D130" s="224"/>
      <c r="E130" s="224"/>
      <c r="G130" s="224"/>
      <c r="H130" s="224"/>
      <c r="I130" s="224"/>
      <c r="J130" s="224"/>
      <c r="K130" s="224"/>
      <c r="L130" s="224"/>
      <c r="M130" s="224"/>
      <c r="N130" s="224"/>
      <c r="O130" s="224"/>
      <c r="P130" s="224"/>
      <c r="Q130" s="224"/>
      <c r="R130" s="224"/>
      <c r="S130" s="224"/>
      <c r="T130" s="224"/>
      <c r="U130" s="224"/>
      <c r="V130" s="224"/>
      <c r="X130" s="225">
        <f t="shared" ref="X130:AM130" si="119">SUM(X40:X67)</f>
        <v>1581050</v>
      </c>
      <c r="Y130" s="225">
        <f t="shared" si="119"/>
        <v>71100</v>
      </c>
      <c r="Z130" s="225">
        <f t="shared" si="119"/>
        <v>1376300</v>
      </c>
      <c r="AA130" s="225">
        <f t="shared" si="119"/>
        <v>0</v>
      </c>
      <c r="AB130" s="225">
        <f t="shared" si="119"/>
        <v>1303600</v>
      </c>
      <c r="AC130" s="225">
        <f t="shared" si="119"/>
        <v>0</v>
      </c>
      <c r="AD130" s="225">
        <f t="shared" si="119"/>
        <v>0</v>
      </c>
      <c r="AE130" s="225">
        <f t="shared" si="119"/>
        <v>0</v>
      </c>
      <c r="AF130" s="225">
        <f t="shared" si="119"/>
        <v>0</v>
      </c>
      <c r="AG130" s="225">
        <f t="shared" si="119"/>
        <v>3760806</v>
      </c>
      <c r="AH130" s="225">
        <f t="shared" si="119"/>
        <v>5382848</v>
      </c>
      <c r="AI130" s="225">
        <f t="shared" si="119"/>
        <v>11592765</v>
      </c>
      <c r="AJ130" s="225">
        <f t="shared" si="119"/>
        <v>238761465</v>
      </c>
      <c r="AK130" s="225">
        <f t="shared" si="119"/>
        <v>357781395</v>
      </c>
      <c r="AL130" s="225">
        <f t="shared" si="119"/>
        <v>0</v>
      </c>
      <c r="AM130" s="225">
        <f t="shared" si="119"/>
        <v>0</v>
      </c>
      <c r="AO130" s="225">
        <f t="shared" ref="AO130:BF130" si="120">SUM(AO40:AO67)</f>
        <v>2.4659999999999994E-2</v>
      </c>
      <c r="AP130" s="225">
        <f t="shared" si="120"/>
        <v>370.21</v>
      </c>
      <c r="AQ130" s="225">
        <f t="shared" si="120"/>
        <v>8946.4399999999969</v>
      </c>
      <c r="AR130" s="225">
        <f t="shared" si="120"/>
        <v>0</v>
      </c>
      <c r="AS130" s="225">
        <f t="shared" si="120"/>
        <v>5344.51</v>
      </c>
      <c r="AT130" s="225">
        <f t="shared" si="120"/>
        <v>0</v>
      </c>
      <c r="AU130" s="225">
        <f t="shared" si="120"/>
        <v>0</v>
      </c>
      <c r="AV130" s="225">
        <f t="shared" si="120"/>
        <v>0</v>
      </c>
      <c r="AW130" s="225">
        <f t="shared" si="120"/>
        <v>0</v>
      </c>
      <c r="AX130" s="225">
        <f t="shared" si="120"/>
        <v>0</v>
      </c>
      <c r="AY130" s="225">
        <f t="shared" si="120"/>
        <v>0</v>
      </c>
      <c r="AZ130" s="225">
        <f t="shared" si="120"/>
        <v>0</v>
      </c>
      <c r="BA130" s="225">
        <f t="shared" si="120"/>
        <v>0</v>
      </c>
      <c r="BB130" s="225">
        <f t="shared" si="120"/>
        <v>0</v>
      </c>
      <c r="BC130" s="225">
        <f t="shared" si="120"/>
        <v>0</v>
      </c>
      <c r="BD130" s="225">
        <f t="shared" si="120"/>
        <v>0</v>
      </c>
      <c r="BE130" s="251">
        <f t="shared" si="120"/>
        <v>4331.6438356164381</v>
      </c>
      <c r="BF130" s="252">
        <f t="shared" si="120"/>
        <v>2751000</v>
      </c>
      <c r="BH130" s="225">
        <f t="shared" ref="BH130:BM130" si="121">BH40</f>
        <v>2.4659999999999994E-2</v>
      </c>
      <c r="BI130" s="225">
        <f t="shared" si="121"/>
        <v>14661.159999999998</v>
      </c>
      <c r="BJ130" s="225">
        <f t="shared" si="121"/>
        <v>0</v>
      </c>
      <c r="BK130" s="225">
        <f t="shared" si="121"/>
        <v>0</v>
      </c>
      <c r="BL130" s="225">
        <f t="shared" si="121"/>
        <v>0</v>
      </c>
      <c r="BM130" s="225">
        <f t="shared" si="121"/>
        <v>14661.184659999997</v>
      </c>
      <c r="BN130" s="736">
        <f t="shared" si="117"/>
        <v>0.18089409894741573</v>
      </c>
      <c r="BO130" s="732">
        <f t="shared" si="113"/>
        <v>5.3294019120319867</v>
      </c>
      <c r="BQ130" s="677">
        <f>'[14]JSO (t)'!AR135</f>
        <v>5.2007935783854577</v>
      </c>
      <c r="BR130" s="736">
        <f t="shared" si="118"/>
        <v>2.4728597993395995E-2</v>
      </c>
      <c r="BS130" s="774"/>
      <c r="BT130" s="136">
        <f>'DUoS (t)'!BM130</f>
        <v>183563.8807754</v>
      </c>
      <c r="BU130" s="816">
        <f t="shared" ref="BU130:BU132" si="122">BM130/BT130</f>
        <v>7.986965953252384E-2</v>
      </c>
      <c r="BV130" s="136">
        <f>(BU130-$BU$133)*BT130</f>
        <v>0.79793302399533106</v>
      </c>
      <c r="BW130" s="816">
        <f t="shared" ref="BW130:BW133" si="123">BV130/BM130</f>
        <v>5.442486691899638E-5</v>
      </c>
    </row>
    <row r="131" spans="3:75" x14ac:dyDescent="0.25">
      <c r="C131" s="223" t="s">
        <v>153</v>
      </c>
      <c r="D131" s="224"/>
      <c r="E131" s="224"/>
      <c r="G131" s="224"/>
      <c r="H131" s="224"/>
      <c r="I131" s="224"/>
      <c r="J131" s="224"/>
      <c r="K131" s="224"/>
      <c r="L131" s="224"/>
      <c r="M131" s="224"/>
      <c r="N131" s="224"/>
      <c r="O131" s="224"/>
      <c r="P131" s="224"/>
      <c r="Q131" s="224"/>
      <c r="R131" s="224"/>
      <c r="S131" s="224"/>
      <c r="T131" s="224"/>
      <c r="U131" s="224"/>
      <c r="V131" s="224"/>
      <c r="X131" s="225">
        <f t="shared" ref="X131:AM131" si="124">SUM(X68:X91)</f>
        <v>69715</v>
      </c>
      <c r="Y131" s="225">
        <f t="shared" si="124"/>
        <v>12500</v>
      </c>
      <c r="Z131" s="225">
        <f t="shared" si="124"/>
        <v>353600</v>
      </c>
      <c r="AA131" s="225">
        <f t="shared" si="124"/>
        <v>0</v>
      </c>
      <c r="AB131" s="225">
        <f t="shared" si="124"/>
        <v>377600</v>
      </c>
      <c r="AC131" s="225">
        <f t="shared" si="124"/>
        <v>0</v>
      </c>
      <c r="AD131" s="225">
        <f t="shared" si="124"/>
        <v>0</v>
      </c>
      <c r="AE131" s="225">
        <f t="shared" si="124"/>
        <v>0</v>
      </c>
      <c r="AF131" s="225">
        <f t="shared" si="124"/>
        <v>0</v>
      </c>
      <c r="AG131" s="225">
        <f t="shared" si="124"/>
        <v>546922</v>
      </c>
      <c r="AH131" s="225">
        <f t="shared" si="124"/>
        <v>449678</v>
      </c>
      <c r="AI131" s="225">
        <f t="shared" si="124"/>
        <v>1623520</v>
      </c>
      <c r="AJ131" s="225">
        <f t="shared" si="124"/>
        <v>62775255</v>
      </c>
      <c r="AK131" s="225">
        <f t="shared" si="124"/>
        <v>85346125</v>
      </c>
      <c r="AL131" s="225">
        <f t="shared" si="124"/>
        <v>0</v>
      </c>
      <c r="AM131" s="225">
        <f t="shared" si="124"/>
        <v>0</v>
      </c>
      <c r="AO131" s="225">
        <f t="shared" ref="AO131:BF131" si="125">SUM(AO68:AO91)</f>
        <v>0</v>
      </c>
      <c r="AP131" s="225">
        <f t="shared" si="125"/>
        <v>45</v>
      </c>
      <c r="AQ131" s="225">
        <f t="shared" si="125"/>
        <v>1555.84</v>
      </c>
      <c r="AR131" s="225">
        <f t="shared" si="125"/>
        <v>0</v>
      </c>
      <c r="AS131" s="225">
        <f t="shared" si="125"/>
        <v>1057.28</v>
      </c>
      <c r="AT131" s="225">
        <f t="shared" si="125"/>
        <v>0</v>
      </c>
      <c r="AU131" s="225">
        <f t="shared" si="125"/>
        <v>0</v>
      </c>
      <c r="AV131" s="225">
        <f t="shared" si="125"/>
        <v>0</v>
      </c>
      <c r="AW131" s="225">
        <f t="shared" si="125"/>
        <v>0</v>
      </c>
      <c r="AX131" s="225">
        <f t="shared" si="125"/>
        <v>0</v>
      </c>
      <c r="AY131" s="225">
        <f t="shared" si="125"/>
        <v>0</v>
      </c>
      <c r="AZ131" s="225">
        <f t="shared" si="125"/>
        <v>0</v>
      </c>
      <c r="BA131" s="225">
        <f t="shared" si="125"/>
        <v>0</v>
      </c>
      <c r="BB131" s="225">
        <f t="shared" si="125"/>
        <v>0</v>
      </c>
      <c r="BC131" s="225">
        <f t="shared" si="125"/>
        <v>0</v>
      </c>
      <c r="BD131" s="225">
        <f t="shared" si="125"/>
        <v>0</v>
      </c>
      <c r="BE131" s="251">
        <f t="shared" si="125"/>
        <v>191</v>
      </c>
      <c r="BF131" s="252">
        <f t="shared" si="125"/>
        <v>743700</v>
      </c>
      <c r="BH131" s="225">
        <f t="shared" ref="BH131:BM131" si="126">BH68</f>
        <v>0</v>
      </c>
      <c r="BI131" s="225">
        <f t="shared" si="126"/>
        <v>2658.1200000000003</v>
      </c>
      <c r="BJ131" s="225">
        <f t="shared" si="126"/>
        <v>0</v>
      </c>
      <c r="BK131" s="225">
        <f t="shared" si="126"/>
        <v>0</v>
      </c>
      <c r="BL131" s="225">
        <f t="shared" si="126"/>
        <v>0</v>
      </c>
      <c r="BM131" s="225">
        <f t="shared" si="126"/>
        <v>2658.1200000000003</v>
      </c>
      <c r="BN131" s="736">
        <f t="shared" si="117"/>
        <v>3.2796682767796535E-2</v>
      </c>
      <c r="BO131" s="732">
        <f t="shared" si="113"/>
        <v>3.5741831383622436</v>
      </c>
      <c r="BQ131" s="677">
        <f>'[14]JSO (t)'!AR136</f>
        <v>3.5957098292890035</v>
      </c>
      <c r="BR131" s="736">
        <f t="shared" si="118"/>
        <v>-5.9867708877433534E-3</v>
      </c>
      <c r="BS131" s="774"/>
      <c r="BT131" s="136">
        <f>'DUoS (t)'!BM131</f>
        <v>33510.73934059999</v>
      </c>
      <c r="BU131" s="816">
        <f t="shared" si="122"/>
        <v>7.9321437017044583E-2</v>
      </c>
      <c r="BV131" s="136">
        <f>(BU131-$BU$133)*BT131</f>
        <v>-18.225674131785212</v>
      </c>
      <c r="BW131" s="816">
        <f t="shared" si="123"/>
        <v>-6.8566032127162094E-3</v>
      </c>
    </row>
    <row r="132" spans="3:75" x14ac:dyDescent="0.25">
      <c r="C132" s="223" t="s">
        <v>154</v>
      </c>
      <c r="D132" s="224"/>
      <c r="E132" s="224"/>
      <c r="G132" s="224"/>
      <c r="H132" s="224"/>
      <c r="I132" s="224"/>
      <c r="J132" s="224"/>
      <c r="K132" s="224"/>
      <c r="L132" s="224"/>
      <c r="M132" s="224"/>
      <c r="N132" s="224"/>
      <c r="O132" s="224"/>
      <c r="P132" s="224"/>
      <c r="Q132" s="224"/>
      <c r="R132" s="224"/>
      <c r="S132" s="224"/>
      <c r="T132" s="224"/>
      <c r="U132" s="224"/>
      <c r="V132" s="224"/>
      <c r="X132" s="225">
        <f t="shared" ref="X132:AM132" si="127">SUM(X92:X126)</f>
        <v>9855</v>
      </c>
      <c r="Y132" s="225">
        <f t="shared" si="127"/>
        <v>1194167.5054229998</v>
      </c>
      <c r="Z132" s="225">
        <f t="shared" si="127"/>
        <v>0</v>
      </c>
      <c r="AA132" s="225">
        <f t="shared" si="127"/>
        <v>0</v>
      </c>
      <c r="AB132" s="225">
        <f t="shared" si="127"/>
        <v>0</v>
      </c>
      <c r="AC132" s="225">
        <f t="shared" si="127"/>
        <v>0</v>
      </c>
      <c r="AD132" s="225">
        <f t="shared" si="127"/>
        <v>0</v>
      </c>
      <c r="AE132" s="225">
        <f t="shared" si="127"/>
        <v>0</v>
      </c>
      <c r="AF132" s="225">
        <f t="shared" si="127"/>
        <v>0</v>
      </c>
      <c r="AG132" s="225">
        <f t="shared" si="127"/>
        <v>0</v>
      </c>
      <c r="AH132" s="225">
        <f t="shared" si="127"/>
        <v>0</v>
      </c>
      <c r="AI132" s="225">
        <f t="shared" si="127"/>
        <v>0</v>
      </c>
      <c r="AJ132" s="225">
        <f t="shared" si="127"/>
        <v>90514331.184999987</v>
      </c>
      <c r="AK132" s="225">
        <f t="shared" si="127"/>
        <v>118491241.00499998</v>
      </c>
      <c r="AL132" s="225">
        <f t="shared" si="127"/>
        <v>0</v>
      </c>
      <c r="AM132" s="225">
        <f t="shared" si="127"/>
        <v>0</v>
      </c>
      <c r="AO132" s="225">
        <f t="shared" ref="AO132:BF132" si="128">SUM(AO92:AO126)</f>
        <v>0</v>
      </c>
      <c r="AP132" s="225">
        <f t="shared" si="128"/>
        <v>1074.7507548807</v>
      </c>
      <c r="AQ132" s="225">
        <f t="shared" si="128"/>
        <v>0</v>
      </c>
      <c r="AR132" s="225">
        <f t="shared" si="128"/>
        <v>0</v>
      </c>
      <c r="AS132" s="225">
        <f t="shared" si="128"/>
        <v>0</v>
      </c>
      <c r="AT132" s="225">
        <f t="shared" si="128"/>
        <v>0</v>
      </c>
      <c r="AU132" s="225">
        <f t="shared" si="128"/>
        <v>0</v>
      </c>
      <c r="AV132" s="225">
        <f t="shared" si="128"/>
        <v>0</v>
      </c>
      <c r="AW132" s="225">
        <f t="shared" si="128"/>
        <v>0</v>
      </c>
      <c r="AX132" s="225">
        <f t="shared" si="128"/>
        <v>0</v>
      </c>
      <c r="AY132" s="225">
        <f t="shared" si="128"/>
        <v>0</v>
      </c>
      <c r="AZ132" s="225">
        <f t="shared" si="128"/>
        <v>0</v>
      </c>
      <c r="BA132" s="225">
        <f t="shared" si="128"/>
        <v>0</v>
      </c>
      <c r="BB132" s="225">
        <f t="shared" si="128"/>
        <v>0</v>
      </c>
      <c r="BC132" s="225">
        <f t="shared" si="128"/>
        <v>0</v>
      </c>
      <c r="BD132" s="225">
        <f t="shared" si="128"/>
        <v>0</v>
      </c>
      <c r="BE132" s="251">
        <f t="shared" si="128"/>
        <v>27</v>
      </c>
      <c r="BF132" s="252">
        <f t="shared" si="128"/>
        <v>1194167.5054229998</v>
      </c>
      <c r="BH132" s="225">
        <f t="shared" ref="BH132:BM132" si="129">BH92</f>
        <v>0</v>
      </c>
      <c r="BI132" s="225">
        <f t="shared" si="129"/>
        <v>1074.7507548807</v>
      </c>
      <c r="BJ132" s="225">
        <f t="shared" si="129"/>
        <v>0</v>
      </c>
      <c r="BK132" s="225">
        <f t="shared" si="129"/>
        <v>0</v>
      </c>
      <c r="BL132" s="225">
        <f t="shared" si="129"/>
        <v>0</v>
      </c>
      <c r="BM132" s="225">
        <f t="shared" si="129"/>
        <v>1074.7507548807</v>
      </c>
      <c r="BN132" s="736">
        <f t="shared" si="117"/>
        <v>1.3260597551003027E-2</v>
      </c>
      <c r="BO132" s="732">
        <f t="shared" si="113"/>
        <v>0.90000000000000013</v>
      </c>
      <c r="BQ132" s="677">
        <f>'[14]JSO (t)'!AR137</f>
        <v>0.8</v>
      </c>
      <c r="BR132" s="736">
        <f t="shared" si="118"/>
        <v>0.125</v>
      </c>
      <c r="BS132" s="774"/>
      <c r="BT132" s="136">
        <f>'DUoS (t)'!BM132</f>
        <v>12415.2915021396</v>
      </c>
      <c r="BU132" s="816">
        <f t="shared" si="122"/>
        <v>8.6566695167445876E-2</v>
      </c>
      <c r="BV132" s="136">
        <f>(BU132-$BU$133)*BT132</f>
        <v>83.199617583664306</v>
      </c>
      <c r="BW132" s="816">
        <f t="shared" si="123"/>
        <v>7.7412941750294159E-2</v>
      </c>
    </row>
    <row r="133" spans="3:75" s="126" customFormat="1" ht="15.75" thickBot="1" x14ac:dyDescent="0.3">
      <c r="C133" s="226" t="s">
        <v>155</v>
      </c>
      <c r="D133" s="227"/>
      <c r="E133" s="227"/>
      <c r="G133" s="227"/>
      <c r="H133" s="227"/>
      <c r="I133" s="227"/>
      <c r="J133" s="227"/>
      <c r="K133" s="227"/>
      <c r="L133" s="227"/>
      <c r="M133" s="227"/>
      <c r="N133" s="227"/>
      <c r="O133" s="227"/>
      <c r="P133" s="227"/>
      <c r="Q133" s="227"/>
      <c r="R133" s="227"/>
      <c r="S133" s="227"/>
      <c r="T133" s="227"/>
      <c r="U133" s="227"/>
      <c r="V133" s="227"/>
      <c r="X133" s="228">
        <f t="shared" ref="X133:AL133" si="130">SUM(X128:X132)</f>
        <v>326980740</v>
      </c>
      <c r="Y133" s="228">
        <f t="shared" si="130"/>
        <v>4414267.5054230001</v>
      </c>
      <c r="Z133" s="228">
        <f t="shared" si="130"/>
        <v>2292900</v>
      </c>
      <c r="AA133" s="228">
        <f t="shared" si="130"/>
        <v>337000</v>
      </c>
      <c r="AB133" s="228">
        <f t="shared" si="130"/>
        <v>2172000</v>
      </c>
      <c r="AC133" s="228">
        <f t="shared" si="130"/>
        <v>367600</v>
      </c>
      <c r="AD133" s="228">
        <f t="shared" si="130"/>
        <v>0</v>
      </c>
      <c r="AE133" s="228">
        <f t="shared" si="130"/>
        <v>87500</v>
      </c>
      <c r="AF133" s="228">
        <f t="shared" si="130"/>
        <v>21900</v>
      </c>
      <c r="AG133" s="228">
        <f t="shared" si="130"/>
        <v>4307728</v>
      </c>
      <c r="AH133" s="228">
        <f t="shared" si="130"/>
        <v>7657663</v>
      </c>
      <c r="AI133" s="228">
        <f t="shared" si="130"/>
        <v>17848500</v>
      </c>
      <c r="AJ133" s="228">
        <f t="shared" si="130"/>
        <v>392051051.185</v>
      </c>
      <c r="AK133" s="228">
        <f t="shared" si="130"/>
        <v>587691806.005</v>
      </c>
      <c r="AL133" s="228">
        <f t="shared" si="130"/>
        <v>1752000</v>
      </c>
      <c r="AM133" s="228">
        <f>SUM(AM128:AM132)</f>
        <v>0</v>
      </c>
      <c r="AO133" s="228">
        <f>SUM(AO128:AO132)</f>
        <v>13370.681591999997</v>
      </c>
      <c r="AP133" s="228">
        <f t="shared" ref="AP133:BD133" si="131">SUM(AP128:AP132)</f>
        <v>35951.560754880695</v>
      </c>
      <c r="AQ133" s="228">
        <f t="shared" si="131"/>
        <v>17716.039999999997</v>
      </c>
      <c r="AR133" s="228">
        <f t="shared" si="131"/>
        <v>2685.09</v>
      </c>
      <c r="AS133" s="228">
        <f t="shared" si="131"/>
        <v>8494.5</v>
      </c>
      <c r="AT133" s="228">
        <f t="shared" si="131"/>
        <v>2147.08</v>
      </c>
      <c r="AU133" s="228">
        <f t="shared" si="131"/>
        <v>0</v>
      </c>
      <c r="AV133" s="228">
        <f t="shared" si="131"/>
        <v>507.49999999999994</v>
      </c>
      <c r="AW133" s="228">
        <f t="shared" si="131"/>
        <v>63.51</v>
      </c>
      <c r="AX133" s="228">
        <f t="shared" si="131"/>
        <v>0</v>
      </c>
      <c r="AY133" s="228">
        <f t="shared" si="131"/>
        <v>0</v>
      </c>
      <c r="AZ133" s="228">
        <f t="shared" si="131"/>
        <v>0</v>
      </c>
      <c r="BA133" s="228">
        <f t="shared" si="131"/>
        <v>0</v>
      </c>
      <c r="BB133" s="228">
        <f t="shared" si="131"/>
        <v>0</v>
      </c>
      <c r="BC133" s="228">
        <f t="shared" si="131"/>
        <v>112.47839999999999</v>
      </c>
      <c r="BD133" s="228">
        <f t="shared" si="131"/>
        <v>0</v>
      </c>
      <c r="BE133" s="245">
        <f>SUM(BE128:BE132)</f>
        <v>895837.64383561641</v>
      </c>
      <c r="BF133" s="246">
        <f>SUM(BF128:BF132)</f>
        <v>9693167.5054230001</v>
      </c>
      <c r="BH133" s="228">
        <f>SUM(BH128:BH132)</f>
        <v>13370.681591999997</v>
      </c>
      <c r="BI133" s="228">
        <f t="shared" ref="BI133:BM133" si="132">SUM(BI128:BI132)</f>
        <v>64847.190754880692</v>
      </c>
      <c r="BJ133" s="228">
        <f t="shared" si="132"/>
        <v>2718.09</v>
      </c>
      <c r="BK133" s="228">
        <f t="shared" si="132"/>
        <v>0</v>
      </c>
      <c r="BL133" s="228">
        <f t="shared" si="132"/>
        <v>112.47839999999999</v>
      </c>
      <c r="BM133" s="228">
        <f t="shared" si="132"/>
        <v>81048.440746880689</v>
      </c>
      <c r="BN133" s="736">
        <f t="shared" si="117"/>
        <v>1</v>
      </c>
      <c r="BO133" s="733">
        <f t="shared" si="113"/>
        <v>8.3613989649448257</v>
      </c>
      <c r="BQ133" s="677">
        <f>'[14]JSO (t)'!AR138</f>
        <v>8.4918205862717926</v>
      </c>
      <c r="BR133" s="736">
        <f t="shared" si="118"/>
        <v>-1.5358499393853364E-2</v>
      </c>
      <c r="BT133" s="136">
        <f>SUM(BT129:BT132)</f>
        <v>370979.38705343957</v>
      </c>
      <c r="BU133" s="829">
        <f>SUM(BM129:BM132)/BT133</f>
        <v>7.9865312636932917E-2</v>
      </c>
      <c r="BV133" s="136">
        <f>SUM(BV129:BV132)</f>
        <v>-4.8885340220294893E-12</v>
      </c>
      <c r="BW133" s="816">
        <f t="shared" si="123"/>
        <v>-6.0316200743413241E-17</v>
      </c>
    </row>
    <row r="134" spans="3:75" x14ac:dyDescent="0.25">
      <c r="C134" s="222"/>
      <c r="D134" s="222"/>
      <c r="K134" s="136"/>
      <c r="L134" s="136"/>
      <c r="M134" s="136"/>
      <c r="N134" s="136"/>
      <c r="O134" s="136"/>
      <c r="P134" s="136"/>
      <c r="Q134" s="136"/>
      <c r="R134" s="136"/>
      <c r="S134" s="136"/>
      <c r="T134" s="136"/>
      <c r="U134" s="136"/>
      <c r="V134" s="136"/>
      <c r="AB134" s="136"/>
      <c r="AC134" s="136"/>
      <c r="AD134" s="136"/>
      <c r="AE134" s="136"/>
      <c r="AF134" s="136"/>
      <c r="AG134" s="136"/>
      <c r="AH134" s="136"/>
      <c r="AI134" s="136"/>
      <c r="AJ134" s="136"/>
      <c r="AK134" s="136"/>
      <c r="AL134" s="136"/>
      <c r="AM134" s="136"/>
      <c r="AS134" s="136"/>
      <c r="AT134" s="136"/>
      <c r="AU134" s="136"/>
      <c r="AV134" s="136"/>
      <c r="AW134" s="136"/>
      <c r="AX134" s="136"/>
      <c r="AY134" s="136"/>
      <c r="AZ134" s="136"/>
      <c r="BA134" s="136"/>
      <c r="BB134" s="136"/>
      <c r="BC134" s="136"/>
      <c r="BD134" s="136"/>
      <c r="BE134" s="257"/>
      <c r="BF134" s="257"/>
      <c r="BN134" s="736"/>
      <c r="BO134" s="731"/>
      <c r="BR134" s="736"/>
    </row>
    <row r="135" spans="3:75" x14ac:dyDescent="0.25">
      <c r="C135" s="223" t="s">
        <v>617</v>
      </c>
      <c r="D135" s="224"/>
      <c r="J135" s="136"/>
      <c r="K135" s="136"/>
      <c r="L135" s="136"/>
      <c r="M135" s="136"/>
      <c r="N135" s="136"/>
      <c r="O135" s="136"/>
      <c r="P135" s="136"/>
      <c r="Q135" s="136"/>
      <c r="R135" s="136"/>
      <c r="S135" s="136"/>
      <c r="T135" s="136"/>
      <c r="U135" s="136"/>
      <c r="AB135" s="136"/>
      <c r="AC135" s="136"/>
      <c r="AD135" s="136"/>
      <c r="AE135" s="136"/>
      <c r="AF135" s="136"/>
      <c r="AG135" s="136"/>
      <c r="AH135" s="136"/>
      <c r="AI135" s="136"/>
      <c r="AJ135" s="136"/>
      <c r="AK135" s="136"/>
      <c r="AL135" s="136"/>
      <c r="AS135" s="136"/>
      <c r="AT135" s="136"/>
      <c r="AU135" s="136"/>
      <c r="AV135" s="136"/>
      <c r="AW135" s="136"/>
      <c r="AX135" s="136"/>
      <c r="AY135" s="136"/>
      <c r="AZ135" s="136"/>
      <c r="BA135" s="136"/>
      <c r="BB135" s="136"/>
      <c r="BC135" s="136"/>
      <c r="BD135" s="136"/>
      <c r="BE135" s="257"/>
      <c r="BF135" s="252">
        <f>BF128-BF136</f>
        <v>3187000</v>
      </c>
      <c r="BH135" s="225">
        <f>BH128</f>
        <v>11977.377617999999</v>
      </c>
      <c r="BI135" s="225">
        <f>BI128</f>
        <v>36661.909999999996</v>
      </c>
      <c r="BJ135" s="225"/>
      <c r="BK135" s="225">
        <f>BK128</f>
        <v>0</v>
      </c>
      <c r="BL135" s="225">
        <f>BL128</f>
        <v>112.47839999999999</v>
      </c>
      <c r="BM135" s="225">
        <f>SUM(BH135:BL135)</f>
        <v>48751.766017999995</v>
      </c>
      <c r="BN135" s="736">
        <f t="shared" ref="BN135:BN136" si="133">BM135/$BM$133</f>
        <v>0.6015139288151734</v>
      </c>
      <c r="BO135" s="732">
        <f>BM135*1000/BF135</f>
        <v>15.297071232507058</v>
      </c>
      <c r="BQ135" s="677">
        <f>'[14]JSO (t)'!AR131</f>
        <v>15.271834803752231</v>
      </c>
      <c r="BR135" s="736">
        <f t="shared" si="118"/>
        <v>1.6524817796370606E-3</v>
      </c>
    </row>
    <row r="136" spans="3:75" x14ac:dyDescent="0.25">
      <c r="C136" s="223" t="s">
        <v>616</v>
      </c>
      <c r="D136" s="224"/>
      <c r="J136" s="136"/>
      <c r="K136" s="136"/>
      <c r="L136" s="136"/>
      <c r="M136" s="136"/>
      <c r="N136" s="136"/>
      <c r="O136" s="136"/>
      <c r="P136" s="136"/>
      <c r="Q136" s="136"/>
      <c r="R136" s="136"/>
      <c r="S136" s="136"/>
      <c r="T136" s="136"/>
      <c r="U136" s="136"/>
      <c r="AB136" s="136"/>
      <c r="AC136" s="136"/>
      <c r="AD136" s="136"/>
      <c r="AE136" s="136"/>
      <c r="AF136" s="136"/>
      <c r="AG136" s="136"/>
      <c r="AH136" s="136"/>
      <c r="AI136" s="136"/>
      <c r="AJ136" s="136"/>
      <c r="AK136" s="136"/>
      <c r="AL136" s="136"/>
      <c r="AS136" s="136"/>
      <c r="AT136" s="136"/>
      <c r="AU136" s="136"/>
      <c r="AV136" s="136"/>
      <c r="AW136" s="136"/>
      <c r="AX136" s="136"/>
      <c r="AY136" s="136"/>
      <c r="AZ136" s="136"/>
      <c r="BA136" s="136"/>
      <c r="BB136" s="136"/>
      <c r="BC136" s="136"/>
      <c r="BD136" s="136"/>
      <c r="BE136" s="257"/>
      <c r="BF136" s="252">
        <f>SUM(AC16:AF25)</f>
        <v>471000</v>
      </c>
      <c r="BH136" s="225"/>
      <c r="BI136" s="225"/>
      <c r="BJ136" s="225">
        <f>BJ128</f>
        <v>2668.29</v>
      </c>
      <c r="BK136" s="225"/>
      <c r="BL136" s="225"/>
      <c r="BM136" s="225">
        <f>SUM(BH136:BL136)</f>
        <v>2668.29</v>
      </c>
      <c r="BN136" s="736">
        <f t="shared" si="133"/>
        <v>3.2922163281749434E-2</v>
      </c>
      <c r="BO136" s="732">
        <f>BM136*1000/BF136</f>
        <v>5.6651592356687894</v>
      </c>
      <c r="BQ136" s="677">
        <f>'[14]JSO (t)'!AR132</f>
        <v>11.599999999999998</v>
      </c>
      <c r="BR136" s="736">
        <f t="shared" si="118"/>
        <v>-0.51162420382165608</v>
      </c>
    </row>
    <row r="137" spans="3:75" x14ac:dyDescent="0.25">
      <c r="J137" s="136"/>
      <c r="K137" s="136"/>
      <c r="L137" s="136"/>
      <c r="M137" s="136"/>
      <c r="N137" s="136"/>
      <c r="O137" s="136"/>
      <c r="P137" s="136"/>
      <c r="Q137" s="136"/>
      <c r="R137" s="136"/>
      <c r="S137" s="136"/>
      <c r="T137" s="136"/>
      <c r="U137" s="136"/>
      <c r="AB137" s="136"/>
      <c r="AC137" s="136"/>
      <c r="AD137" s="136"/>
      <c r="AE137" s="136"/>
      <c r="AF137" s="136"/>
      <c r="AG137" s="136"/>
      <c r="AH137" s="136"/>
      <c r="AI137" s="136"/>
      <c r="AJ137" s="136"/>
      <c r="AK137" s="136"/>
      <c r="AL137" s="136"/>
      <c r="AS137" s="136"/>
      <c r="AT137" s="136"/>
      <c r="AU137" s="136"/>
      <c r="AV137" s="136"/>
      <c r="AW137" s="136"/>
      <c r="AX137" s="136"/>
      <c r="AY137" s="136"/>
      <c r="AZ137" s="136"/>
      <c r="BA137" s="136"/>
      <c r="BB137" s="136"/>
      <c r="BC137" s="136"/>
      <c r="BD137" s="136"/>
      <c r="BE137" s="257"/>
      <c r="BF137" s="128"/>
    </row>
    <row r="138" spans="3:75" x14ac:dyDescent="0.25">
      <c r="J138" s="136"/>
      <c r="K138" s="136"/>
      <c r="L138" s="136"/>
      <c r="M138" s="136"/>
      <c r="N138" s="136"/>
      <c r="O138" s="136"/>
      <c r="P138" s="136"/>
      <c r="Q138" s="136"/>
      <c r="R138" s="136"/>
      <c r="S138" s="136"/>
      <c r="T138" s="136"/>
      <c r="U138" s="136"/>
      <c r="AB138" s="136"/>
      <c r="AC138" s="136"/>
      <c r="AD138" s="136"/>
      <c r="AE138" s="136"/>
      <c r="AF138" s="136"/>
      <c r="AG138" s="136"/>
      <c r="AH138" s="136"/>
      <c r="AI138" s="136"/>
      <c r="AJ138" s="136"/>
      <c r="AK138" s="136"/>
      <c r="AL138" s="136"/>
      <c r="AS138" s="136"/>
      <c r="AT138" s="136"/>
      <c r="AU138" s="136"/>
      <c r="AV138" s="136"/>
      <c r="AW138" s="136"/>
      <c r="AX138" s="136"/>
      <c r="AY138" s="136"/>
      <c r="AZ138" s="136"/>
      <c r="BA138" s="136"/>
      <c r="BB138" s="136"/>
      <c r="BC138" s="136"/>
      <c r="BD138" s="136"/>
      <c r="BE138" s="257"/>
    </row>
    <row r="139" spans="3:75" x14ac:dyDescent="0.25">
      <c r="E139" s="229" t="s">
        <v>197</v>
      </c>
      <c r="F139" s="229"/>
      <c r="G139" s="230" t="s">
        <v>156</v>
      </c>
      <c r="H139" s="230" t="s">
        <v>157</v>
      </c>
      <c r="I139" s="230" t="s">
        <v>155</v>
      </c>
      <c r="J139" s="136"/>
      <c r="K139" s="136"/>
      <c r="L139" s="136"/>
      <c r="M139" s="136"/>
      <c r="N139" s="136"/>
      <c r="O139" s="136"/>
      <c r="P139" s="136"/>
      <c r="Q139" s="136"/>
      <c r="R139" s="136"/>
      <c r="S139" s="136"/>
      <c r="T139" s="136"/>
      <c r="U139" s="136"/>
      <c r="AB139" s="136"/>
      <c r="AC139" s="136"/>
      <c r="AD139" s="136"/>
      <c r="AE139" s="136"/>
      <c r="AF139" s="136"/>
      <c r="AG139" s="136"/>
      <c r="AH139" s="136"/>
      <c r="AI139" s="136"/>
      <c r="AJ139" s="136"/>
      <c r="AK139" s="136"/>
      <c r="AL139" s="136"/>
      <c r="AS139" s="136"/>
      <c r="AT139" s="136"/>
      <c r="AU139" s="136"/>
      <c r="AV139" s="136"/>
      <c r="AW139" s="136"/>
      <c r="AX139" s="136"/>
      <c r="AY139" s="136"/>
      <c r="AZ139" s="136"/>
      <c r="BA139" s="136"/>
      <c r="BB139" s="136"/>
      <c r="BC139" s="136"/>
      <c r="BD139" s="136"/>
      <c r="BE139" s="257"/>
    </row>
    <row r="140" spans="3:75" x14ac:dyDescent="0.25">
      <c r="E140" s="231"/>
      <c r="F140" s="231"/>
      <c r="G140" s="231"/>
      <c r="H140" s="231"/>
      <c r="I140" s="231"/>
      <c r="J140" s="136"/>
      <c r="K140" s="136"/>
      <c r="L140" s="136"/>
      <c r="M140" s="136"/>
      <c r="N140" s="136"/>
      <c r="O140" s="136"/>
      <c r="P140" s="136"/>
      <c r="Q140" s="136"/>
      <c r="R140" s="136"/>
      <c r="S140" s="136"/>
      <c r="T140" s="136"/>
      <c r="U140" s="136"/>
      <c r="AB140" s="136"/>
      <c r="AC140" s="136"/>
      <c r="AD140" s="136"/>
      <c r="AE140" s="136"/>
      <c r="AF140" s="136"/>
      <c r="AG140" s="136"/>
      <c r="AH140" s="136"/>
      <c r="AI140" s="136"/>
      <c r="AJ140" s="136"/>
      <c r="AK140" s="136"/>
      <c r="AL140" s="136"/>
      <c r="AS140" s="136"/>
      <c r="AT140" s="136"/>
      <c r="AU140" s="136"/>
      <c r="AV140" s="136"/>
      <c r="AW140" s="136"/>
      <c r="AX140" s="136"/>
      <c r="AY140" s="136"/>
      <c r="AZ140" s="136"/>
      <c r="BA140" s="136"/>
      <c r="BB140" s="136"/>
      <c r="BC140" s="136"/>
      <c r="BD140" s="136"/>
      <c r="BE140" s="257"/>
    </row>
    <row r="141" spans="3:75" x14ac:dyDescent="0.25">
      <c r="E141" s="231" t="s">
        <v>45</v>
      </c>
      <c r="F141" s="231"/>
      <c r="G141" s="232">
        <f>SUM(AO18:AO19,AX18:BD19)</f>
        <v>9979.2228224999999</v>
      </c>
      <c r="H141" s="232">
        <f>SUM(AP18:AS19)</f>
        <v>30830.48</v>
      </c>
      <c r="I141" s="232">
        <f>SUM(G141:H141)</f>
        <v>40809.702822499996</v>
      </c>
      <c r="J141" s="136"/>
      <c r="K141" s="136"/>
      <c r="L141" s="136"/>
      <c r="M141" s="136"/>
      <c r="N141" s="136"/>
      <c r="O141" s="136"/>
      <c r="P141" s="136"/>
      <c r="Q141" s="136"/>
      <c r="R141" s="136"/>
      <c r="S141" s="136"/>
      <c r="T141" s="136"/>
      <c r="U141" s="136"/>
      <c r="AB141" s="136"/>
      <c r="AC141" s="136"/>
      <c r="AD141" s="136"/>
      <c r="AE141" s="136"/>
      <c r="AF141" s="136"/>
      <c r="AG141" s="136"/>
      <c r="AH141" s="136"/>
      <c r="AI141" s="136"/>
      <c r="AJ141" s="136"/>
      <c r="AK141" s="136"/>
      <c r="AL141" s="136"/>
      <c r="AS141" s="136"/>
      <c r="AT141" s="136"/>
      <c r="AU141" s="136"/>
      <c r="AV141" s="136"/>
      <c r="AW141" s="136"/>
      <c r="AX141" s="136"/>
      <c r="AY141" s="136"/>
      <c r="AZ141" s="136"/>
      <c r="BA141" s="136"/>
      <c r="BB141" s="136"/>
      <c r="BC141" s="136"/>
      <c r="BD141" s="136"/>
      <c r="BE141" s="257"/>
    </row>
    <row r="142" spans="3:75" x14ac:dyDescent="0.25">
      <c r="E142" s="231" t="s">
        <v>158</v>
      </c>
      <c r="F142" s="231"/>
      <c r="G142" s="232">
        <f>SUM(AO22:AO23,AX22:BD23)</f>
        <v>1938.1487954999998</v>
      </c>
      <c r="H142" s="232">
        <f>SUM(AP22:AS23)</f>
        <v>5808.12</v>
      </c>
      <c r="I142" s="232">
        <f t="shared" ref="I142:I160" si="134">SUM(G142:H142)</f>
        <v>7746.2687955000001</v>
      </c>
      <c r="J142" s="136"/>
      <c r="K142" s="136"/>
      <c r="L142" s="136"/>
      <c r="M142" s="136"/>
      <c r="N142" s="136"/>
      <c r="O142" s="136"/>
      <c r="P142" s="136"/>
      <c r="Q142" s="136"/>
      <c r="R142" s="136"/>
      <c r="S142" s="136"/>
      <c r="T142" s="136"/>
      <c r="U142" s="136"/>
      <c r="AB142" s="136"/>
      <c r="AC142" s="136"/>
      <c r="AD142" s="136"/>
      <c r="AE142" s="136"/>
      <c r="AF142" s="136"/>
      <c r="AG142" s="136"/>
      <c r="AH142" s="136"/>
      <c r="AI142" s="136"/>
      <c r="AJ142" s="136"/>
      <c r="AK142" s="136"/>
      <c r="AL142" s="136"/>
      <c r="AS142" s="136"/>
      <c r="AT142" s="136"/>
      <c r="AU142" s="136"/>
      <c r="AV142" s="136"/>
      <c r="AW142" s="136"/>
      <c r="AX142" s="136"/>
      <c r="AY142" s="136"/>
      <c r="AZ142" s="136"/>
      <c r="BA142" s="136"/>
      <c r="BB142" s="136"/>
      <c r="BC142" s="136"/>
      <c r="BD142" s="136"/>
      <c r="BE142" s="257"/>
    </row>
    <row r="143" spans="3:75" x14ac:dyDescent="0.25">
      <c r="E143" s="231" t="s">
        <v>54</v>
      </c>
      <c r="F143" s="231"/>
      <c r="G143" s="232">
        <f>SUM(AO24:AO25,AX24:BD25)</f>
        <v>172.48439999999999</v>
      </c>
      <c r="H143" s="232">
        <f>SUM(AP24:AS25)</f>
        <v>23.31</v>
      </c>
      <c r="I143" s="232">
        <f t="shared" si="134"/>
        <v>195.7944</v>
      </c>
      <c r="J143" s="136"/>
      <c r="K143" s="136"/>
      <c r="L143" s="136"/>
      <c r="M143" s="136"/>
      <c r="N143" s="136"/>
      <c r="O143" s="136"/>
      <c r="P143" s="136"/>
      <c r="Q143" s="136"/>
      <c r="R143" s="136"/>
      <c r="S143" s="136"/>
      <c r="T143" s="136"/>
      <c r="U143" s="136"/>
      <c r="AB143" s="136"/>
      <c r="AC143" s="136"/>
      <c r="AD143" s="136"/>
      <c r="AE143" s="136"/>
      <c r="AF143" s="136"/>
      <c r="AG143" s="136"/>
      <c r="AH143" s="136"/>
      <c r="AI143" s="136"/>
      <c r="AJ143" s="136"/>
      <c r="AK143" s="136"/>
      <c r="AL143" s="136"/>
      <c r="AS143" s="136"/>
      <c r="AT143" s="136"/>
      <c r="AU143" s="136"/>
      <c r="AV143" s="136"/>
      <c r="AW143" s="136"/>
      <c r="AX143" s="136"/>
      <c r="AY143" s="136"/>
      <c r="AZ143" s="136"/>
      <c r="BA143" s="136"/>
      <c r="BB143" s="136"/>
      <c r="BC143" s="136"/>
      <c r="BD143" s="136"/>
      <c r="BE143" s="257"/>
    </row>
    <row r="144" spans="3:75" x14ac:dyDescent="0.25">
      <c r="E144" s="231" t="s">
        <v>159</v>
      </c>
      <c r="F144" s="231"/>
      <c r="G144" s="232"/>
      <c r="H144" s="232">
        <f>SUM(AT16:AW126)-H145</f>
        <v>2147.08</v>
      </c>
      <c r="I144" s="232">
        <f t="shared" si="134"/>
        <v>2147.08</v>
      </c>
      <c r="J144" s="136"/>
      <c r="K144" s="136"/>
      <c r="L144" s="136"/>
      <c r="M144" s="136"/>
      <c r="N144" s="136"/>
      <c r="O144" s="136"/>
      <c r="P144" s="136"/>
      <c r="Q144" s="136"/>
      <c r="R144" s="136"/>
      <c r="S144" s="136"/>
      <c r="T144" s="136"/>
      <c r="U144" s="136"/>
      <c r="AB144" s="136"/>
      <c r="AC144" s="136"/>
      <c r="AD144" s="136"/>
      <c r="AE144" s="136"/>
      <c r="AF144" s="136"/>
      <c r="AG144" s="136"/>
      <c r="AH144" s="136"/>
      <c r="AI144" s="136"/>
      <c r="AJ144" s="136"/>
      <c r="AK144" s="136"/>
      <c r="AL144" s="136"/>
      <c r="AS144" s="136"/>
      <c r="AT144" s="136"/>
      <c r="AU144" s="136"/>
      <c r="AV144" s="136"/>
      <c r="AW144" s="136"/>
      <c r="AX144" s="136"/>
      <c r="AY144" s="136"/>
      <c r="AZ144" s="136"/>
      <c r="BA144" s="136"/>
      <c r="BB144" s="136"/>
      <c r="BC144" s="136"/>
      <c r="BD144" s="136"/>
      <c r="BE144" s="257"/>
    </row>
    <row r="145" spans="3:57" x14ac:dyDescent="0.25">
      <c r="E145" s="231" t="s">
        <v>160</v>
      </c>
      <c r="F145" s="231"/>
      <c r="G145" s="232"/>
      <c r="H145" s="232">
        <f>SUM(AT22:AW25,AT37:AW38,AT47:AW51)</f>
        <v>571.01</v>
      </c>
      <c r="I145" s="232">
        <f t="shared" si="134"/>
        <v>571.01</v>
      </c>
      <c r="J145" s="136"/>
      <c r="K145" s="136"/>
      <c r="L145" s="136"/>
      <c r="M145" s="136"/>
      <c r="N145" s="136"/>
      <c r="O145" s="136"/>
      <c r="P145" s="136"/>
      <c r="Q145" s="136"/>
      <c r="R145" s="136"/>
      <c r="S145" s="136"/>
      <c r="T145" s="136"/>
      <c r="U145" s="136"/>
      <c r="AB145" s="136"/>
      <c r="AC145" s="136"/>
      <c r="AD145" s="136"/>
      <c r="AE145" s="136"/>
      <c r="AF145" s="136"/>
      <c r="AG145" s="136"/>
      <c r="AH145" s="136"/>
      <c r="AI145" s="136"/>
      <c r="AJ145" s="136"/>
      <c r="AK145" s="136"/>
      <c r="AL145" s="136"/>
      <c r="AS145" s="136"/>
      <c r="AT145" s="136"/>
      <c r="AU145" s="136"/>
      <c r="AV145" s="136"/>
      <c r="AW145" s="136"/>
      <c r="AX145" s="136"/>
      <c r="AY145" s="136"/>
      <c r="AZ145" s="136"/>
      <c r="BA145" s="136"/>
      <c r="BB145" s="136"/>
      <c r="BC145" s="136"/>
      <c r="BD145" s="136"/>
      <c r="BE145" s="257"/>
    </row>
    <row r="146" spans="3:57" x14ac:dyDescent="0.25">
      <c r="E146" s="231" t="s">
        <v>161</v>
      </c>
      <c r="F146" s="231"/>
      <c r="G146" s="232">
        <f>SUM(AO28:AO29,AX28:BD29)</f>
        <v>0</v>
      </c>
      <c r="H146" s="232">
        <f>SUM(AP28:AS29)</f>
        <v>572</v>
      </c>
      <c r="I146" s="232">
        <f t="shared" si="134"/>
        <v>572</v>
      </c>
      <c r="J146" s="136"/>
      <c r="K146" s="136"/>
      <c r="L146" s="136"/>
      <c r="M146" s="136"/>
      <c r="N146" s="136"/>
      <c r="O146" s="136"/>
      <c r="P146" s="136"/>
      <c r="Q146" s="136"/>
      <c r="R146" s="136"/>
      <c r="S146" s="136"/>
      <c r="T146" s="136"/>
      <c r="U146" s="136"/>
      <c r="AB146" s="136"/>
      <c r="AC146" s="136"/>
      <c r="AD146" s="136"/>
      <c r="AE146" s="136"/>
      <c r="AF146" s="136"/>
      <c r="AG146" s="136"/>
      <c r="AH146" s="136"/>
      <c r="AI146" s="136"/>
      <c r="AJ146" s="136"/>
      <c r="AK146" s="136"/>
      <c r="AL146" s="136"/>
      <c r="AS146" s="136"/>
      <c r="AT146" s="136"/>
      <c r="AU146" s="136"/>
      <c r="AV146" s="136"/>
      <c r="AW146" s="136"/>
      <c r="AX146" s="136"/>
      <c r="AY146" s="136"/>
      <c r="AZ146" s="136"/>
      <c r="BA146" s="136"/>
      <c r="BB146" s="136"/>
      <c r="BC146" s="136"/>
      <c r="BD146" s="136"/>
      <c r="BE146" s="257"/>
    </row>
    <row r="147" spans="3:57" x14ac:dyDescent="0.25">
      <c r="E147" s="231" t="s">
        <v>162</v>
      </c>
      <c r="F147" s="231"/>
      <c r="G147" s="232">
        <f>SUM(AO31:AO35,AO42:AO45,AX31:BD35,AX42:BD45)</f>
        <v>1054.0300499999998</v>
      </c>
      <c r="H147" s="232">
        <f>SUM(AP31:AS35,AP42:AS45)</f>
        <v>5211.34</v>
      </c>
      <c r="I147" s="232">
        <f t="shared" si="134"/>
        <v>6265.3700499999995</v>
      </c>
      <c r="J147" s="136"/>
      <c r="K147" s="136"/>
      <c r="L147" s="136"/>
      <c r="M147" s="136"/>
      <c r="N147" s="136"/>
      <c r="O147" s="136"/>
      <c r="P147" s="136"/>
      <c r="Q147" s="136"/>
      <c r="R147" s="136"/>
      <c r="S147" s="136"/>
      <c r="T147" s="136"/>
      <c r="U147" s="136"/>
      <c r="AB147" s="136"/>
      <c r="AC147" s="136"/>
      <c r="AD147" s="136"/>
      <c r="AE147" s="136"/>
      <c r="AF147" s="136"/>
      <c r="AG147" s="136"/>
      <c r="AH147" s="136"/>
      <c r="AI147" s="136"/>
      <c r="AJ147" s="136"/>
      <c r="AK147" s="136"/>
      <c r="AL147" s="136"/>
      <c r="AS147" s="136"/>
      <c r="AT147" s="136"/>
      <c r="AU147" s="136"/>
      <c r="AV147" s="136"/>
      <c r="AW147" s="136"/>
      <c r="AX147" s="136"/>
      <c r="AY147" s="136"/>
      <c r="AZ147" s="136"/>
      <c r="BA147" s="136"/>
      <c r="BB147" s="136"/>
      <c r="BC147" s="136"/>
      <c r="BD147" s="136"/>
      <c r="BE147" s="257"/>
    </row>
    <row r="148" spans="3:57" x14ac:dyDescent="0.25">
      <c r="E148" s="231" t="s">
        <v>163</v>
      </c>
      <c r="F148" s="231"/>
      <c r="G148" s="232">
        <f>SUM(AO37:AO37,AX37:BD37)</f>
        <v>300.63006000000001</v>
      </c>
      <c r="H148" s="232">
        <f>SUM(AP37:AS37)</f>
        <v>3395.21</v>
      </c>
      <c r="I148" s="232">
        <f t="shared" si="134"/>
        <v>3695.84006</v>
      </c>
      <c r="J148" s="136"/>
      <c r="K148" s="136"/>
      <c r="L148" s="136"/>
      <c r="M148" s="136"/>
      <c r="N148" s="136"/>
      <c r="O148" s="136"/>
      <c r="P148" s="136"/>
      <c r="Q148" s="136"/>
      <c r="R148" s="136"/>
      <c r="S148" s="136"/>
      <c r="T148" s="136"/>
      <c r="U148" s="136"/>
      <c r="AB148" s="136"/>
      <c r="AC148" s="136"/>
      <c r="AD148" s="136"/>
      <c r="AE148" s="136"/>
      <c r="AF148" s="136"/>
      <c r="AG148" s="136"/>
      <c r="AH148" s="136"/>
      <c r="AI148" s="136"/>
      <c r="AJ148" s="136"/>
      <c r="AK148" s="136"/>
      <c r="AL148" s="136"/>
      <c r="AS148" s="136"/>
      <c r="AT148" s="136"/>
      <c r="AU148" s="136"/>
      <c r="AV148" s="136"/>
      <c r="AW148" s="136"/>
      <c r="AX148" s="136"/>
      <c r="AY148" s="136"/>
      <c r="AZ148" s="136"/>
      <c r="BA148" s="136"/>
      <c r="BB148" s="136"/>
      <c r="BC148" s="136"/>
      <c r="BD148" s="136"/>
      <c r="BE148" s="257"/>
    </row>
    <row r="149" spans="3:57" x14ac:dyDescent="0.25">
      <c r="E149" s="231" t="s">
        <v>164</v>
      </c>
      <c r="F149" s="231"/>
      <c r="G149" s="232">
        <f>SUM(AO38:AO38,AX38:BD38)</f>
        <v>21.917191499999998</v>
      </c>
      <c r="H149" s="232">
        <f>SUM(AP38:AS38)</f>
        <v>408.1</v>
      </c>
      <c r="I149" s="232">
        <f t="shared" si="134"/>
        <v>430.01719150000002</v>
      </c>
      <c r="J149" s="136"/>
      <c r="K149" s="136"/>
      <c r="L149" s="136"/>
      <c r="M149" s="136"/>
      <c r="N149" s="136"/>
      <c r="O149" s="136"/>
      <c r="P149" s="136"/>
      <c r="Q149" s="136"/>
      <c r="R149" s="136"/>
      <c r="S149" s="136"/>
      <c r="T149" s="136"/>
      <c r="U149" s="136"/>
      <c r="AB149" s="136"/>
      <c r="AC149" s="136"/>
      <c r="AD149" s="136"/>
      <c r="AE149" s="136"/>
      <c r="AF149" s="136"/>
      <c r="AG149" s="136"/>
      <c r="AH149" s="136"/>
      <c r="AI149" s="136"/>
      <c r="AJ149" s="136"/>
      <c r="AK149" s="136"/>
      <c r="AL149" s="136"/>
      <c r="AS149" s="136"/>
      <c r="AT149" s="136"/>
      <c r="AU149" s="136"/>
      <c r="AV149" s="136"/>
      <c r="AW149" s="136"/>
      <c r="AX149" s="136"/>
      <c r="AY149" s="136"/>
      <c r="AZ149" s="136"/>
      <c r="BA149" s="136"/>
      <c r="BB149" s="136"/>
      <c r="BC149" s="136"/>
      <c r="BD149" s="136"/>
      <c r="BE149" s="257"/>
    </row>
    <row r="150" spans="3:57" x14ac:dyDescent="0.25">
      <c r="E150" s="231" t="s">
        <v>165</v>
      </c>
      <c r="F150" s="231"/>
      <c r="G150" s="232">
        <f>SUM(AO39:AO39,AX39:BD39)</f>
        <v>16.726672499999999</v>
      </c>
      <c r="H150" s="232">
        <f>SUM(AP39:AS39)</f>
        <v>207.32000000000002</v>
      </c>
      <c r="I150" s="232">
        <f t="shared" si="134"/>
        <v>224.04667250000003</v>
      </c>
      <c r="J150" s="136"/>
      <c r="K150" s="136"/>
      <c r="L150" s="136"/>
      <c r="M150" s="136"/>
      <c r="N150" s="136"/>
      <c r="O150" s="136"/>
      <c r="P150" s="136"/>
      <c r="Q150" s="136"/>
      <c r="R150" s="136"/>
      <c r="S150" s="136"/>
      <c r="T150" s="136"/>
      <c r="U150" s="136"/>
      <c r="AB150" s="136"/>
      <c r="AC150" s="136"/>
      <c r="AD150" s="136"/>
      <c r="AE150" s="136"/>
      <c r="AF150" s="136"/>
      <c r="AG150" s="136"/>
      <c r="AH150" s="136"/>
      <c r="AI150" s="136"/>
      <c r="AJ150" s="136"/>
      <c r="AK150" s="136"/>
      <c r="AL150" s="136"/>
      <c r="AS150" s="136"/>
      <c r="AT150" s="136"/>
      <c r="AU150" s="136"/>
      <c r="AV150" s="136"/>
      <c r="AW150" s="136"/>
      <c r="AX150" s="136"/>
      <c r="AY150" s="136"/>
      <c r="AZ150" s="136"/>
      <c r="BA150" s="136"/>
      <c r="BB150" s="136"/>
      <c r="BC150" s="136"/>
      <c r="BD150" s="136"/>
      <c r="BE150" s="257"/>
    </row>
    <row r="151" spans="3:57" x14ac:dyDescent="0.25">
      <c r="E151" s="231" t="s">
        <v>166</v>
      </c>
      <c r="F151" s="231"/>
      <c r="G151" s="232">
        <f>SUM(AO47:AO47,AO53:AO64,AX47:BD47,AX53:BD64)</f>
        <v>0</v>
      </c>
      <c r="H151" s="232">
        <f>SUM(AP47:AS47,AP53:AS64)</f>
        <v>13551.089999999997</v>
      </c>
      <c r="I151" s="232">
        <f t="shared" si="134"/>
        <v>13551.089999999997</v>
      </c>
      <c r="J151" s="136"/>
      <c r="K151" s="136"/>
      <c r="L151" s="136"/>
      <c r="M151" s="136"/>
      <c r="N151" s="136"/>
      <c r="O151" s="136"/>
      <c r="P151" s="136"/>
      <c r="Q151" s="136"/>
      <c r="R151" s="136"/>
      <c r="S151" s="136"/>
      <c r="T151" s="136"/>
      <c r="U151" s="136"/>
      <c r="AB151" s="136"/>
      <c r="AC151" s="136"/>
      <c r="AD151" s="136"/>
      <c r="AE151" s="136"/>
      <c r="AF151" s="136"/>
      <c r="AG151" s="136"/>
      <c r="AH151" s="136"/>
      <c r="AI151" s="136"/>
      <c r="AJ151" s="136"/>
      <c r="AK151" s="136"/>
      <c r="AL151" s="136"/>
      <c r="AS151" s="136"/>
      <c r="AT151" s="136"/>
      <c r="AU151" s="136"/>
      <c r="AV151" s="136"/>
      <c r="AW151" s="136"/>
      <c r="AX151" s="136"/>
      <c r="AY151" s="136"/>
      <c r="AZ151" s="136"/>
      <c r="BA151" s="136"/>
      <c r="BB151" s="136"/>
      <c r="BC151" s="136"/>
      <c r="BD151" s="136"/>
      <c r="BE151" s="257"/>
    </row>
    <row r="152" spans="3:57" x14ac:dyDescent="0.25">
      <c r="E152" s="231" t="s">
        <v>167</v>
      </c>
      <c r="F152" s="231"/>
      <c r="G152" s="232">
        <f>SUM(AO48:AO49,AX48:BD49)</f>
        <v>0</v>
      </c>
      <c r="H152" s="232">
        <f>SUM(AP48:AS49)</f>
        <v>738.15</v>
      </c>
      <c r="I152" s="232">
        <f t="shared" si="134"/>
        <v>738.15</v>
      </c>
      <c r="J152" s="136"/>
      <c r="K152" s="136"/>
      <c r="L152" s="136"/>
      <c r="M152" s="136"/>
      <c r="N152" s="136"/>
      <c r="O152" s="136"/>
      <c r="P152" s="136"/>
      <c r="Q152" s="136"/>
      <c r="R152" s="136"/>
      <c r="S152" s="136"/>
      <c r="T152" s="136"/>
      <c r="U152" s="136"/>
      <c r="AB152" s="136"/>
      <c r="AC152" s="136"/>
      <c r="AD152" s="136"/>
      <c r="AE152" s="136"/>
      <c r="AF152" s="136"/>
      <c r="AG152" s="136"/>
      <c r="AH152" s="136"/>
      <c r="AI152" s="136"/>
      <c r="AJ152" s="136"/>
      <c r="AK152" s="136"/>
      <c r="AL152" s="136"/>
      <c r="AS152" s="136"/>
      <c r="AT152" s="136"/>
      <c r="AU152" s="136"/>
      <c r="AV152" s="136"/>
      <c r="AW152" s="136"/>
      <c r="AX152" s="136"/>
      <c r="AY152" s="136"/>
      <c r="AZ152" s="136"/>
      <c r="BA152" s="136"/>
      <c r="BB152" s="136"/>
      <c r="BC152" s="136"/>
      <c r="BD152" s="136"/>
      <c r="BE152" s="257"/>
    </row>
    <row r="153" spans="3:57" x14ac:dyDescent="0.25">
      <c r="E153" s="231" t="s">
        <v>168</v>
      </c>
      <c r="F153" s="231"/>
      <c r="G153" s="232">
        <f>SUM(AO50:AO51,AX50:BD51)</f>
        <v>0</v>
      </c>
      <c r="H153" s="232">
        <f>SUM(AP50:AS51)</f>
        <v>369.2</v>
      </c>
      <c r="I153" s="232">
        <f t="shared" si="134"/>
        <v>369.2</v>
      </c>
      <c r="J153" s="136"/>
      <c r="K153" s="136"/>
      <c r="L153" s="136"/>
      <c r="M153" s="136"/>
      <c r="N153" s="136"/>
      <c r="O153" s="136"/>
      <c r="P153" s="136"/>
      <c r="Q153" s="136"/>
      <c r="R153" s="136"/>
      <c r="S153" s="136"/>
      <c r="T153" s="136"/>
      <c r="U153" s="136"/>
      <c r="AB153" s="136"/>
      <c r="AC153" s="136"/>
      <c r="AD153" s="136"/>
      <c r="AE153" s="136"/>
      <c r="AF153" s="136"/>
      <c r="AG153" s="136"/>
      <c r="AH153" s="136"/>
      <c r="AI153" s="136"/>
      <c r="AJ153" s="136"/>
      <c r="AK153" s="136"/>
      <c r="AL153" s="136"/>
      <c r="AS153" s="136"/>
      <c r="AT153" s="136"/>
      <c r="AU153" s="136"/>
      <c r="AV153" s="136"/>
      <c r="AW153" s="136"/>
      <c r="AX153" s="136"/>
      <c r="AY153" s="136"/>
      <c r="AZ153" s="136"/>
      <c r="BA153" s="136"/>
      <c r="BB153" s="136"/>
      <c r="BC153" s="136"/>
      <c r="BD153" s="136"/>
      <c r="BE153" s="257"/>
    </row>
    <row r="154" spans="3:57" x14ac:dyDescent="0.25">
      <c r="E154" s="231" t="s">
        <v>169</v>
      </c>
      <c r="F154" s="231"/>
      <c r="G154" s="232">
        <f>SUM(AO70:AO70,AO74,AO77:AO85,AX70:BD70,AX74:BD74,AX77:BD85)</f>
        <v>0</v>
      </c>
      <c r="H154" s="232">
        <f>SUM(AP70:AS70,AP74:AS74,AP77:AS85)</f>
        <v>2549.4400000000005</v>
      </c>
      <c r="I154" s="232">
        <f t="shared" si="134"/>
        <v>2549.4400000000005</v>
      </c>
      <c r="J154" s="136"/>
      <c r="K154" s="136"/>
      <c r="L154" s="136"/>
      <c r="M154" s="136"/>
      <c r="N154" s="136"/>
      <c r="O154" s="136"/>
      <c r="P154" s="136"/>
      <c r="Q154" s="136"/>
      <c r="R154" s="136"/>
      <c r="S154" s="136"/>
      <c r="T154" s="136"/>
      <c r="U154" s="136"/>
      <c r="AB154" s="136"/>
      <c r="AC154" s="136"/>
      <c r="AD154" s="136"/>
      <c r="AE154" s="136"/>
      <c r="AF154" s="136"/>
      <c r="AG154" s="136"/>
      <c r="AH154" s="136"/>
      <c r="AI154" s="136"/>
      <c r="AJ154" s="136"/>
      <c r="AK154" s="136"/>
      <c r="AL154" s="136"/>
      <c r="AS154" s="136"/>
      <c r="AT154" s="136"/>
      <c r="AU154" s="136"/>
      <c r="AV154" s="136"/>
      <c r="AW154" s="136"/>
      <c r="AX154" s="136"/>
      <c r="AY154" s="136"/>
      <c r="AZ154" s="136"/>
      <c r="BA154" s="136"/>
      <c r="BB154" s="136"/>
      <c r="BC154" s="136"/>
      <c r="BD154" s="136"/>
      <c r="BE154" s="257"/>
    </row>
    <row r="155" spans="3:57" x14ac:dyDescent="0.25">
      <c r="E155" s="231" t="s">
        <v>170</v>
      </c>
      <c r="F155" s="231"/>
      <c r="G155" s="232">
        <f>SUM(AO71:AO72,AX71:BD72)</f>
        <v>0</v>
      </c>
      <c r="H155" s="232">
        <f>SUM(AP71:AS72)</f>
        <v>63.680000000000007</v>
      </c>
      <c r="I155" s="232">
        <f t="shared" si="134"/>
        <v>63.680000000000007</v>
      </c>
      <c r="J155" s="136"/>
      <c r="K155" s="136"/>
      <c r="L155" s="136"/>
      <c r="M155" s="136"/>
      <c r="N155" s="136"/>
      <c r="O155" s="136"/>
      <c r="P155" s="136"/>
      <c r="Q155" s="136"/>
      <c r="R155" s="136"/>
      <c r="S155" s="136"/>
      <c r="T155" s="136"/>
      <c r="U155" s="136"/>
      <c r="AB155" s="136"/>
      <c r="AC155" s="136"/>
      <c r="AD155" s="136"/>
      <c r="AE155" s="136"/>
      <c r="AF155" s="136"/>
      <c r="AG155" s="136"/>
      <c r="AH155" s="136"/>
      <c r="AI155" s="136"/>
      <c r="AJ155" s="136"/>
      <c r="AK155" s="136"/>
      <c r="AL155" s="136"/>
      <c r="AS155" s="136"/>
      <c r="AT155" s="136"/>
      <c r="AU155" s="136"/>
      <c r="AV155" s="136"/>
      <c r="AW155" s="136"/>
      <c r="AX155" s="136"/>
      <c r="AY155" s="136"/>
      <c r="AZ155" s="136"/>
      <c r="BA155" s="136"/>
      <c r="BB155" s="136"/>
      <c r="BC155" s="136"/>
      <c r="BD155" s="136"/>
      <c r="BE155" s="257"/>
    </row>
    <row r="156" spans="3:57" x14ac:dyDescent="0.25">
      <c r="E156" s="231" t="s">
        <v>171</v>
      </c>
      <c r="F156" s="231"/>
      <c r="G156" s="232">
        <f>SUM(AO73,AO75:AO75,AX73:BD73,AX75:BD75)</f>
        <v>0</v>
      </c>
      <c r="H156" s="232">
        <f>SUM(AP73:AS73,AP75:AS75)</f>
        <v>45</v>
      </c>
      <c r="I156" s="232">
        <f t="shared" si="134"/>
        <v>45</v>
      </c>
      <c r="J156" s="136"/>
      <c r="K156" s="136"/>
      <c r="L156" s="136"/>
      <c r="M156" s="136"/>
      <c r="N156" s="136"/>
      <c r="O156" s="136"/>
      <c r="P156" s="136"/>
      <c r="Q156" s="136"/>
      <c r="R156" s="136"/>
      <c r="S156" s="136"/>
      <c r="T156" s="136"/>
      <c r="U156" s="136"/>
      <c r="AB156" s="136"/>
      <c r="AC156" s="136"/>
      <c r="AD156" s="136"/>
      <c r="AE156" s="136"/>
      <c r="AF156" s="136"/>
      <c r="AG156" s="136"/>
      <c r="AH156" s="136"/>
      <c r="AI156" s="136"/>
      <c r="AJ156" s="136"/>
      <c r="AK156" s="136"/>
      <c r="AL156" s="136"/>
      <c r="AS156" s="136"/>
      <c r="AT156" s="136"/>
      <c r="AU156" s="136"/>
      <c r="AV156" s="136"/>
      <c r="AW156" s="136"/>
      <c r="AX156" s="136"/>
      <c r="AY156" s="136"/>
      <c r="AZ156" s="136"/>
      <c r="BA156" s="136"/>
      <c r="BB156" s="136"/>
      <c r="BC156" s="136"/>
      <c r="BD156" s="136"/>
      <c r="BE156" s="257"/>
    </row>
    <row r="157" spans="3:57" x14ac:dyDescent="0.25">
      <c r="E157" s="231" t="s">
        <v>172</v>
      </c>
      <c r="F157" s="231"/>
      <c r="G157" s="232">
        <f>SUM(AO94:AO100,AX94:BD100)</f>
        <v>0</v>
      </c>
      <c r="H157" s="232">
        <f>SUM(AP94:AS100)</f>
        <v>94.741433506800007</v>
      </c>
      <c r="I157" s="232">
        <f t="shared" si="134"/>
        <v>94.741433506800007</v>
      </c>
      <c r="J157" s="136"/>
      <c r="K157" s="136"/>
      <c r="L157" s="136"/>
      <c r="M157" s="136"/>
      <c r="N157" s="136"/>
      <c r="O157" s="136"/>
      <c r="P157" s="136"/>
      <c r="Q157" s="136"/>
      <c r="R157" s="136"/>
      <c r="S157" s="136"/>
      <c r="T157" s="136"/>
      <c r="U157" s="136"/>
      <c r="AB157" s="136"/>
      <c r="AC157" s="136"/>
      <c r="AD157" s="136"/>
      <c r="AE157" s="136"/>
      <c r="AF157" s="136"/>
      <c r="AG157" s="136"/>
      <c r="AH157" s="136"/>
      <c r="AI157" s="136"/>
      <c r="AJ157" s="136"/>
      <c r="AK157" s="136"/>
      <c r="AL157" s="136"/>
      <c r="AS157" s="136"/>
      <c r="AT157" s="136"/>
      <c r="AU157" s="136"/>
      <c r="AV157" s="136"/>
      <c r="AW157" s="136"/>
      <c r="AX157" s="136"/>
      <c r="AY157" s="136"/>
      <c r="AZ157" s="136"/>
      <c r="BA157" s="136"/>
      <c r="BB157" s="136"/>
      <c r="BC157" s="136"/>
      <c r="BD157" s="136"/>
      <c r="BE157" s="257"/>
    </row>
    <row r="158" spans="3:57" x14ac:dyDescent="0.25">
      <c r="C158" s="222"/>
      <c r="D158" s="222"/>
      <c r="E158" s="231" t="s">
        <v>173</v>
      </c>
      <c r="F158" s="231"/>
      <c r="G158" s="232">
        <f>SUM(AO102:AO110,AX102:BD110)</f>
        <v>0</v>
      </c>
      <c r="H158" s="232">
        <f>SUM(AP102:AS110)</f>
        <v>363.43784790360002</v>
      </c>
      <c r="I158" s="232">
        <f t="shared" si="134"/>
        <v>363.43784790360002</v>
      </c>
      <c r="J158" s="136"/>
      <c r="K158" s="136"/>
      <c r="L158" s="136"/>
      <c r="M158" s="136"/>
      <c r="N158" s="136"/>
      <c r="O158" s="136"/>
      <c r="P158" s="136"/>
      <c r="Q158" s="136"/>
      <c r="R158" s="136"/>
      <c r="S158" s="136"/>
      <c r="T158" s="136"/>
      <c r="U158" s="136"/>
      <c r="AB158" s="136"/>
      <c r="AC158" s="136"/>
      <c r="AD158" s="136"/>
      <c r="AE158" s="136"/>
      <c r="AF158" s="136"/>
      <c r="AG158" s="136"/>
      <c r="AH158" s="136"/>
      <c r="AI158" s="136"/>
      <c r="AJ158" s="136"/>
      <c r="AK158" s="136"/>
      <c r="AL158" s="136"/>
      <c r="AS158" s="136"/>
      <c r="AT158" s="136"/>
      <c r="AU158" s="136"/>
      <c r="AV158" s="136"/>
      <c r="AW158" s="136"/>
      <c r="AX158" s="136"/>
      <c r="AY158" s="136"/>
      <c r="AZ158" s="136"/>
      <c r="BA158" s="136"/>
      <c r="BB158" s="136"/>
      <c r="BC158" s="136"/>
      <c r="BD158" s="136"/>
      <c r="BE158" s="257"/>
    </row>
    <row r="159" spans="3:57" x14ac:dyDescent="0.25">
      <c r="C159" s="222"/>
      <c r="D159" s="222"/>
      <c r="E159" s="231" t="s">
        <v>174</v>
      </c>
      <c r="F159" s="231"/>
      <c r="G159" s="232">
        <f>SUM(AO113:AO116,AX113:BD116)</f>
        <v>0</v>
      </c>
      <c r="H159" s="232">
        <f>SUM(AP113:AS116)</f>
        <v>18.743947883099999</v>
      </c>
      <c r="I159" s="232">
        <f t="shared" si="134"/>
        <v>18.743947883099999</v>
      </c>
      <c r="J159" s="136"/>
      <c r="K159" s="136"/>
      <c r="L159" s="136"/>
      <c r="M159" s="136"/>
      <c r="N159" s="136"/>
      <c r="O159" s="136"/>
      <c r="P159" s="136"/>
      <c r="Q159" s="136"/>
      <c r="R159" s="136"/>
      <c r="S159" s="136"/>
      <c r="T159" s="136"/>
      <c r="U159" s="136"/>
      <c r="AB159" s="136"/>
      <c r="AC159" s="136"/>
      <c r="AD159" s="136"/>
      <c r="AE159" s="136"/>
      <c r="AF159" s="136"/>
      <c r="AG159" s="136"/>
      <c r="AH159" s="136"/>
      <c r="AI159" s="136"/>
      <c r="AJ159" s="136"/>
      <c r="AK159" s="136"/>
      <c r="AL159" s="136"/>
      <c r="AS159" s="136"/>
      <c r="AT159" s="136"/>
      <c r="AU159" s="136"/>
      <c r="AV159" s="136"/>
      <c r="AW159" s="136"/>
      <c r="AX159" s="136"/>
      <c r="AY159" s="136"/>
      <c r="AZ159" s="136"/>
      <c r="BA159" s="136"/>
      <c r="BB159" s="136"/>
      <c r="BC159" s="136"/>
      <c r="BD159" s="136"/>
      <c r="BE159" s="257"/>
    </row>
    <row r="160" spans="3:57" x14ac:dyDescent="0.25">
      <c r="C160" s="222"/>
      <c r="D160" s="222"/>
      <c r="E160" s="231" t="s">
        <v>175</v>
      </c>
      <c r="F160" s="231"/>
      <c r="G160" s="232">
        <f>SUM(AO118:AO126,AX118:BD126)</f>
        <v>0</v>
      </c>
      <c r="H160" s="232">
        <f>SUM(AP118:AS126)</f>
        <v>597.82752558719994</v>
      </c>
      <c r="I160" s="232">
        <f t="shared" si="134"/>
        <v>597.82752558719994</v>
      </c>
      <c r="J160" s="136"/>
      <c r="K160" s="136"/>
      <c r="L160" s="136"/>
      <c r="M160" s="136"/>
      <c r="N160" s="136"/>
      <c r="O160" s="136"/>
      <c r="P160" s="136"/>
      <c r="Q160" s="136"/>
      <c r="R160" s="136"/>
      <c r="S160" s="136"/>
      <c r="T160" s="136"/>
      <c r="U160" s="136"/>
      <c r="AB160" s="136"/>
      <c r="AC160" s="136"/>
      <c r="AD160" s="136"/>
      <c r="AE160" s="136"/>
      <c r="AF160" s="136"/>
      <c r="AG160" s="136"/>
      <c r="AH160" s="136"/>
      <c r="AI160" s="136"/>
      <c r="AJ160" s="136"/>
      <c r="AK160" s="136"/>
      <c r="AL160" s="136"/>
      <c r="AS160" s="136"/>
      <c r="AT160" s="136"/>
      <c r="AU160" s="136"/>
      <c r="AV160" s="136"/>
      <c r="AW160" s="136"/>
      <c r="AX160" s="136"/>
      <c r="AY160" s="136"/>
      <c r="AZ160" s="136"/>
      <c r="BA160" s="136"/>
      <c r="BB160" s="136"/>
      <c r="BC160" s="136"/>
      <c r="BD160" s="136"/>
      <c r="BE160" s="257"/>
    </row>
    <row r="161" spans="5:42" ht="15.75" thickBot="1" x14ac:dyDescent="0.3">
      <c r="E161" s="231"/>
      <c r="F161" s="231"/>
      <c r="G161" s="233">
        <f>SUM(G141:G160)</f>
        <v>13483.159991999999</v>
      </c>
      <c r="H161" s="233">
        <f>SUM(H141:H160)</f>
        <v>67565.280754880674</v>
      </c>
      <c r="I161" s="233">
        <f>SUM(I141:I160)</f>
        <v>81048.440746880675</v>
      </c>
    </row>
    <row r="162" spans="5:42" x14ac:dyDescent="0.25">
      <c r="E162" s="229" t="s">
        <v>176</v>
      </c>
      <c r="F162" s="229"/>
      <c r="G162" s="234"/>
      <c r="H162" s="234"/>
      <c r="I162" s="235">
        <f>SUM(BM133)</f>
        <v>81048.440746880689</v>
      </c>
    </row>
    <row r="163" spans="5:42" x14ac:dyDescent="0.25">
      <c r="E163" s="229" t="s">
        <v>177</v>
      </c>
      <c r="F163" s="229"/>
      <c r="G163" s="235"/>
      <c r="H163" s="235"/>
      <c r="I163" s="235">
        <f>I162-I161</f>
        <v>0</v>
      </c>
    </row>
    <row r="164" spans="5:42" x14ac:dyDescent="0.25">
      <c r="Y164" s="137"/>
      <c r="AP164" s="137"/>
    </row>
    <row r="165" spans="5:42" x14ac:dyDescent="0.25">
      <c r="Y165" s="137"/>
      <c r="AP165" s="137"/>
    </row>
    <row r="166" spans="5:42" x14ac:dyDescent="0.25">
      <c r="Y166" s="137"/>
      <c r="AP166" s="137"/>
    </row>
    <row r="167" spans="5:42" x14ac:dyDescent="0.25">
      <c r="H167" s="137"/>
      <c r="Y167" s="137"/>
      <c r="AP167" s="137"/>
    </row>
    <row r="168" spans="5:42" x14ac:dyDescent="0.25">
      <c r="H168" s="137"/>
      <c r="Y168" s="137"/>
      <c r="AP168" s="137"/>
    </row>
    <row r="169" spans="5:42" x14ac:dyDescent="0.25">
      <c r="H169" s="137"/>
      <c r="Y169" s="137"/>
      <c r="AP169" s="137"/>
    </row>
    <row r="170" spans="5:42" x14ac:dyDescent="0.25">
      <c r="H170" s="137"/>
      <c r="Y170" s="137"/>
      <c r="AP170" s="137"/>
    </row>
    <row r="171" spans="5:42" x14ac:dyDescent="0.25">
      <c r="H171" s="137"/>
      <c r="Y171" s="137"/>
      <c r="AP171" s="137"/>
    </row>
    <row r="172" spans="5:42" x14ac:dyDescent="0.25">
      <c r="H172" s="137"/>
      <c r="Y172" s="137"/>
      <c r="AP172" s="137"/>
    </row>
    <row r="173" spans="5:42" x14ac:dyDescent="0.25">
      <c r="H173" s="137"/>
      <c r="Y173" s="137"/>
      <c r="AP173" s="137"/>
    </row>
    <row r="174" spans="5:42" x14ac:dyDescent="0.25">
      <c r="H174" s="137"/>
      <c r="Y174" s="137"/>
      <c r="AP174" s="137"/>
    </row>
    <row r="175" spans="5:42" x14ac:dyDescent="0.25">
      <c r="H175" s="137"/>
      <c r="Y175" s="137"/>
      <c r="AP175" s="137"/>
    </row>
    <row r="176" spans="5:42" x14ac:dyDescent="0.25">
      <c r="H176" s="137"/>
      <c r="Y176" s="137"/>
      <c r="AP176" s="137"/>
    </row>
    <row r="177" spans="3:45" x14ac:dyDescent="0.25">
      <c r="H177" s="137"/>
      <c r="Y177" s="137"/>
      <c r="AP177" s="137"/>
    </row>
    <row r="178" spans="3:45" x14ac:dyDescent="0.25">
      <c r="H178" s="137"/>
      <c r="Y178" s="137"/>
      <c r="AP178" s="137"/>
    </row>
    <row r="179" spans="3:45" x14ac:dyDescent="0.25">
      <c r="H179" s="137"/>
      <c r="Y179" s="137"/>
      <c r="AP179" s="137"/>
    </row>
    <row r="180" spans="3:45" x14ac:dyDescent="0.25">
      <c r="H180" s="137"/>
      <c r="Y180" s="137"/>
      <c r="AP180" s="137"/>
    </row>
    <row r="181" spans="3:45" x14ac:dyDescent="0.25">
      <c r="H181" s="137"/>
      <c r="Y181" s="137"/>
      <c r="AP181" s="137"/>
    </row>
    <row r="182" spans="3:45" x14ac:dyDescent="0.25">
      <c r="H182" s="137"/>
      <c r="Y182" s="137"/>
      <c r="AP182" s="137"/>
    </row>
    <row r="183" spans="3:45" x14ac:dyDescent="0.25">
      <c r="C183" s="135"/>
      <c r="D183" s="135"/>
      <c r="H183" s="137"/>
      <c r="Y183" s="137"/>
      <c r="AP183" s="137"/>
    </row>
    <row r="184" spans="3:45" x14ac:dyDescent="0.25">
      <c r="C184" s="135"/>
      <c r="D184" s="135"/>
      <c r="H184" s="137"/>
      <c r="Y184" s="137"/>
      <c r="AP184" s="137"/>
    </row>
    <row r="185" spans="3:45" x14ac:dyDescent="0.25">
      <c r="C185" s="135"/>
      <c r="D185" s="135"/>
      <c r="H185" s="137"/>
      <c r="Y185" s="137"/>
      <c r="Z185" s="137"/>
      <c r="AP185" s="137"/>
      <c r="AQ185" s="137"/>
    </row>
    <row r="186" spans="3:45" x14ac:dyDescent="0.25">
      <c r="C186" s="135"/>
      <c r="D186" s="135"/>
      <c r="H186" s="137"/>
      <c r="K186" s="137"/>
      <c r="Y186" s="137"/>
      <c r="Z186" s="137"/>
      <c r="AB186" s="137"/>
      <c r="AP186" s="137"/>
      <c r="AQ186" s="137"/>
      <c r="AS186" s="137"/>
    </row>
    <row r="187" spans="3:45" x14ac:dyDescent="0.25">
      <c r="C187" s="135"/>
      <c r="D187" s="135"/>
      <c r="E187" s="126"/>
      <c r="F187" s="126"/>
      <c r="H187" s="137"/>
      <c r="K187" s="137"/>
      <c r="Y187" s="137"/>
      <c r="Z187" s="137"/>
      <c r="AB187" s="137"/>
      <c r="AP187" s="137"/>
      <c r="AQ187" s="137"/>
      <c r="AS187" s="137"/>
    </row>
    <row r="188" spans="3:45" x14ac:dyDescent="0.25">
      <c r="C188" s="135"/>
      <c r="D188" s="135"/>
      <c r="H188" s="137"/>
      <c r="I188" s="137"/>
      <c r="K188" s="137"/>
      <c r="Y188" s="137"/>
      <c r="Z188" s="137"/>
      <c r="AB188" s="137"/>
      <c r="AP188" s="137"/>
      <c r="AQ188" s="137"/>
      <c r="AS188" s="137"/>
    </row>
    <row r="189" spans="3:45" x14ac:dyDescent="0.25">
      <c r="C189" s="135"/>
      <c r="D189" s="135"/>
      <c r="H189" s="137"/>
      <c r="I189" s="137"/>
      <c r="K189" s="137"/>
      <c r="Y189" s="137"/>
      <c r="Z189" s="137"/>
      <c r="AB189" s="137"/>
      <c r="AP189" s="137"/>
      <c r="AQ189" s="137"/>
      <c r="AS189" s="137"/>
    </row>
    <row r="190" spans="3:45" x14ac:dyDescent="0.25">
      <c r="C190" s="135"/>
      <c r="D190" s="135"/>
      <c r="H190" s="137"/>
      <c r="I190" s="137"/>
      <c r="K190" s="137"/>
      <c r="Y190" s="137"/>
      <c r="Z190" s="137"/>
      <c r="AB190" s="137"/>
      <c r="AP190" s="137"/>
      <c r="AQ190" s="137"/>
      <c r="AS190" s="137"/>
    </row>
    <row r="191" spans="3:45" x14ac:dyDescent="0.25">
      <c r="C191" s="135"/>
      <c r="D191" s="135"/>
      <c r="H191" s="137"/>
      <c r="I191" s="137"/>
      <c r="K191" s="137"/>
      <c r="Y191" s="137"/>
      <c r="Z191" s="137"/>
      <c r="AB191" s="137"/>
      <c r="AP191" s="137"/>
      <c r="AQ191" s="137"/>
      <c r="AS191" s="137"/>
    </row>
    <row r="192" spans="3:45" x14ac:dyDescent="0.25">
      <c r="C192" s="135"/>
      <c r="D192" s="135"/>
      <c r="H192" s="137"/>
      <c r="I192" s="137"/>
      <c r="K192" s="137"/>
      <c r="Y192" s="137"/>
      <c r="Z192" s="137"/>
      <c r="AB192" s="137"/>
      <c r="AP192" s="137"/>
      <c r="AQ192" s="137"/>
      <c r="AS192" s="137"/>
    </row>
    <row r="193" spans="3:45" x14ac:dyDescent="0.25">
      <c r="C193" s="135"/>
      <c r="D193" s="135"/>
      <c r="H193" s="137"/>
      <c r="I193" s="137"/>
      <c r="K193" s="137"/>
      <c r="Y193" s="137"/>
      <c r="Z193" s="137"/>
      <c r="AB193" s="137"/>
      <c r="AP193" s="137"/>
      <c r="AQ193" s="137"/>
      <c r="AS193" s="137"/>
    </row>
    <row r="194" spans="3:45" x14ac:dyDescent="0.25">
      <c r="C194" s="135"/>
      <c r="D194" s="135"/>
      <c r="H194" s="137"/>
      <c r="I194" s="137"/>
      <c r="Y194" s="137"/>
      <c r="AP194" s="137"/>
    </row>
    <row r="195" spans="3:45" x14ac:dyDescent="0.25">
      <c r="C195" s="135"/>
      <c r="D195" s="135"/>
      <c r="H195" s="137"/>
      <c r="I195" s="137"/>
      <c r="Y195" s="137"/>
      <c r="AP195" s="137"/>
    </row>
    <row r="196" spans="3:45" x14ac:dyDescent="0.25">
      <c r="C196" s="135"/>
      <c r="D196" s="135"/>
      <c r="H196" s="137"/>
      <c r="I196" s="137"/>
      <c r="Y196" s="137"/>
      <c r="Z196" s="137"/>
      <c r="AP196" s="137"/>
      <c r="AQ196" s="137"/>
    </row>
    <row r="197" spans="3:45" x14ac:dyDescent="0.25">
      <c r="C197" s="135"/>
      <c r="D197" s="135"/>
      <c r="H197" s="137"/>
      <c r="K197" s="137"/>
      <c r="Y197" s="137"/>
      <c r="Z197" s="137"/>
      <c r="AB197" s="137"/>
      <c r="AP197" s="137"/>
      <c r="AQ197" s="137"/>
      <c r="AS197" s="137"/>
    </row>
    <row r="198" spans="3:45" x14ac:dyDescent="0.25">
      <c r="C198" s="135"/>
      <c r="D198" s="135"/>
      <c r="H198" s="137"/>
      <c r="K198" s="137"/>
      <c r="Y198" s="137"/>
      <c r="AB198" s="137"/>
      <c r="AP198" s="137"/>
      <c r="AS198" s="137"/>
    </row>
    <row r="199" spans="3:45" x14ac:dyDescent="0.25">
      <c r="C199" s="135"/>
      <c r="D199" s="135"/>
      <c r="H199" s="137"/>
      <c r="I199" s="137"/>
      <c r="Y199" s="137"/>
      <c r="AP199" s="137"/>
    </row>
    <row r="200" spans="3:45" x14ac:dyDescent="0.25">
      <c r="C200" s="135"/>
      <c r="D200" s="135"/>
      <c r="H200" s="137"/>
      <c r="I200" s="137"/>
      <c r="Y200" s="137"/>
      <c r="AP200" s="137"/>
    </row>
    <row r="201" spans="3:45" x14ac:dyDescent="0.25">
      <c r="C201" s="135"/>
      <c r="D201" s="135"/>
      <c r="H201" s="137"/>
      <c r="Y201" s="137"/>
      <c r="Z201" s="137"/>
      <c r="AP201" s="137"/>
      <c r="AQ201" s="137"/>
    </row>
    <row r="202" spans="3:45" x14ac:dyDescent="0.25">
      <c r="C202" s="135"/>
      <c r="D202" s="135"/>
      <c r="H202" s="137"/>
      <c r="K202" s="137"/>
      <c r="Y202" s="137"/>
      <c r="Z202" s="137"/>
      <c r="AB202" s="137"/>
      <c r="AP202" s="137"/>
      <c r="AQ202" s="137"/>
      <c r="AS202" s="137"/>
    </row>
    <row r="203" spans="3:45" x14ac:dyDescent="0.25">
      <c r="C203" s="135"/>
      <c r="D203" s="135"/>
      <c r="H203" s="137"/>
      <c r="K203" s="137"/>
      <c r="Y203" s="137"/>
      <c r="Z203" s="137"/>
      <c r="AB203" s="137"/>
      <c r="AP203" s="137"/>
      <c r="AQ203" s="137"/>
      <c r="AS203" s="137"/>
    </row>
    <row r="204" spans="3:45" x14ac:dyDescent="0.25">
      <c r="C204" s="135"/>
      <c r="D204" s="135"/>
      <c r="H204" s="137"/>
      <c r="I204" s="137"/>
      <c r="K204" s="137"/>
      <c r="Y204" s="137"/>
      <c r="AB204" s="137"/>
      <c r="AP204" s="137"/>
      <c r="AS204" s="137"/>
    </row>
    <row r="205" spans="3:45" x14ac:dyDescent="0.25">
      <c r="C205" s="135"/>
      <c r="D205" s="135"/>
      <c r="H205" s="137"/>
      <c r="I205" s="137"/>
      <c r="Y205" s="137"/>
      <c r="Z205" s="137"/>
      <c r="AP205" s="137"/>
      <c r="AQ205" s="137"/>
    </row>
    <row r="206" spans="3:45" x14ac:dyDescent="0.25">
      <c r="C206" s="135"/>
      <c r="D206" s="135"/>
      <c r="H206" s="137"/>
      <c r="I206" s="137"/>
      <c r="K206" s="137"/>
      <c r="Y206" s="137"/>
      <c r="Z206" s="137"/>
      <c r="AB206" s="137"/>
      <c r="AP206" s="137"/>
      <c r="AQ206" s="137"/>
      <c r="AS206" s="137"/>
    </row>
    <row r="207" spans="3:45" x14ac:dyDescent="0.25">
      <c r="C207" s="135"/>
      <c r="D207" s="135"/>
      <c r="H207" s="137"/>
      <c r="K207" s="137"/>
      <c r="Y207" s="137"/>
      <c r="Z207" s="137"/>
      <c r="AB207" s="137"/>
      <c r="AP207" s="137"/>
      <c r="AQ207" s="137"/>
      <c r="AS207" s="137"/>
    </row>
    <row r="208" spans="3:45" x14ac:dyDescent="0.25">
      <c r="C208" s="135"/>
      <c r="D208" s="135"/>
      <c r="H208" s="137"/>
      <c r="I208" s="137"/>
      <c r="K208" s="137"/>
      <c r="Y208" s="137"/>
      <c r="Z208" s="137"/>
      <c r="AB208" s="137"/>
      <c r="AP208" s="137"/>
      <c r="AQ208" s="137"/>
      <c r="AS208" s="137"/>
    </row>
    <row r="209" spans="3:45" x14ac:dyDescent="0.25">
      <c r="C209" s="135"/>
      <c r="D209" s="135"/>
      <c r="H209" s="137"/>
      <c r="I209" s="137"/>
      <c r="K209" s="137"/>
      <c r="Y209" s="137"/>
      <c r="AB209" s="137"/>
      <c r="AP209" s="137"/>
      <c r="AS209" s="137"/>
    </row>
    <row r="210" spans="3:45" x14ac:dyDescent="0.25">
      <c r="C210" s="135"/>
      <c r="D210" s="135"/>
      <c r="H210" s="137"/>
      <c r="I210" s="137"/>
      <c r="Y210" s="137"/>
      <c r="AP210" s="137"/>
    </row>
    <row r="211" spans="3:45" x14ac:dyDescent="0.25">
      <c r="C211" s="135"/>
      <c r="D211" s="135"/>
      <c r="H211" s="137"/>
      <c r="I211" s="137"/>
      <c r="Y211" s="137"/>
      <c r="Z211" s="137"/>
      <c r="AP211" s="137"/>
      <c r="AQ211" s="137"/>
    </row>
    <row r="212" spans="3:45" x14ac:dyDescent="0.25">
      <c r="C212" s="135"/>
      <c r="D212" s="135"/>
      <c r="H212" s="137"/>
      <c r="K212" s="137"/>
      <c r="Y212" s="137"/>
      <c r="Z212" s="137"/>
      <c r="AB212" s="137"/>
      <c r="AP212" s="137"/>
      <c r="AQ212" s="137"/>
      <c r="AS212" s="137"/>
    </row>
    <row r="213" spans="3:45" x14ac:dyDescent="0.25">
      <c r="H213" s="137"/>
      <c r="K213" s="137"/>
      <c r="Y213" s="137"/>
      <c r="AB213" s="137"/>
      <c r="AP213" s="137"/>
      <c r="AS213" s="137"/>
    </row>
    <row r="214" spans="3:45" x14ac:dyDescent="0.25">
      <c r="H214" s="137"/>
      <c r="I214" s="137"/>
      <c r="Y214" s="137"/>
      <c r="AP214" s="137"/>
    </row>
    <row r="215" spans="3:45" x14ac:dyDescent="0.25">
      <c r="H215" s="137"/>
      <c r="I215" s="137"/>
      <c r="Y215" s="137"/>
      <c r="AP215" s="137"/>
    </row>
    <row r="216" spans="3:45" x14ac:dyDescent="0.25">
      <c r="H216" s="137"/>
      <c r="Y216" s="137"/>
      <c r="AP216" s="137"/>
    </row>
    <row r="217" spans="3:45" x14ac:dyDescent="0.25">
      <c r="C217" s="236"/>
      <c r="D217" s="236"/>
      <c r="H217" s="137"/>
      <c r="Y217" s="137"/>
      <c r="AP217" s="137"/>
    </row>
    <row r="218" spans="3:45" x14ac:dyDescent="0.25">
      <c r="H218" s="137"/>
      <c r="Y218" s="137"/>
      <c r="AP218" s="137"/>
    </row>
    <row r="219" spans="3:45" x14ac:dyDescent="0.25">
      <c r="H219" s="137"/>
      <c r="Y219" s="137"/>
      <c r="AP219" s="137"/>
    </row>
    <row r="220" spans="3:45" x14ac:dyDescent="0.25">
      <c r="H220" s="137"/>
      <c r="Y220" s="137"/>
      <c r="AP220" s="137"/>
    </row>
    <row r="221" spans="3:45" x14ac:dyDescent="0.25">
      <c r="E221" s="126"/>
      <c r="F221" s="126"/>
      <c r="H221" s="137"/>
      <c r="Y221" s="137"/>
      <c r="AP221" s="137"/>
    </row>
    <row r="222" spans="3:45" x14ac:dyDescent="0.25">
      <c r="H222" s="137"/>
      <c r="Y222" s="137"/>
      <c r="AP222" s="137"/>
    </row>
    <row r="223" spans="3:45" x14ac:dyDescent="0.25">
      <c r="H223" s="137"/>
      <c r="Y223" s="137"/>
      <c r="AP223" s="137"/>
    </row>
    <row r="224" spans="3:45" x14ac:dyDescent="0.25">
      <c r="H224" s="137"/>
      <c r="Y224" s="137"/>
      <c r="AP224" s="137"/>
    </row>
    <row r="225" spans="5:42" x14ac:dyDescent="0.25">
      <c r="H225" s="137"/>
      <c r="Y225" s="137"/>
      <c r="AP225" s="137"/>
    </row>
    <row r="226" spans="5:42" x14ac:dyDescent="0.25">
      <c r="H226" s="137"/>
      <c r="Y226" s="137"/>
      <c r="AP226" s="137"/>
    </row>
    <row r="227" spans="5:42" x14ac:dyDescent="0.25">
      <c r="H227" s="137"/>
      <c r="Y227" s="137"/>
      <c r="AP227" s="137"/>
    </row>
    <row r="228" spans="5:42" x14ac:dyDescent="0.25">
      <c r="H228" s="137"/>
      <c r="Y228" s="137"/>
      <c r="AP228" s="137"/>
    </row>
    <row r="229" spans="5:42" x14ac:dyDescent="0.25">
      <c r="H229" s="137"/>
      <c r="Y229" s="137"/>
      <c r="AP229" s="137"/>
    </row>
    <row r="230" spans="5:42" x14ac:dyDescent="0.25">
      <c r="H230" s="137"/>
      <c r="Y230" s="137"/>
      <c r="AP230" s="137"/>
    </row>
    <row r="231" spans="5:42" x14ac:dyDescent="0.25">
      <c r="H231" s="137"/>
      <c r="Y231" s="137"/>
      <c r="AP231" s="137"/>
    </row>
    <row r="232" spans="5:42" x14ac:dyDescent="0.25">
      <c r="E232" s="126"/>
      <c r="F232" s="126"/>
      <c r="H232" s="137"/>
      <c r="Y232" s="137"/>
      <c r="AP232" s="137"/>
    </row>
    <row r="233" spans="5:42" x14ac:dyDescent="0.25">
      <c r="H233" s="137"/>
      <c r="Y233" s="137"/>
      <c r="AP233" s="137"/>
    </row>
    <row r="234" spans="5:42" x14ac:dyDescent="0.25">
      <c r="H234" s="137"/>
      <c r="Y234" s="137"/>
      <c r="AP234" s="137"/>
    </row>
    <row r="235" spans="5:42" x14ac:dyDescent="0.25">
      <c r="H235" s="137"/>
      <c r="Y235" s="137"/>
      <c r="AP235" s="137"/>
    </row>
    <row r="236" spans="5:42" x14ac:dyDescent="0.25">
      <c r="H236" s="137"/>
      <c r="Y236" s="137"/>
      <c r="AP236" s="137"/>
    </row>
    <row r="237" spans="5:42" x14ac:dyDescent="0.25">
      <c r="H237" s="137"/>
      <c r="Y237" s="137"/>
      <c r="AP237" s="137"/>
    </row>
    <row r="238" spans="5:42" x14ac:dyDescent="0.25">
      <c r="H238" s="137"/>
      <c r="Y238" s="137"/>
      <c r="AP238" s="137"/>
    </row>
    <row r="239" spans="5:42" x14ac:dyDescent="0.25">
      <c r="H239" s="137"/>
      <c r="Y239" s="137"/>
      <c r="AP239" s="137"/>
    </row>
    <row r="240" spans="5:42" x14ac:dyDescent="0.25">
      <c r="H240" s="137"/>
      <c r="Y240" s="137"/>
      <c r="AP240" s="137"/>
    </row>
    <row r="241" spans="8:42" x14ac:dyDescent="0.25">
      <c r="H241" s="137"/>
      <c r="Y241" s="137"/>
      <c r="AP241" s="137"/>
    </row>
    <row r="242" spans="8:42" x14ac:dyDescent="0.25">
      <c r="H242" s="137"/>
      <c r="Y242" s="137"/>
      <c r="AP242" s="137"/>
    </row>
    <row r="243" spans="8:42" x14ac:dyDescent="0.25">
      <c r="H243" s="137"/>
      <c r="Y243" s="137"/>
      <c r="AP243" s="137"/>
    </row>
    <row r="244" spans="8:42" x14ac:dyDescent="0.25">
      <c r="H244" s="137"/>
      <c r="Y244" s="137"/>
      <c r="AP244" s="137"/>
    </row>
    <row r="245" spans="8:42" x14ac:dyDescent="0.25">
      <c r="H245" s="137"/>
      <c r="Y245" s="137"/>
      <c r="AP245" s="137"/>
    </row>
    <row r="246" spans="8:42" x14ac:dyDescent="0.25">
      <c r="H246" s="137"/>
      <c r="Y246" s="137"/>
      <c r="AP246" s="137"/>
    </row>
    <row r="247" spans="8:42" x14ac:dyDescent="0.25">
      <c r="H247" s="137"/>
      <c r="Y247" s="137"/>
      <c r="AP247" s="137"/>
    </row>
    <row r="248" spans="8:42" x14ac:dyDescent="0.25">
      <c r="H248" s="137"/>
      <c r="Y248" s="137"/>
      <c r="AP248" s="137"/>
    </row>
    <row r="249" spans="8:42" x14ac:dyDescent="0.25">
      <c r="H249" s="137"/>
      <c r="Y249" s="137"/>
      <c r="AP249" s="137"/>
    </row>
    <row r="250" spans="8:42" x14ac:dyDescent="0.25">
      <c r="H250" s="137"/>
      <c r="Y250" s="137"/>
      <c r="AP250" s="137"/>
    </row>
    <row r="251" spans="8:42" x14ac:dyDescent="0.25">
      <c r="H251" s="137"/>
      <c r="Y251" s="137"/>
      <c r="AP251" s="137"/>
    </row>
    <row r="252" spans="8:42" x14ac:dyDescent="0.25">
      <c r="H252" s="137"/>
      <c r="Y252" s="137"/>
      <c r="AP252" s="137"/>
    </row>
    <row r="253" spans="8:42" x14ac:dyDescent="0.25">
      <c r="H253" s="137"/>
      <c r="Y253" s="137"/>
      <c r="AP253" s="137"/>
    </row>
    <row r="254" spans="8:42" x14ac:dyDescent="0.25">
      <c r="H254" s="137"/>
      <c r="Y254" s="137"/>
      <c r="AP254" s="137"/>
    </row>
    <row r="255" spans="8:42" x14ac:dyDescent="0.25">
      <c r="H255" s="137"/>
      <c r="Y255" s="137"/>
      <c r="AP255" s="137"/>
    </row>
    <row r="256" spans="8:42" x14ac:dyDescent="0.25">
      <c r="H256" s="137"/>
      <c r="Y256" s="137"/>
      <c r="AP256" s="137"/>
    </row>
    <row r="257" spans="8:42" x14ac:dyDescent="0.25">
      <c r="H257" s="137"/>
      <c r="Y257" s="137"/>
      <c r="AP257" s="137"/>
    </row>
    <row r="258" spans="8:42" x14ac:dyDescent="0.25">
      <c r="H258" s="137"/>
      <c r="Y258" s="137"/>
      <c r="AP258" s="137"/>
    </row>
    <row r="259" spans="8:42" x14ac:dyDescent="0.25">
      <c r="H259" s="137"/>
      <c r="Y259" s="137"/>
      <c r="AP259" s="137"/>
    </row>
    <row r="260" spans="8:42" x14ac:dyDescent="0.25">
      <c r="H260" s="137"/>
      <c r="Y260" s="137"/>
      <c r="AP260" s="137"/>
    </row>
    <row r="261" spans="8:42" x14ac:dyDescent="0.25">
      <c r="H261" s="137"/>
      <c r="Y261" s="137"/>
      <c r="AP261" s="137"/>
    </row>
    <row r="262" spans="8:42" x14ac:dyDescent="0.25">
      <c r="H262" s="137"/>
      <c r="Y262" s="137"/>
      <c r="AP262" s="137"/>
    </row>
    <row r="263" spans="8:42" x14ac:dyDescent="0.25">
      <c r="H263" s="137"/>
      <c r="Y263" s="137"/>
      <c r="AP263" s="137"/>
    </row>
    <row r="264" spans="8:42" x14ac:dyDescent="0.25">
      <c r="H264" s="137"/>
      <c r="Y264" s="137"/>
      <c r="AP264" s="137"/>
    </row>
    <row r="265" spans="8:42" x14ac:dyDescent="0.25">
      <c r="H265" s="137"/>
      <c r="Y265" s="137"/>
      <c r="AP265" s="137"/>
    </row>
    <row r="266" spans="8:42" x14ac:dyDescent="0.25">
      <c r="H266" s="137"/>
      <c r="Y266" s="137"/>
      <c r="AP266" s="137"/>
    </row>
    <row r="267" spans="8:42" x14ac:dyDescent="0.25">
      <c r="H267" s="137"/>
      <c r="Y267" s="137"/>
      <c r="AP267" s="137"/>
    </row>
    <row r="268" spans="8:42" x14ac:dyDescent="0.25">
      <c r="H268" s="137"/>
      <c r="Y268" s="137"/>
      <c r="AP268" s="137"/>
    </row>
    <row r="269" spans="8:42" x14ac:dyDescent="0.25">
      <c r="H269" s="137"/>
      <c r="Y269" s="137"/>
      <c r="AP269" s="137"/>
    </row>
    <row r="270" spans="8:42" x14ac:dyDescent="0.25">
      <c r="H270" s="137"/>
      <c r="Y270" s="137"/>
      <c r="AP270" s="137"/>
    </row>
    <row r="271" spans="8:42" x14ac:dyDescent="0.25">
      <c r="H271" s="137"/>
      <c r="Y271" s="137"/>
      <c r="AP271" s="137"/>
    </row>
    <row r="272" spans="8:42" x14ac:dyDescent="0.25">
      <c r="H272" s="137"/>
      <c r="Y272" s="137"/>
      <c r="AP272" s="137"/>
    </row>
    <row r="273" spans="8:42" x14ac:dyDescent="0.25">
      <c r="H273" s="137"/>
      <c r="Y273" s="137"/>
      <c r="AP273" s="137"/>
    </row>
    <row r="274" spans="8:42" x14ac:dyDescent="0.25">
      <c r="H274" s="137"/>
      <c r="Y274" s="137"/>
      <c r="AP274" s="137"/>
    </row>
    <row r="275" spans="8:42" x14ac:dyDescent="0.25">
      <c r="H275" s="137"/>
      <c r="Y275" s="137"/>
      <c r="AP275" s="137"/>
    </row>
    <row r="276" spans="8:42" x14ac:dyDescent="0.25">
      <c r="H276" s="137"/>
      <c r="Y276" s="137"/>
      <c r="AP276" s="137"/>
    </row>
    <row r="277" spans="8:42" x14ac:dyDescent="0.25">
      <c r="H277" s="137"/>
      <c r="Y277" s="137"/>
      <c r="AP277" s="137"/>
    </row>
    <row r="278" spans="8:42" x14ac:dyDescent="0.25">
      <c r="H278" s="137"/>
      <c r="Y278" s="137"/>
      <c r="AP278" s="137"/>
    </row>
    <row r="279" spans="8:42" x14ac:dyDescent="0.25">
      <c r="H279" s="137"/>
      <c r="Y279" s="137"/>
      <c r="AP279" s="137"/>
    </row>
    <row r="280" spans="8:42" x14ac:dyDescent="0.25">
      <c r="H280" s="137"/>
      <c r="Y280" s="137"/>
      <c r="AP280" s="137"/>
    </row>
    <row r="281" spans="8:42" x14ac:dyDescent="0.25">
      <c r="H281" s="137"/>
      <c r="Y281" s="137"/>
      <c r="AP281" s="137"/>
    </row>
    <row r="282" spans="8:42" x14ac:dyDescent="0.25">
      <c r="H282" s="137"/>
      <c r="Y282" s="137"/>
      <c r="AP282" s="137"/>
    </row>
    <row r="283" spans="8:42" x14ac:dyDescent="0.25">
      <c r="H283" s="137"/>
      <c r="Y283" s="137"/>
      <c r="AP283" s="137"/>
    </row>
    <row r="284" spans="8:42" x14ac:dyDescent="0.25">
      <c r="H284" s="137"/>
      <c r="Y284" s="137"/>
      <c r="AP284" s="137"/>
    </row>
    <row r="285" spans="8:42" x14ac:dyDescent="0.25">
      <c r="H285" s="137"/>
      <c r="Y285" s="137"/>
      <c r="AP285" s="137"/>
    </row>
    <row r="286" spans="8:42" x14ac:dyDescent="0.25">
      <c r="H286" s="137"/>
      <c r="Y286" s="137"/>
      <c r="AP286" s="137"/>
    </row>
    <row r="287" spans="8:42" x14ac:dyDescent="0.25">
      <c r="H287" s="137"/>
      <c r="Y287" s="137"/>
      <c r="AP287" s="137"/>
    </row>
    <row r="288" spans="8:42" x14ac:dyDescent="0.25">
      <c r="H288" s="137"/>
      <c r="Y288" s="137"/>
      <c r="AP288" s="137"/>
    </row>
    <row r="289" spans="8:42" x14ac:dyDescent="0.25">
      <c r="H289" s="137"/>
      <c r="Y289" s="137"/>
      <c r="AP289" s="137"/>
    </row>
    <row r="290" spans="8:42" x14ac:dyDescent="0.25">
      <c r="H290" s="137"/>
      <c r="Y290" s="137"/>
      <c r="AP290" s="137"/>
    </row>
    <row r="291" spans="8:42" x14ac:dyDescent="0.25">
      <c r="H291" s="137"/>
      <c r="Y291" s="137"/>
      <c r="AP291" s="137"/>
    </row>
    <row r="292" spans="8:42" x14ac:dyDescent="0.25">
      <c r="H292" s="137"/>
      <c r="Y292" s="137"/>
      <c r="AP292" s="137"/>
    </row>
    <row r="293" spans="8:42" x14ac:dyDescent="0.25">
      <c r="H293" s="137"/>
      <c r="Y293" s="137"/>
      <c r="AP293" s="137"/>
    </row>
    <row r="294" spans="8:42" x14ac:dyDescent="0.25">
      <c r="H294" s="137"/>
      <c r="Y294" s="137"/>
      <c r="AP294" s="137"/>
    </row>
    <row r="295" spans="8:42" x14ac:dyDescent="0.25">
      <c r="H295" s="137"/>
      <c r="Y295" s="137"/>
      <c r="AP295" s="137"/>
    </row>
    <row r="296" spans="8:42" x14ac:dyDescent="0.25">
      <c r="H296" s="137"/>
      <c r="Y296" s="137"/>
      <c r="AP296" s="137"/>
    </row>
    <row r="297" spans="8:42" x14ac:dyDescent="0.25">
      <c r="H297" s="137"/>
      <c r="Y297" s="137"/>
      <c r="AP297" s="137"/>
    </row>
    <row r="298" spans="8:42" x14ac:dyDescent="0.25">
      <c r="H298" s="137"/>
      <c r="Y298" s="137"/>
      <c r="AP298" s="137"/>
    </row>
    <row r="299" spans="8:42" x14ac:dyDescent="0.25">
      <c r="H299" s="137"/>
      <c r="Y299" s="137"/>
      <c r="AP299" s="137"/>
    </row>
    <row r="300" spans="8:42" x14ac:dyDescent="0.25">
      <c r="H300" s="137"/>
      <c r="Y300" s="137"/>
      <c r="AP300" s="137"/>
    </row>
    <row r="301" spans="8:42" x14ac:dyDescent="0.25">
      <c r="H301" s="137"/>
      <c r="Y301" s="137"/>
      <c r="AP301" s="137"/>
    </row>
    <row r="302" spans="8:42" x14ac:dyDescent="0.25">
      <c r="H302" s="137"/>
      <c r="Y302" s="137"/>
      <c r="AP302" s="137"/>
    </row>
    <row r="303" spans="8:42" x14ac:dyDescent="0.25">
      <c r="H303" s="137"/>
      <c r="Y303" s="137"/>
      <c r="AP303" s="137"/>
    </row>
    <row r="304" spans="8:42" x14ac:dyDescent="0.25">
      <c r="H304" s="137"/>
      <c r="Y304" s="137"/>
      <c r="AP304" s="137"/>
    </row>
    <row r="305" spans="8:42" x14ac:dyDescent="0.25">
      <c r="H305" s="137"/>
      <c r="Y305" s="137"/>
      <c r="AP305" s="137"/>
    </row>
    <row r="306" spans="8:42" x14ac:dyDescent="0.25">
      <c r="H306" s="137"/>
      <c r="Y306" s="137"/>
      <c r="AP306" s="137"/>
    </row>
    <row r="307" spans="8:42" x14ac:dyDescent="0.25">
      <c r="H307" s="137"/>
      <c r="Y307" s="137"/>
      <c r="AP307" s="137"/>
    </row>
    <row r="308" spans="8:42" x14ac:dyDescent="0.25">
      <c r="H308" s="137"/>
      <c r="Y308" s="137"/>
      <c r="AP308" s="137"/>
    </row>
    <row r="309" spans="8:42" x14ac:dyDescent="0.25">
      <c r="H309" s="137"/>
      <c r="Y309" s="137"/>
      <c r="AP309" s="137"/>
    </row>
    <row r="310" spans="8:42" x14ac:dyDescent="0.25">
      <c r="H310" s="137"/>
      <c r="Y310" s="137"/>
      <c r="AP310" s="137"/>
    </row>
    <row r="311" spans="8:42" x14ac:dyDescent="0.25">
      <c r="H311" s="137"/>
      <c r="Y311" s="137"/>
      <c r="AP311" s="137"/>
    </row>
    <row r="312" spans="8:42" x14ac:dyDescent="0.25">
      <c r="H312" s="137"/>
      <c r="Y312" s="137"/>
      <c r="AP312" s="137"/>
    </row>
    <row r="313" spans="8:42" x14ac:dyDescent="0.25">
      <c r="H313" s="137"/>
      <c r="Y313" s="137"/>
      <c r="AP313" s="137"/>
    </row>
    <row r="314" spans="8:42" x14ac:dyDescent="0.25">
      <c r="H314" s="137"/>
      <c r="Y314" s="137"/>
      <c r="AP314" s="137"/>
    </row>
    <row r="315" spans="8:42" x14ac:dyDescent="0.25">
      <c r="H315" s="137"/>
      <c r="Y315" s="137"/>
      <c r="AP315" s="137"/>
    </row>
    <row r="316" spans="8:42" x14ac:dyDescent="0.25">
      <c r="H316" s="137"/>
      <c r="Y316" s="137"/>
      <c r="AP316" s="137"/>
    </row>
    <row r="317" spans="8:42" x14ac:dyDescent="0.25">
      <c r="H317" s="137"/>
      <c r="Y317" s="137"/>
      <c r="AP317" s="137"/>
    </row>
    <row r="318" spans="8:42" x14ac:dyDescent="0.25">
      <c r="H318" s="137"/>
      <c r="Y318" s="137"/>
      <c r="AP318" s="137"/>
    </row>
    <row r="319" spans="8:42" x14ac:dyDescent="0.25">
      <c r="H319" s="137"/>
      <c r="Y319" s="137"/>
      <c r="AP319" s="137"/>
    </row>
    <row r="320" spans="8:42" x14ac:dyDescent="0.25">
      <c r="H320" s="137"/>
      <c r="Y320" s="137"/>
      <c r="AP320" s="137"/>
    </row>
    <row r="321" spans="8:42" x14ac:dyDescent="0.25">
      <c r="H321" s="137"/>
      <c r="Y321" s="137"/>
      <c r="AP321" s="137"/>
    </row>
    <row r="322" spans="8:42" x14ac:dyDescent="0.25">
      <c r="H322" s="137"/>
      <c r="Y322" s="137"/>
      <c r="AP322" s="137"/>
    </row>
    <row r="323" spans="8:42" x14ac:dyDescent="0.25">
      <c r="H323" s="137"/>
      <c r="Y323" s="137"/>
      <c r="AP323" s="137"/>
    </row>
    <row r="324" spans="8:42" x14ac:dyDescent="0.25">
      <c r="H324" s="137"/>
      <c r="Y324" s="137"/>
      <c r="AP324" s="137"/>
    </row>
    <row r="325" spans="8:42" x14ac:dyDescent="0.25">
      <c r="H325" s="137"/>
      <c r="Y325" s="137"/>
      <c r="AP325" s="137"/>
    </row>
    <row r="326" spans="8:42" x14ac:dyDescent="0.25">
      <c r="H326" s="137"/>
      <c r="Y326" s="137"/>
      <c r="AP326" s="137"/>
    </row>
    <row r="327" spans="8:42" x14ac:dyDescent="0.25">
      <c r="H327" s="137"/>
      <c r="Y327" s="137"/>
      <c r="AP327" s="137"/>
    </row>
    <row r="328" spans="8:42" x14ac:dyDescent="0.25">
      <c r="H328" s="137"/>
      <c r="Y328" s="137"/>
      <c r="AP328" s="137"/>
    </row>
    <row r="329" spans="8:42" x14ac:dyDescent="0.25">
      <c r="H329" s="137"/>
      <c r="Y329" s="137"/>
      <c r="AP329" s="137"/>
    </row>
    <row r="330" spans="8:42" x14ac:dyDescent="0.25">
      <c r="H330" s="137"/>
      <c r="Y330" s="137"/>
      <c r="AP330" s="137"/>
    </row>
    <row r="331" spans="8:42" x14ac:dyDescent="0.25">
      <c r="H331" s="137"/>
      <c r="Y331" s="137"/>
      <c r="AP331" s="137"/>
    </row>
    <row r="332" spans="8:42" x14ac:dyDescent="0.25">
      <c r="H332" s="137"/>
      <c r="Y332" s="137"/>
      <c r="AP332" s="137"/>
    </row>
    <row r="333" spans="8:42" x14ac:dyDescent="0.25">
      <c r="H333" s="137"/>
      <c r="Y333" s="137"/>
      <c r="AP333" s="137"/>
    </row>
    <row r="334" spans="8:42" x14ac:dyDescent="0.25">
      <c r="H334" s="137"/>
      <c r="Y334" s="137"/>
      <c r="AP334" s="137"/>
    </row>
    <row r="335" spans="8:42" x14ac:dyDescent="0.25">
      <c r="H335" s="137"/>
      <c r="Y335" s="137"/>
      <c r="AP335" s="137"/>
    </row>
    <row r="336" spans="8:42" x14ac:dyDescent="0.25">
      <c r="H336" s="137"/>
      <c r="Y336" s="137"/>
      <c r="AP336" s="137"/>
    </row>
    <row r="337" spans="8:42" x14ac:dyDescent="0.25">
      <c r="H337" s="137"/>
      <c r="Y337" s="137"/>
      <c r="AP337" s="137"/>
    </row>
    <row r="338" spans="8:42" x14ac:dyDescent="0.25">
      <c r="H338" s="137"/>
      <c r="Y338" s="137"/>
      <c r="AP338" s="137"/>
    </row>
    <row r="339" spans="8:42" x14ac:dyDescent="0.25">
      <c r="H339" s="137"/>
      <c r="Y339" s="137"/>
      <c r="AP339" s="137"/>
    </row>
    <row r="340" spans="8:42" x14ac:dyDescent="0.25">
      <c r="H340" s="137"/>
      <c r="Y340" s="137"/>
      <c r="AP340" s="137"/>
    </row>
    <row r="341" spans="8:42" x14ac:dyDescent="0.25">
      <c r="H341" s="137"/>
      <c r="Y341" s="137"/>
      <c r="AP341" s="137"/>
    </row>
    <row r="342" spans="8:42" x14ac:dyDescent="0.25">
      <c r="H342" s="137"/>
      <c r="Y342" s="137"/>
      <c r="AP342" s="137"/>
    </row>
    <row r="343" spans="8:42" x14ac:dyDescent="0.25">
      <c r="H343" s="137"/>
      <c r="Y343" s="137"/>
      <c r="AP343" s="137"/>
    </row>
    <row r="344" spans="8:42" x14ac:dyDescent="0.25">
      <c r="H344" s="137"/>
      <c r="Y344" s="137"/>
      <c r="AP344" s="137"/>
    </row>
    <row r="345" spans="8:42" x14ac:dyDescent="0.25">
      <c r="H345" s="137"/>
      <c r="Y345" s="137"/>
      <c r="AP345" s="137"/>
    </row>
    <row r="346" spans="8:42" x14ac:dyDescent="0.25">
      <c r="H346" s="137"/>
      <c r="Y346" s="137"/>
      <c r="AP346" s="137"/>
    </row>
    <row r="347" spans="8:42" x14ac:dyDescent="0.25">
      <c r="H347" s="137"/>
      <c r="Y347" s="137"/>
      <c r="AP347" s="137"/>
    </row>
    <row r="348" spans="8:42" x14ac:dyDescent="0.25">
      <c r="H348" s="137"/>
      <c r="Y348" s="137"/>
      <c r="AP348" s="137"/>
    </row>
    <row r="349" spans="8:42" x14ac:dyDescent="0.25">
      <c r="H349" s="137"/>
      <c r="Y349" s="137"/>
      <c r="AP349" s="137"/>
    </row>
    <row r="350" spans="8:42" x14ac:dyDescent="0.25">
      <c r="H350" s="137"/>
      <c r="Y350" s="137"/>
      <c r="AP350" s="137"/>
    </row>
    <row r="351" spans="8:42" x14ac:dyDescent="0.25">
      <c r="H351" s="137"/>
      <c r="Y351" s="137"/>
      <c r="AP351" s="137"/>
    </row>
    <row r="352" spans="8:42" x14ac:dyDescent="0.25">
      <c r="H352" s="137"/>
      <c r="Y352" s="137"/>
      <c r="AP352" s="137"/>
    </row>
    <row r="353" spans="8:42" x14ac:dyDescent="0.25">
      <c r="H353" s="137"/>
      <c r="Y353" s="137"/>
      <c r="AP353" s="137"/>
    </row>
    <row r="354" spans="8:42" x14ac:dyDescent="0.25">
      <c r="H354" s="137"/>
      <c r="Y354" s="137"/>
      <c r="AP354" s="137"/>
    </row>
    <row r="355" spans="8:42" x14ac:dyDescent="0.25">
      <c r="H355" s="137"/>
      <c r="Y355" s="137"/>
      <c r="AP355" s="137"/>
    </row>
    <row r="356" spans="8:42" x14ac:dyDescent="0.25">
      <c r="H356" s="137"/>
      <c r="Y356" s="137"/>
      <c r="AP356" s="137"/>
    </row>
    <row r="357" spans="8:42" x14ac:dyDescent="0.25">
      <c r="H357" s="137"/>
      <c r="Y357" s="137"/>
      <c r="AP357" s="137"/>
    </row>
    <row r="358" spans="8:42" x14ac:dyDescent="0.25">
      <c r="H358" s="137"/>
      <c r="Y358" s="137"/>
      <c r="AP358" s="137"/>
    </row>
    <row r="359" spans="8:42" x14ac:dyDescent="0.25">
      <c r="H359" s="137"/>
      <c r="Y359" s="137"/>
      <c r="AP359" s="137"/>
    </row>
    <row r="360" spans="8:42" x14ac:dyDescent="0.25">
      <c r="H360" s="137"/>
      <c r="Y360" s="137"/>
      <c r="AP360" s="137"/>
    </row>
    <row r="361" spans="8:42" x14ac:dyDescent="0.25">
      <c r="H361" s="137"/>
      <c r="Y361" s="137"/>
      <c r="AP361" s="137"/>
    </row>
    <row r="362" spans="8:42" x14ac:dyDescent="0.25">
      <c r="H362" s="137"/>
      <c r="Y362" s="137"/>
      <c r="AP362" s="137"/>
    </row>
    <row r="363" spans="8:42" x14ac:dyDescent="0.25">
      <c r="H363" s="137"/>
      <c r="Y363" s="137"/>
      <c r="AP363" s="137"/>
    </row>
    <row r="364" spans="8:42" x14ac:dyDescent="0.25">
      <c r="H364" s="137"/>
      <c r="Y364" s="137"/>
      <c r="AP364" s="137"/>
    </row>
    <row r="365" spans="8:42" x14ac:dyDescent="0.25">
      <c r="H365" s="137"/>
      <c r="Y365" s="137"/>
      <c r="AP365" s="137"/>
    </row>
    <row r="366" spans="8:42" x14ac:dyDescent="0.25">
      <c r="H366" s="137"/>
      <c r="Y366" s="137"/>
      <c r="AP366" s="137"/>
    </row>
    <row r="367" spans="8:42" x14ac:dyDescent="0.25">
      <c r="H367" s="137"/>
      <c r="Y367" s="137"/>
      <c r="AP367" s="137"/>
    </row>
    <row r="368" spans="8:42" x14ac:dyDescent="0.25">
      <c r="H368" s="137"/>
      <c r="Y368" s="137"/>
      <c r="AP368" s="137"/>
    </row>
    <row r="369" spans="8:42" x14ac:dyDescent="0.25">
      <c r="H369" s="137"/>
      <c r="Y369" s="137"/>
      <c r="AP369" s="137"/>
    </row>
    <row r="370" spans="8:42" x14ac:dyDescent="0.25">
      <c r="H370" s="137"/>
      <c r="Y370" s="137"/>
      <c r="AP370" s="137"/>
    </row>
    <row r="371" spans="8:42" x14ac:dyDescent="0.25">
      <c r="H371" s="137"/>
      <c r="Y371" s="137"/>
      <c r="AP371" s="137"/>
    </row>
    <row r="372" spans="8:42" x14ac:dyDescent="0.25">
      <c r="H372" s="137"/>
      <c r="Y372" s="137"/>
      <c r="AP372" s="137"/>
    </row>
    <row r="373" spans="8:42" x14ac:dyDescent="0.25">
      <c r="H373" s="137"/>
      <c r="Y373" s="137"/>
      <c r="AP373" s="137"/>
    </row>
    <row r="374" spans="8:42" x14ac:dyDescent="0.25">
      <c r="H374" s="137"/>
      <c r="Y374" s="137"/>
      <c r="AP374" s="137"/>
    </row>
    <row r="375" spans="8:42" x14ac:dyDescent="0.25">
      <c r="H375" s="137"/>
      <c r="Y375" s="137"/>
      <c r="AP375" s="137"/>
    </row>
    <row r="376" spans="8:42" x14ac:dyDescent="0.25">
      <c r="H376" s="137"/>
      <c r="Y376" s="137"/>
      <c r="AP376" s="137"/>
    </row>
    <row r="377" spans="8:42" x14ac:dyDescent="0.25">
      <c r="H377" s="137"/>
      <c r="Y377" s="137"/>
      <c r="AP377" s="137"/>
    </row>
    <row r="378" spans="8:42" x14ac:dyDescent="0.25">
      <c r="H378" s="137"/>
      <c r="Y378" s="137"/>
      <c r="AP378" s="137"/>
    </row>
    <row r="379" spans="8:42" x14ac:dyDescent="0.25">
      <c r="H379" s="137"/>
      <c r="Y379" s="137"/>
      <c r="AP379" s="137"/>
    </row>
    <row r="380" spans="8:42" x14ac:dyDescent="0.25">
      <c r="H380" s="137"/>
      <c r="Y380" s="137"/>
      <c r="AP380" s="137"/>
    </row>
    <row r="381" spans="8:42" x14ac:dyDescent="0.25">
      <c r="H381" s="137"/>
      <c r="Y381" s="137"/>
      <c r="AP381" s="137"/>
    </row>
    <row r="382" spans="8:42" x14ac:dyDescent="0.25">
      <c r="H382" s="137"/>
      <c r="Y382" s="137"/>
      <c r="AP382" s="137"/>
    </row>
    <row r="383" spans="8:42" x14ac:dyDescent="0.25">
      <c r="H383" s="137"/>
      <c r="Y383" s="137"/>
      <c r="AP383" s="137"/>
    </row>
    <row r="384" spans="8:42" x14ac:dyDescent="0.25">
      <c r="H384" s="137"/>
      <c r="Y384" s="137"/>
      <c r="AP384" s="137"/>
    </row>
    <row r="385" spans="8:42" x14ac:dyDescent="0.25">
      <c r="H385" s="137"/>
      <c r="Y385" s="137"/>
      <c r="AP385" s="137"/>
    </row>
    <row r="386" spans="8:42" x14ac:dyDescent="0.25">
      <c r="H386" s="137"/>
      <c r="Y386" s="137"/>
      <c r="AP386" s="137"/>
    </row>
    <row r="387" spans="8:42" x14ac:dyDescent="0.25">
      <c r="H387" s="137"/>
      <c r="Y387" s="137"/>
      <c r="AP387" s="137"/>
    </row>
    <row r="388" spans="8:42" x14ac:dyDescent="0.25">
      <c r="H388" s="137"/>
      <c r="Y388" s="137"/>
      <c r="AP388" s="137"/>
    </row>
    <row r="389" spans="8:42" x14ac:dyDescent="0.25">
      <c r="H389" s="137"/>
      <c r="Y389" s="137"/>
      <c r="AP389" s="137"/>
    </row>
    <row r="390" spans="8:42" x14ac:dyDescent="0.25">
      <c r="H390" s="137"/>
      <c r="Y390" s="137"/>
      <c r="AP390" s="137"/>
    </row>
    <row r="391" spans="8:42" x14ac:dyDescent="0.25">
      <c r="H391" s="137"/>
      <c r="Y391" s="137"/>
      <c r="AP391" s="137"/>
    </row>
    <row r="392" spans="8:42" x14ac:dyDescent="0.25">
      <c r="H392" s="137"/>
      <c r="Y392" s="137"/>
      <c r="AP392" s="137"/>
    </row>
    <row r="393" spans="8:42" x14ac:dyDescent="0.25">
      <c r="H393" s="137"/>
      <c r="Y393" s="137"/>
      <c r="AP393" s="137"/>
    </row>
    <row r="394" spans="8:42" x14ac:dyDescent="0.25">
      <c r="H394" s="137"/>
      <c r="Y394" s="137"/>
      <c r="AP394" s="137"/>
    </row>
    <row r="395" spans="8:42" x14ac:dyDescent="0.25">
      <c r="H395" s="137"/>
      <c r="Y395" s="137"/>
      <c r="AP395" s="137"/>
    </row>
    <row r="396" spans="8:42" x14ac:dyDescent="0.25">
      <c r="H396" s="137"/>
      <c r="Y396" s="137"/>
      <c r="AP396" s="137"/>
    </row>
    <row r="397" spans="8:42" x14ac:dyDescent="0.25">
      <c r="H397" s="137"/>
      <c r="Y397" s="137"/>
      <c r="AP397" s="137"/>
    </row>
    <row r="398" spans="8:42" x14ac:dyDescent="0.25">
      <c r="H398" s="137"/>
      <c r="Y398" s="137"/>
      <c r="AP398" s="137"/>
    </row>
    <row r="399" spans="8:42" x14ac:dyDescent="0.25">
      <c r="H399" s="137"/>
      <c r="Y399" s="137"/>
      <c r="AP399" s="137"/>
    </row>
    <row r="400" spans="8:42" x14ac:dyDescent="0.25">
      <c r="H400" s="137"/>
      <c r="Y400" s="137"/>
      <c r="AP400" s="137"/>
    </row>
    <row r="401" spans="8:42" x14ac:dyDescent="0.25">
      <c r="H401" s="137"/>
      <c r="Y401" s="137"/>
      <c r="AP401" s="137"/>
    </row>
    <row r="402" spans="8:42" x14ac:dyDescent="0.25">
      <c r="H402" s="137"/>
      <c r="Y402" s="137"/>
      <c r="AP402" s="137"/>
    </row>
    <row r="403" spans="8:42" x14ac:dyDescent="0.25">
      <c r="H403" s="137"/>
      <c r="Y403" s="137"/>
      <c r="AP403" s="137"/>
    </row>
    <row r="404" spans="8:42" x14ac:dyDescent="0.25">
      <c r="H404" s="137"/>
      <c r="Y404" s="137"/>
      <c r="AP404" s="137"/>
    </row>
    <row r="405" spans="8:42" x14ac:dyDescent="0.25">
      <c r="H405" s="137"/>
      <c r="Y405" s="137"/>
      <c r="AP405" s="137"/>
    </row>
    <row r="406" spans="8:42" x14ac:dyDescent="0.25">
      <c r="H406" s="137"/>
      <c r="Y406" s="137"/>
      <c r="AP406" s="137"/>
    </row>
    <row r="407" spans="8:42" x14ac:dyDescent="0.25">
      <c r="H407" s="137"/>
      <c r="Y407" s="137"/>
      <c r="AP407" s="137"/>
    </row>
    <row r="408" spans="8:42" x14ac:dyDescent="0.25">
      <c r="H408" s="137"/>
      <c r="Y408" s="137"/>
      <c r="AP408" s="137"/>
    </row>
    <row r="409" spans="8:42" x14ac:dyDescent="0.25">
      <c r="H409" s="137"/>
      <c r="Y409" s="137"/>
      <c r="AP409" s="137"/>
    </row>
    <row r="410" spans="8:42" x14ac:dyDescent="0.25">
      <c r="H410" s="137"/>
      <c r="Y410" s="137"/>
      <c r="AP410" s="137"/>
    </row>
    <row r="411" spans="8:42" x14ac:dyDescent="0.25">
      <c r="H411" s="137"/>
      <c r="Y411" s="137"/>
      <c r="AP411" s="137"/>
    </row>
    <row r="412" spans="8:42" x14ac:dyDescent="0.25">
      <c r="H412" s="137"/>
      <c r="Y412" s="137"/>
      <c r="AP412" s="137"/>
    </row>
    <row r="413" spans="8:42" x14ac:dyDescent="0.25">
      <c r="H413" s="137"/>
      <c r="Y413" s="137"/>
      <c r="AP413" s="137"/>
    </row>
    <row r="414" spans="8:42" x14ac:dyDescent="0.25">
      <c r="H414" s="137"/>
      <c r="Y414" s="137"/>
      <c r="AP414" s="137"/>
    </row>
    <row r="415" spans="8:42" x14ac:dyDescent="0.25">
      <c r="H415" s="137"/>
      <c r="Y415" s="137"/>
      <c r="AP415" s="137"/>
    </row>
    <row r="416" spans="8:42" x14ac:dyDescent="0.25">
      <c r="H416" s="137"/>
      <c r="Y416" s="137"/>
      <c r="AP416" s="137"/>
    </row>
    <row r="417" spans="8:42" x14ac:dyDescent="0.25">
      <c r="H417" s="137"/>
      <c r="Y417" s="137"/>
      <c r="AP417" s="137"/>
    </row>
    <row r="418" spans="8:42" x14ac:dyDescent="0.25">
      <c r="H418" s="137"/>
      <c r="Y418" s="137"/>
      <c r="AP418" s="137"/>
    </row>
    <row r="419" spans="8:42" x14ac:dyDescent="0.25">
      <c r="H419" s="137"/>
      <c r="Y419" s="137"/>
      <c r="AP419" s="137"/>
    </row>
    <row r="420" spans="8:42" x14ac:dyDescent="0.25">
      <c r="H420" s="137"/>
      <c r="Y420" s="137"/>
      <c r="AP420" s="137"/>
    </row>
    <row r="421" spans="8:42" x14ac:dyDescent="0.25">
      <c r="H421" s="137"/>
      <c r="Y421" s="137"/>
      <c r="AP421" s="137"/>
    </row>
    <row r="422" spans="8:42" x14ac:dyDescent="0.25">
      <c r="H422" s="137"/>
      <c r="Y422" s="137"/>
      <c r="AP422" s="137"/>
    </row>
    <row r="423" spans="8:42" x14ac:dyDescent="0.25">
      <c r="H423" s="137"/>
      <c r="Y423" s="137"/>
      <c r="AP423" s="137"/>
    </row>
    <row r="424" spans="8:42" x14ac:dyDescent="0.25">
      <c r="H424" s="137"/>
      <c r="Y424" s="137"/>
      <c r="AP424" s="137"/>
    </row>
    <row r="425" spans="8:42" x14ac:dyDescent="0.25">
      <c r="H425" s="137"/>
      <c r="Y425" s="137"/>
      <c r="AP425" s="137"/>
    </row>
    <row r="426" spans="8:42" x14ac:dyDescent="0.25">
      <c r="H426" s="137"/>
      <c r="Y426" s="137"/>
      <c r="AP426" s="137"/>
    </row>
    <row r="427" spans="8:42" x14ac:dyDescent="0.25">
      <c r="H427" s="137"/>
      <c r="Y427" s="137"/>
      <c r="AP427" s="137"/>
    </row>
    <row r="428" spans="8:42" x14ac:dyDescent="0.25">
      <c r="H428" s="137"/>
      <c r="Y428" s="137"/>
      <c r="AP428" s="137"/>
    </row>
    <row r="429" spans="8:42" x14ac:dyDescent="0.25">
      <c r="H429" s="137"/>
      <c r="Y429" s="137"/>
      <c r="AP429" s="137"/>
    </row>
    <row r="430" spans="8:42" x14ac:dyDescent="0.25">
      <c r="H430" s="137"/>
      <c r="Y430" s="137"/>
      <c r="AP430" s="137"/>
    </row>
    <row r="431" spans="8:42" x14ac:dyDescent="0.25">
      <c r="H431" s="137"/>
      <c r="Y431" s="137"/>
      <c r="AP431" s="137"/>
    </row>
    <row r="432" spans="8:42" x14ac:dyDescent="0.25">
      <c r="H432" s="137"/>
      <c r="Y432" s="137"/>
      <c r="AP432" s="137"/>
    </row>
    <row r="433" spans="8:42" x14ac:dyDescent="0.25">
      <c r="H433" s="137"/>
      <c r="Y433" s="137"/>
      <c r="AP433" s="137"/>
    </row>
    <row r="434" spans="8:42" x14ac:dyDescent="0.25">
      <c r="H434" s="137"/>
      <c r="Y434" s="137"/>
      <c r="AP434" s="137"/>
    </row>
    <row r="435" spans="8:42" x14ac:dyDescent="0.25">
      <c r="H435" s="137"/>
      <c r="Y435" s="137"/>
      <c r="AP435" s="137"/>
    </row>
    <row r="436" spans="8:42" x14ac:dyDescent="0.25">
      <c r="H436" s="137"/>
      <c r="Y436" s="137"/>
      <c r="AP436" s="137"/>
    </row>
    <row r="437" spans="8:42" x14ac:dyDescent="0.25">
      <c r="H437" s="137"/>
      <c r="Y437" s="137"/>
      <c r="AP437" s="137"/>
    </row>
    <row r="438" spans="8:42" x14ac:dyDescent="0.25">
      <c r="H438" s="137"/>
      <c r="Y438" s="137"/>
      <c r="AP438" s="137"/>
    </row>
    <row r="439" spans="8:42" x14ac:dyDescent="0.25">
      <c r="H439" s="137"/>
      <c r="Y439" s="137"/>
      <c r="AP439" s="137"/>
    </row>
    <row r="440" spans="8:42" x14ac:dyDescent="0.25">
      <c r="H440" s="137"/>
      <c r="Y440" s="137"/>
      <c r="AP440" s="137"/>
    </row>
    <row r="441" spans="8:42" x14ac:dyDescent="0.25">
      <c r="H441" s="137"/>
      <c r="Y441" s="137"/>
      <c r="AP441" s="137"/>
    </row>
    <row r="442" spans="8:42" x14ac:dyDescent="0.25">
      <c r="H442" s="137"/>
      <c r="Y442" s="137"/>
      <c r="AP442" s="137"/>
    </row>
    <row r="443" spans="8:42" x14ac:dyDescent="0.25">
      <c r="H443" s="137"/>
      <c r="Y443" s="137"/>
      <c r="AP443" s="137"/>
    </row>
    <row r="444" spans="8:42" x14ac:dyDescent="0.25">
      <c r="H444" s="137"/>
      <c r="Y444" s="137"/>
      <c r="AP444" s="137"/>
    </row>
    <row r="445" spans="8:42" x14ac:dyDescent="0.25">
      <c r="H445" s="137"/>
      <c r="Y445" s="137"/>
      <c r="AP445" s="137"/>
    </row>
    <row r="446" spans="8:42" x14ac:dyDescent="0.25">
      <c r="H446" s="137"/>
      <c r="Y446" s="137"/>
      <c r="AP446" s="137"/>
    </row>
    <row r="447" spans="8:42" x14ac:dyDescent="0.25">
      <c r="H447" s="137"/>
      <c r="Y447" s="137"/>
      <c r="AP447" s="137"/>
    </row>
    <row r="448" spans="8:42" x14ac:dyDescent="0.25">
      <c r="H448" s="137"/>
    </row>
    <row r="449" spans="8:8" x14ac:dyDescent="0.25">
      <c r="H449" s="137"/>
    </row>
    <row r="450" spans="8:8" x14ac:dyDescent="0.25">
      <c r="H450" s="137"/>
    </row>
  </sheetData>
  <mergeCells count="14">
    <mergeCell ref="G9:V9"/>
    <mergeCell ref="X9:AM9"/>
    <mergeCell ref="AO9:BF9"/>
    <mergeCell ref="BE11:BF11"/>
    <mergeCell ref="BH11:BM11"/>
    <mergeCell ref="AL12:AM12"/>
    <mergeCell ref="AX12:AZ12"/>
    <mergeCell ref="BA12:BB12"/>
    <mergeCell ref="BC12:BD12"/>
    <mergeCell ref="P12:R12"/>
    <mergeCell ref="S12:T12"/>
    <mergeCell ref="U12:V12"/>
    <mergeCell ref="AG12:AI12"/>
    <mergeCell ref="AJ12:AK12"/>
  </mergeCells>
  <printOptions horizontalCentered="1"/>
  <pageMargins left="0.39370078740157483" right="0.23622047244094491" top="0.34" bottom="0.39370078740157483" header="0.23" footer="0.19685039370078741"/>
  <pageSetup paperSize="9" scale="45" fitToHeight="3" orientation="landscape" r:id="rId1"/>
  <headerFooter alignWithMargins="0">
    <oddFooter>&amp;L&amp;D&amp;T&amp;C&amp;F&amp;R&amp;A&amp;P</oddFooter>
  </headerFooter>
  <customProperties>
    <customPr name="_pios_id" r:id="rId2"/>
  </customProperties>
  <ignoredErrors>
    <ignoredError sqref="D28:D115" unlockedFormula="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D811-D706-4DDE-9304-CF89D21BD146}">
  <dimension ref="A1:BT450"/>
  <sheetViews>
    <sheetView showGridLines="0" zoomScale="90" zoomScaleNormal="90" workbookViewId="0">
      <pane xSplit="4" ySplit="15" topLeftCell="E16" activePane="bottomRight" state="frozenSplit"/>
      <selection activeCell="L139" sqref="L139"/>
      <selection pane="topRight" activeCell="L139" sqref="L139"/>
      <selection pane="bottomLeft" activeCell="L139" sqref="L139"/>
      <selection pane="bottomRight" activeCell="A130" sqref="A130:XFD130"/>
    </sheetView>
  </sheetViews>
  <sheetFormatPr defaultRowHeight="15" x14ac:dyDescent="0.25"/>
  <cols>
    <col min="1" max="1" width="1.5703125" style="128" customWidth="1"/>
    <col min="2" max="2" width="6.85546875" style="128" customWidth="1"/>
    <col min="3" max="3" width="10.7109375" style="128" customWidth="1"/>
    <col min="4" max="4" width="11.7109375" style="128" customWidth="1"/>
    <col min="5" max="5" width="48.42578125" style="128" bestFit="1" customWidth="1"/>
    <col min="6" max="6" width="3.7109375" style="128" customWidth="1"/>
    <col min="7" max="8" width="13.140625" style="128" customWidth="1"/>
    <col min="9" max="9" width="15" style="128" bestFit="1" customWidth="1"/>
    <col min="10" max="22" width="13.140625" style="128" customWidth="1"/>
    <col min="23" max="23" width="9.140625" style="128"/>
    <col min="24" max="39" width="13.140625" style="128" customWidth="1"/>
    <col min="40" max="40" width="3.85546875" style="128" customWidth="1"/>
    <col min="41" max="56" width="13.140625" style="128" customWidth="1"/>
    <col min="57" max="58" width="13.140625" style="126" customWidth="1"/>
    <col min="59" max="64" width="9.140625" style="128"/>
    <col min="65" max="65" width="11.140625" style="128" bestFit="1" customWidth="1"/>
    <col min="66" max="16384" width="9.140625" style="128"/>
  </cols>
  <sheetData>
    <row r="1" spans="2:69" ht="24" customHeight="1" x14ac:dyDescent="0.35">
      <c r="B1" s="1" t="str">
        <f>'Model Update'!D5</f>
        <v>SA Power Networks</v>
      </c>
      <c r="C1" s="141"/>
      <c r="D1" s="141"/>
      <c r="G1" s="1" t="s">
        <v>11</v>
      </c>
      <c r="X1" s="140"/>
      <c r="AO1" s="140"/>
    </row>
    <row r="2" spans="2:69" ht="21.75" customHeight="1" x14ac:dyDescent="0.3">
      <c r="B2" s="123" t="s">
        <v>12</v>
      </c>
      <c r="C2" s="141"/>
      <c r="D2" s="141"/>
      <c r="G2"/>
      <c r="H2" s="6" t="s">
        <v>13</v>
      </c>
      <c r="I2"/>
      <c r="J2"/>
      <c r="K2"/>
      <c r="L2"/>
      <c r="M2"/>
      <c r="N2"/>
      <c r="O2"/>
      <c r="Y2" s="142"/>
      <c r="Z2" s="142"/>
      <c r="AA2" s="142"/>
      <c r="AB2" s="142"/>
      <c r="AP2" s="142"/>
      <c r="AQ2" s="142"/>
      <c r="AR2" s="142"/>
      <c r="AS2" s="142"/>
    </row>
    <row r="3" spans="2:69" ht="18" hidden="1" customHeight="1" x14ac:dyDescent="0.25">
      <c r="B3" s="143"/>
      <c r="C3" s="141"/>
      <c r="D3" s="141"/>
      <c r="G3"/>
      <c r="H3"/>
      <c r="I3"/>
      <c r="J3"/>
      <c r="K3"/>
      <c r="L3"/>
      <c r="M3"/>
      <c r="N3"/>
      <c r="O3"/>
      <c r="Y3" s="142"/>
      <c r="Z3" s="142"/>
      <c r="AA3" s="142"/>
      <c r="AB3" s="142"/>
      <c r="AP3" s="142"/>
      <c r="AQ3" s="142"/>
      <c r="AR3" s="142"/>
      <c r="AS3" s="142"/>
    </row>
    <row r="4" spans="2:69" ht="18" hidden="1" customHeight="1" x14ac:dyDescent="0.25">
      <c r="B4" s="143"/>
      <c r="C4" s="141"/>
      <c r="D4" s="141"/>
      <c r="G4"/>
      <c r="H4"/>
      <c r="I4"/>
      <c r="J4"/>
      <c r="K4"/>
      <c r="L4"/>
      <c r="M4"/>
      <c r="N4"/>
      <c r="O4"/>
      <c r="Y4" s="142"/>
      <c r="Z4" s="142"/>
      <c r="AA4" s="142"/>
      <c r="AB4" s="142"/>
      <c r="AP4" s="142"/>
      <c r="AQ4" s="142"/>
      <c r="AR4" s="142"/>
      <c r="AS4" s="142"/>
    </row>
    <row r="5" spans="2:69" ht="12.75" customHeight="1" x14ac:dyDescent="0.25">
      <c r="B5" s="143"/>
      <c r="C5" s="141"/>
      <c r="D5" s="141"/>
      <c r="G5"/>
      <c r="H5"/>
      <c r="I5"/>
      <c r="J5"/>
      <c r="K5"/>
      <c r="L5"/>
      <c r="M5"/>
      <c r="N5"/>
      <c r="O5"/>
      <c r="Y5" s="142"/>
      <c r="Z5" s="142"/>
      <c r="AA5" s="142"/>
      <c r="AB5" s="142"/>
      <c r="AP5" s="142"/>
      <c r="AQ5" s="142"/>
      <c r="AR5" s="142"/>
      <c r="AS5" s="142"/>
    </row>
    <row r="6" spans="2:69" ht="12.75" customHeight="1" x14ac:dyDescent="0.25">
      <c r="B6" s="143"/>
      <c r="C6" s="141"/>
      <c r="D6" s="141"/>
      <c r="G6"/>
      <c r="H6"/>
      <c r="I6"/>
      <c r="J6"/>
      <c r="K6"/>
      <c r="L6"/>
      <c r="M6"/>
      <c r="N6"/>
      <c r="O6"/>
      <c r="Z6" s="142"/>
      <c r="AA6" s="142"/>
      <c r="AB6" s="142"/>
      <c r="AQ6" s="142"/>
      <c r="AR6" s="142"/>
      <c r="AS6" s="142"/>
    </row>
    <row r="7" spans="2:69" ht="18.75" x14ac:dyDescent="0.3">
      <c r="B7" s="7" t="str">
        <f>"Information for financial year ending 30 June "&amp;'Model Update'!C12</f>
        <v>Information for financial year ending 30 June 2021</v>
      </c>
      <c r="C7" s="141"/>
      <c r="D7" s="141"/>
      <c r="G7"/>
      <c r="H7"/>
      <c r="I7"/>
      <c r="J7"/>
      <c r="K7"/>
      <c r="L7"/>
      <c r="M7"/>
      <c r="N7"/>
      <c r="O7"/>
      <c r="Y7" s="142"/>
      <c r="Z7" s="142"/>
      <c r="AA7" s="142"/>
      <c r="AB7" s="142"/>
      <c r="AP7" s="142"/>
      <c r="AQ7" s="142"/>
      <c r="AR7" s="142"/>
      <c r="AS7" s="142"/>
      <c r="BE7" s="258">
        <f>Days_Year</f>
        <v>365</v>
      </c>
    </row>
    <row r="8" spans="2:69" x14ac:dyDescent="0.25">
      <c r="B8" s="143"/>
      <c r="C8" s="141"/>
      <c r="D8" s="141"/>
    </row>
    <row r="9" spans="2:69" x14ac:dyDescent="0.25">
      <c r="B9" s="143"/>
      <c r="C9" s="141"/>
      <c r="D9" s="141"/>
      <c r="G9" s="850" t="s">
        <v>14</v>
      </c>
      <c r="H9" s="850"/>
      <c r="I9" s="850"/>
      <c r="J9" s="850"/>
      <c r="K9" s="850"/>
      <c r="L9" s="850"/>
      <c r="M9" s="850"/>
      <c r="N9" s="850"/>
      <c r="O9" s="850"/>
      <c r="P9" s="850"/>
      <c r="Q9" s="850"/>
      <c r="R9" s="850"/>
      <c r="S9" s="850"/>
      <c r="T9" s="850"/>
      <c r="U9" s="850"/>
      <c r="V9" s="861"/>
      <c r="X9" s="862" t="s">
        <v>15</v>
      </c>
      <c r="Y9" s="862"/>
      <c r="Z9" s="862"/>
      <c r="AA9" s="862"/>
      <c r="AB9" s="862"/>
      <c r="AC9" s="862"/>
      <c r="AD9" s="862"/>
      <c r="AE9" s="862"/>
      <c r="AF9" s="862"/>
      <c r="AG9" s="862"/>
      <c r="AH9" s="862"/>
      <c r="AI9" s="862"/>
      <c r="AJ9" s="862"/>
      <c r="AK9" s="862"/>
      <c r="AL9" s="862"/>
      <c r="AM9" s="863"/>
      <c r="AO9" s="850" t="s">
        <v>619</v>
      </c>
      <c r="AP9" s="850"/>
      <c r="AQ9" s="850"/>
      <c r="AR9" s="850"/>
      <c r="AS9" s="850"/>
      <c r="AT9" s="850"/>
      <c r="AU9" s="850"/>
      <c r="AV9" s="850"/>
      <c r="AW9" s="850"/>
      <c r="AX9" s="850"/>
      <c r="AY9" s="850"/>
      <c r="AZ9" s="850"/>
      <c r="BA9" s="850"/>
      <c r="BB9" s="850"/>
      <c r="BC9" s="850"/>
      <c r="BD9" s="850"/>
      <c r="BE9" s="850"/>
      <c r="BF9" s="850"/>
    </row>
    <row r="10" spans="2:69" x14ac:dyDescent="0.25">
      <c r="E10" s="144"/>
      <c r="V10" s="145"/>
      <c r="AM10" s="145"/>
    </row>
    <row r="11" spans="2:69" x14ac:dyDescent="0.25">
      <c r="B11" s="146" t="s">
        <v>16</v>
      </c>
      <c r="C11" s="147"/>
      <c r="D11" s="147"/>
      <c r="E11" s="148"/>
      <c r="G11" s="149">
        <f>'Model Update'!C12</f>
        <v>2021</v>
      </c>
      <c r="H11" s="150">
        <f>$G$11</f>
        <v>2021</v>
      </c>
      <c r="I11" s="147"/>
      <c r="J11" s="151"/>
      <c r="K11" s="152"/>
      <c r="L11" s="150">
        <f>$G$11</f>
        <v>2021</v>
      </c>
      <c r="M11" s="153"/>
      <c r="N11" s="153"/>
      <c r="O11" s="152"/>
      <c r="P11" s="150">
        <f>$G$11</f>
        <v>2021</v>
      </c>
      <c r="Q11" s="147"/>
      <c r="R11" s="151"/>
      <c r="S11" s="150">
        <f>$G$11</f>
        <v>2021</v>
      </c>
      <c r="T11" s="154"/>
      <c r="U11" s="150">
        <f>$G$11</f>
        <v>2021</v>
      </c>
      <c r="V11" s="148"/>
      <c r="X11" s="150">
        <f>$G$11</f>
        <v>2021</v>
      </c>
      <c r="Y11" s="150">
        <f>$G$11</f>
        <v>2021</v>
      </c>
      <c r="Z11" s="147"/>
      <c r="AA11" s="151"/>
      <c r="AB11" s="152"/>
      <c r="AC11" s="150">
        <f>$G$11</f>
        <v>2021</v>
      </c>
      <c r="AD11" s="153"/>
      <c r="AE11" s="153"/>
      <c r="AF11" s="152"/>
      <c r="AG11" s="150">
        <f>$G$11</f>
        <v>2021</v>
      </c>
      <c r="AH11" s="147"/>
      <c r="AI11" s="151"/>
      <c r="AJ11" s="150">
        <f>$G$11</f>
        <v>2021</v>
      </c>
      <c r="AK11" s="154"/>
      <c r="AL11" s="150">
        <f>$G$11</f>
        <v>2021</v>
      </c>
      <c r="AM11" s="148"/>
      <c r="AO11" s="150">
        <f>$G$11</f>
        <v>2021</v>
      </c>
      <c r="AP11" s="150">
        <f>$G$11</f>
        <v>2021</v>
      </c>
      <c r="AQ11" s="147"/>
      <c r="AR11" s="151"/>
      <c r="AS11" s="152"/>
      <c r="AT11" s="150">
        <f>$G$11</f>
        <v>2021</v>
      </c>
      <c r="AU11" s="153"/>
      <c r="AV11" s="153"/>
      <c r="AW11" s="152"/>
      <c r="AX11" s="150">
        <f>$G$11</f>
        <v>2021</v>
      </c>
      <c r="AY11" s="147"/>
      <c r="AZ11" s="151"/>
      <c r="BA11" s="150">
        <f>$G$11</f>
        <v>2021</v>
      </c>
      <c r="BB11" s="154"/>
      <c r="BC11" s="150">
        <f>$G$11</f>
        <v>2021</v>
      </c>
      <c r="BD11" s="147"/>
      <c r="BE11" s="864" t="s">
        <v>17</v>
      </c>
      <c r="BF11" s="852"/>
      <c r="BH11" s="864" t="s">
        <v>205</v>
      </c>
      <c r="BI11" s="851"/>
      <c r="BJ11" s="851"/>
      <c r="BK11" s="851"/>
      <c r="BL11" s="851"/>
      <c r="BM11" s="852"/>
    </row>
    <row r="12" spans="2:69" x14ac:dyDescent="0.25">
      <c r="B12" s="155"/>
      <c r="E12" s="145"/>
      <c r="G12" s="156" t="s">
        <v>18</v>
      </c>
      <c r="H12" s="157" t="s">
        <v>19</v>
      </c>
      <c r="J12" s="129"/>
      <c r="K12" s="158"/>
      <c r="L12" s="157" t="s">
        <v>20</v>
      </c>
      <c r="M12" s="135"/>
      <c r="N12" s="135"/>
      <c r="O12" s="158"/>
      <c r="P12" s="856" t="s">
        <v>21</v>
      </c>
      <c r="Q12" s="857"/>
      <c r="R12" s="858"/>
      <c r="S12" s="859" t="s">
        <v>662</v>
      </c>
      <c r="T12" s="860"/>
      <c r="U12" s="856" t="s">
        <v>663</v>
      </c>
      <c r="V12" s="858"/>
      <c r="X12" s="156" t="s">
        <v>22</v>
      </c>
      <c r="Y12" s="157" t="s">
        <v>19</v>
      </c>
      <c r="AA12" s="129"/>
      <c r="AB12" s="158"/>
      <c r="AC12" s="157" t="s">
        <v>20</v>
      </c>
      <c r="AD12" s="135"/>
      <c r="AE12" s="135"/>
      <c r="AF12" s="158"/>
      <c r="AG12" s="856" t="s">
        <v>21</v>
      </c>
      <c r="AH12" s="857"/>
      <c r="AI12" s="858"/>
      <c r="AJ12" s="859" t="s">
        <v>662</v>
      </c>
      <c r="AK12" s="860"/>
      <c r="AL12" s="856" t="s">
        <v>663</v>
      </c>
      <c r="AM12" s="858"/>
      <c r="AO12" s="156" t="s">
        <v>22</v>
      </c>
      <c r="AP12" s="157" t="s">
        <v>19</v>
      </c>
      <c r="AR12" s="129"/>
      <c r="AS12" s="158"/>
      <c r="AT12" s="157" t="s">
        <v>20</v>
      </c>
      <c r="AU12" s="135"/>
      <c r="AV12" s="135"/>
      <c r="AW12" s="158"/>
      <c r="AX12" s="856" t="s">
        <v>21</v>
      </c>
      <c r="AY12" s="857"/>
      <c r="AZ12" s="858"/>
      <c r="BA12" s="859" t="s">
        <v>662</v>
      </c>
      <c r="BB12" s="860"/>
      <c r="BC12" s="856" t="s">
        <v>663</v>
      </c>
      <c r="BD12" s="858"/>
      <c r="BE12" s="241" t="s">
        <v>204</v>
      </c>
      <c r="BF12" s="243" t="s">
        <v>23</v>
      </c>
      <c r="BH12" s="239"/>
      <c r="BI12" s="240"/>
      <c r="BJ12" s="240"/>
      <c r="BK12" s="240"/>
      <c r="BL12" s="240"/>
      <c r="BM12" s="145"/>
    </row>
    <row r="13" spans="2:69" x14ac:dyDescent="0.25">
      <c r="B13" s="155"/>
      <c r="E13" s="145"/>
      <c r="G13" s="156"/>
      <c r="H13" s="160" t="s">
        <v>23</v>
      </c>
      <c r="I13" s="129" t="s">
        <v>23</v>
      </c>
      <c r="J13" s="129" t="s">
        <v>23</v>
      </c>
      <c r="K13" s="158" t="s">
        <v>23</v>
      </c>
      <c r="L13" s="160" t="s">
        <v>23</v>
      </c>
      <c r="M13" s="129" t="s">
        <v>23</v>
      </c>
      <c r="N13" s="129" t="s">
        <v>23</v>
      </c>
      <c r="O13" s="158" t="s">
        <v>23</v>
      </c>
      <c r="P13" s="129" t="s">
        <v>24</v>
      </c>
      <c r="Q13" s="128" t="s">
        <v>24</v>
      </c>
      <c r="R13" s="159" t="s">
        <v>24</v>
      </c>
      <c r="S13" s="129" t="s">
        <v>24</v>
      </c>
      <c r="T13" s="159" t="s">
        <v>24</v>
      </c>
      <c r="U13" s="160" t="s">
        <v>25</v>
      </c>
      <c r="V13" s="158" t="s">
        <v>25</v>
      </c>
      <c r="X13" s="156"/>
      <c r="Y13" s="160" t="s">
        <v>23</v>
      </c>
      <c r="Z13" s="129" t="s">
        <v>23</v>
      </c>
      <c r="AA13" s="129" t="s">
        <v>23</v>
      </c>
      <c r="AB13" s="158" t="s">
        <v>23</v>
      </c>
      <c r="AC13" s="160" t="s">
        <v>23</v>
      </c>
      <c r="AD13" s="129" t="s">
        <v>23</v>
      </c>
      <c r="AE13" s="129" t="s">
        <v>23</v>
      </c>
      <c r="AF13" s="158" t="s">
        <v>23</v>
      </c>
      <c r="AG13" s="129" t="s">
        <v>24</v>
      </c>
      <c r="AH13" s="128" t="s">
        <v>24</v>
      </c>
      <c r="AI13" s="159" t="s">
        <v>24</v>
      </c>
      <c r="AJ13" s="129" t="s">
        <v>24</v>
      </c>
      <c r="AK13" s="159" t="s">
        <v>24</v>
      </c>
      <c r="AL13" s="160" t="s">
        <v>25</v>
      </c>
      <c r="AM13" s="158" t="s">
        <v>25</v>
      </c>
      <c r="AO13" s="156"/>
      <c r="AP13" s="160" t="s">
        <v>23</v>
      </c>
      <c r="AQ13" s="129" t="s">
        <v>23</v>
      </c>
      <c r="AR13" s="129" t="s">
        <v>23</v>
      </c>
      <c r="AS13" s="158" t="s">
        <v>23</v>
      </c>
      <c r="AT13" s="160" t="s">
        <v>23</v>
      </c>
      <c r="AU13" s="129" t="s">
        <v>23</v>
      </c>
      <c r="AV13" s="129" t="s">
        <v>23</v>
      </c>
      <c r="AW13" s="158" t="s">
        <v>23</v>
      </c>
      <c r="AX13" s="129" t="s">
        <v>24</v>
      </c>
      <c r="AY13" s="128" t="s">
        <v>24</v>
      </c>
      <c r="AZ13" s="159" t="s">
        <v>24</v>
      </c>
      <c r="BA13" s="129" t="s">
        <v>24</v>
      </c>
      <c r="BB13" s="159" t="s">
        <v>24</v>
      </c>
      <c r="BC13" s="160" t="s">
        <v>25</v>
      </c>
      <c r="BD13" s="158" t="s">
        <v>25</v>
      </c>
      <c r="BE13" s="161"/>
      <c r="BF13" s="243"/>
      <c r="BH13" s="241" t="s">
        <v>206</v>
      </c>
      <c r="BI13" s="242" t="s">
        <v>23</v>
      </c>
      <c r="BJ13" s="242" t="s">
        <v>23</v>
      </c>
      <c r="BK13" s="242" t="s">
        <v>210</v>
      </c>
      <c r="BL13" s="242" t="s">
        <v>211</v>
      </c>
      <c r="BM13" s="243" t="s">
        <v>212</v>
      </c>
      <c r="BO13" s="680" t="s">
        <v>620</v>
      </c>
      <c r="BQ13" s="126" t="s">
        <v>259</v>
      </c>
    </row>
    <row r="14" spans="2:69" s="129" customFormat="1" x14ac:dyDescent="0.25">
      <c r="B14" s="156" t="s">
        <v>26</v>
      </c>
      <c r="C14" s="129" t="s">
        <v>27</v>
      </c>
      <c r="D14" s="129" t="s">
        <v>27</v>
      </c>
      <c r="E14" s="158" t="s">
        <v>28</v>
      </c>
      <c r="F14" s="128"/>
      <c r="G14" s="156" t="s">
        <v>29</v>
      </c>
      <c r="H14" s="160" t="s">
        <v>30</v>
      </c>
      <c r="I14" s="129" t="s">
        <v>31</v>
      </c>
      <c r="J14" s="129" t="s">
        <v>32</v>
      </c>
      <c r="K14" s="158" t="s">
        <v>33</v>
      </c>
      <c r="L14" s="160" t="s">
        <v>30</v>
      </c>
      <c r="M14" s="129" t="s">
        <v>31</v>
      </c>
      <c r="N14" s="129" t="s">
        <v>32</v>
      </c>
      <c r="O14" s="158" t="s">
        <v>33</v>
      </c>
      <c r="P14" s="160"/>
      <c r="S14" s="160"/>
      <c r="T14" s="158"/>
      <c r="U14" s="160" t="s">
        <v>34</v>
      </c>
      <c r="V14" s="158"/>
      <c r="X14" s="156" t="s">
        <v>29</v>
      </c>
      <c r="Y14" s="160" t="s">
        <v>30</v>
      </c>
      <c r="Z14" s="129" t="s">
        <v>31</v>
      </c>
      <c r="AA14" s="129" t="s">
        <v>32</v>
      </c>
      <c r="AB14" s="158" t="s">
        <v>33</v>
      </c>
      <c r="AC14" s="160" t="s">
        <v>30</v>
      </c>
      <c r="AD14" s="129" t="s">
        <v>31</v>
      </c>
      <c r="AE14" s="129" t="s">
        <v>32</v>
      </c>
      <c r="AF14" s="158" t="s">
        <v>33</v>
      </c>
      <c r="AG14" s="160"/>
      <c r="AJ14" s="160"/>
      <c r="AK14" s="158"/>
      <c r="AL14" s="160" t="s">
        <v>34</v>
      </c>
      <c r="AM14" s="158"/>
      <c r="AO14" s="156" t="s">
        <v>29</v>
      </c>
      <c r="AP14" s="160" t="s">
        <v>30</v>
      </c>
      <c r="AQ14" s="129" t="s">
        <v>31</v>
      </c>
      <c r="AR14" s="129" t="s">
        <v>32</v>
      </c>
      <c r="AS14" s="158" t="s">
        <v>33</v>
      </c>
      <c r="AT14" s="160" t="s">
        <v>30</v>
      </c>
      <c r="AU14" s="129" t="s">
        <v>31</v>
      </c>
      <c r="AV14" s="129" t="s">
        <v>32</v>
      </c>
      <c r="AW14" s="158" t="s">
        <v>33</v>
      </c>
      <c r="AX14" s="160"/>
      <c r="BA14" s="160"/>
      <c r="BB14" s="158"/>
      <c r="BC14" s="160" t="s">
        <v>34</v>
      </c>
      <c r="BD14" s="158"/>
      <c r="BE14" s="241" t="s">
        <v>22</v>
      </c>
      <c r="BF14" s="243" t="s">
        <v>35</v>
      </c>
      <c r="BH14" s="241" t="s">
        <v>207</v>
      </c>
      <c r="BI14" s="242" t="s">
        <v>208</v>
      </c>
      <c r="BJ14" s="242" t="s">
        <v>209</v>
      </c>
      <c r="BK14" s="242"/>
      <c r="BL14" s="242"/>
      <c r="BM14" s="243"/>
    </row>
    <row r="15" spans="2:69" s="129" customFormat="1" x14ac:dyDescent="0.25">
      <c r="B15" s="162"/>
      <c r="C15" s="163" t="s">
        <v>36</v>
      </c>
      <c r="D15" s="163" t="s">
        <v>37</v>
      </c>
      <c r="E15" s="164" t="s">
        <v>38</v>
      </c>
      <c r="F15" s="128"/>
      <c r="G15" s="162" t="s">
        <v>29</v>
      </c>
      <c r="H15" s="165" t="s">
        <v>30</v>
      </c>
      <c r="I15" s="163" t="s">
        <v>31</v>
      </c>
      <c r="J15" s="163" t="s">
        <v>39</v>
      </c>
      <c r="K15" s="164" t="s">
        <v>32</v>
      </c>
      <c r="L15" s="165" t="s">
        <v>30</v>
      </c>
      <c r="M15" s="163"/>
      <c r="N15" s="163"/>
      <c r="O15" s="164"/>
      <c r="P15" s="165" t="s">
        <v>40</v>
      </c>
      <c r="Q15" s="163" t="s">
        <v>666</v>
      </c>
      <c r="R15" s="163" t="s">
        <v>667</v>
      </c>
      <c r="S15" s="165" t="s">
        <v>665</v>
      </c>
      <c r="T15" s="164" t="s">
        <v>664</v>
      </c>
      <c r="U15" s="165" t="s">
        <v>34</v>
      </c>
      <c r="V15" s="166" t="s">
        <v>664</v>
      </c>
      <c r="X15" s="162" t="s">
        <v>29</v>
      </c>
      <c r="Y15" s="165" t="s">
        <v>30</v>
      </c>
      <c r="Z15" s="163" t="s">
        <v>31</v>
      </c>
      <c r="AA15" s="163" t="s">
        <v>39</v>
      </c>
      <c r="AB15" s="164" t="s">
        <v>32</v>
      </c>
      <c r="AC15" s="165" t="s">
        <v>30</v>
      </c>
      <c r="AD15" s="163"/>
      <c r="AE15" s="163"/>
      <c r="AF15" s="164"/>
      <c r="AG15" s="165" t="s">
        <v>40</v>
      </c>
      <c r="AH15" s="163" t="s">
        <v>666</v>
      </c>
      <c r="AI15" s="163" t="s">
        <v>667</v>
      </c>
      <c r="AJ15" s="165" t="s">
        <v>665</v>
      </c>
      <c r="AK15" s="164" t="s">
        <v>664</v>
      </c>
      <c r="AL15" s="165" t="s">
        <v>34</v>
      </c>
      <c r="AM15" s="166" t="s">
        <v>664</v>
      </c>
      <c r="AO15" s="162" t="s">
        <v>29</v>
      </c>
      <c r="AP15" s="165" t="s">
        <v>30</v>
      </c>
      <c r="AQ15" s="163" t="s">
        <v>31</v>
      </c>
      <c r="AR15" s="163" t="s">
        <v>39</v>
      </c>
      <c r="AS15" s="164" t="s">
        <v>32</v>
      </c>
      <c r="AT15" s="165" t="s">
        <v>30</v>
      </c>
      <c r="AU15" s="163"/>
      <c r="AV15" s="163"/>
      <c r="AW15" s="164"/>
      <c r="AX15" s="165" t="s">
        <v>40</v>
      </c>
      <c r="AY15" s="163" t="s">
        <v>666</v>
      </c>
      <c r="AZ15" s="163" t="s">
        <v>667</v>
      </c>
      <c r="BA15" s="165" t="s">
        <v>665</v>
      </c>
      <c r="BB15" s="164" t="s">
        <v>664</v>
      </c>
      <c r="BC15" s="165" t="s">
        <v>34</v>
      </c>
      <c r="BD15" s="166" t="s">
        <v>664</v>
      </c>
      <c r="BE15" s="247" t="s">
        <v>22</v>
      </c>
      <c r="BF15" s="248" t="s">
        <v>35</v>
      </c>
      <c r="BH15" s="160"/>
      <c r="BI15" s="244"/>
      <c r="BJ15" s="244"/>
      <c r="BK15" s="244"/>
      <c r="BL15" s="244"/>
      <c r="BM15" s="158"/>
    </row>
    <row r="16" spans="2:69" ht="15" customHeight="1" x14ac:dyDescent="0.25">
      <c r="B16" s="167" t="s">
        <v>41</v>
      </c>
      <c r="C16" s="151" t="s">
        <v>42</v>
      </c>
      <c r="D16" s="147"/>
      <c r="E16" s="148"/>
      <c r="G16" s="463">
        <f>SUM('DUoS (t)'!G16,'TUoS (t)'!G16,'JSO (t)'!G16)</f>
        <v>0</v>
      </c>
      <c r="H16" s="464">
        <f>SUM('DUoS (t)'!H16,'TUoS (t)'!H16,'JSO (t)'!H16)</f>
        <v>0</v>
      </c>
      <c r="I16" s="465">
        <f>SUM('DUoS (t)'!I16,'TUoS (t)'!I16,'JSO (t)'!I16)</f>
        <v>0</v>
      </c>
      <c r="J16" s="465">
        <f>SUM('DUoS (t)'!J16,'TUoS (t)'!J16,'JSO (t)'!J16)</f>
        <v>0</v>
      </c>
      <c r="K16" s="466">
        <f>SUM('DUoS (t)'!K16,'TUoS (t)'!K16,'JSO (t)'!K16)</f>
        <v>0</v>
      </c>
      <c r="L16" s="465">
        <f>SUM('DUoS (t)'!L16,'TUoS (t)'!L16,'JSO (t)'!L16)</f>
        <v>0</v>
      </c>
      <c r="M16" s="465">
        <f>SUM('DUoS (t)'!M16,'TUoS (t)'!M16,'JSO (t)'!M16)</f>
        <v>0</v>
      </c>
      <c r="N16" s="465">
        <f>SUM('DUoS (t)'!N16,'TUoS (t)'!N16,'JSO (t)'!N16)</f>
        <v>0</v>
      </c>
      <c r="O16" s="466">
        <f>SUM('DUoS (t)'!O16,'TUoS (t)'!O16,'JSO (t)'!O16)</f>
        <v>0</v>
      </c>
      <c r="P16" s="464">
        <f>SUM('DUoS (t)'!P16,'TUoS (t)'!P16,'JSO (t)'!P16)</f>
        <v>0</v>
      </c>
      <c r="Q16" s="465">
        <f>SUM('DUoS (t)'!Q16,'TUoS (t)'!Q16,'JSO (t)'!Q16)</f>
        <v>0</v>
      </c>
      <c r="R16" s="466">
        <f>SUM('DUoS (t)'!R16,'TUoS (t)'!R16,'JSO (t)'!R16)</f>
        <v>0</v>
      </c>
      <c r="S16" s="464">
        <f>SUM('DUoS (t)'!S16,'TUoS (t)'!S16,'JSO (t)'!S16)</f>
        <v>0</v>
      </c>
      <c r="T16" s="465">
        <f>SUM('DUoS (t)'!T16,'TUoS (t)'!T16,'JSO (t)'!T16)</f>
        <v>0</v>
      </c>
      <c r="U16" s="464">
        <f>SUM('DUoS (t)'!U16,'TUoS (t)'!U16,'JSO (t)'!U16)</f>
        <v>0</v>
      </c>
      <c r="V16" s="466">
        <f>SUM('DUoS (t)'!V16,'TUoS (t)'!V16,'JSO (t)'!V16)</f>
        <v>0</v>
      </c>
      <c r="X16" s="168">
        <f>'Q (t)'!G16</f>
        <v>0</v>
      </c>
      <c r="Y16" s="169">
        <f>'Q (t)'!H16</f>
        <v>0</v>
      </c>
      <c r="Z16" s="170">
        <f>'Q (t)'!I16</f>
        <v>0</v>
      </c>
      <c r="AA16" s="170">
        <f>'Q (t)'!J16</f>
        <v>0</v>
      </c>
      <c r="AB16" s="171">
        <f>'Q (t)'!K16</f>
        <v>0</v>
      </c>
      <c r="AC16" s="170">
        <f>'Q (t)'!L16</f>
        <v>0</v>
      </c>
      <c r="AD16" s="170">
        <f>'Q (t)'!M16</f>
        <v>0</v>
      </c>
      <c r="AE16" s="170">
        <f>'Q (t)'!N16</f>
        <v>0</v>
      </c>
      <c r="AF16" s="171">
        <f>'Q (t)'!O16</f>
        <v>0</v>
      </c>
      <c r="AG16" s="169">
        <f>'Q (t)'!P16</f>
        <v>0</v>
      </c>
      <c r="AH16" s="170">
        <f>'Q (t)'!Q16</f>
        <v>0</v>
      </c>
      <c r="AI16" s="171">
        <f>'Q (t)'!R16</f>
        <v>0</v>
      </c>
      <c r="AJ16" s="169">
        <f>'Q (t)'!S16</f>
        <v>0</v>
      </c>
      <c r="AK16" s="170">
        <f>'Q (t)'!T16</f>
        <v>0</v>
      </c>
      <c r="AL16" s="169">
        <f>'Q (t)'!U16</f>
        <v>0</v>
      </c>
      <c r="AM16" s="171">
        <f>'Q (t)'!V16</f>
        <v>0</v>
      </c>
      <c r="AO16" s="168">
        <f>G16*X16/1000</f>
        <v>0</v>
      </c>
      <c r="AP16" s="169">
        <f t="shared" ref="AP16:AW33" si="0">H16*Y16</f>
        <v>0</v>
      </c>
      <c r="AQ16" s="170">
        <f t="shared" si="0"/>
        <v>0</v>
      </c>
      <c r="AR16" s="170">
        <f t="shared" si="0"/>
        <v>0</v>
      </c>
      <c r="AS16" s="171">
        <f t="shared" si="0"/>
        <v>0</v>
      </c>
      <c r="AT16" s="170">
        <f t="shared" si="0"/>
        <v>0</v>
      </c>
      <c r="AU16" s="170">
        <f t="shared" si="0"/>
        <v>0</v>
      </c>
      <c r="AV16" s="170">
        <f t="shared" si="0"/>
        <v>0</v>
      </c>
      <c r="AW16" s="171">
        <f t="shared" si="0"/>
        <v>0</v>
      </c>
      <c r="AX16" s="169">
        <f t="shared" ref="AX16:BD51" si="1">P16*AG16/1000</f>
        <v>0</v>
      </c>
      <c r="AY16" s="170">
        <f t="shared" si="1"/>
        <v>0</v>
      </c>
      <c r="AZ16" s="171">
        <f t="shared" si="1"/>
        <v>0</v>
      </c>
      <c r="BA16" s="169">
        <f t="shared" si="1"/>
        <v>0</v>
      </c>
      <c r="BB16" s="170">
        <f t="shared" si="1"/>
        <v>0</v>
      </c>
      <c r="BC16" s="169">
        <f t="shared" si="1"/>
        <v>0</v>
      </c>
      <c r="BD16" s="170">
        <f t="shared" si="1"/>
        <v>0</v>
      </c>
      <c r="BE16" s="249">
        <f>X16/$BE$7</f>
        <v>0</v>
      </c>
      <c r="BF16" s="250">
        <f>SUM(AP16:AW16)</f>
        <v>0</v>
      </c>
      <c r="BH16" s="260">
        <f>SUBTOTAL(9,BH17:BH25)</f>
        <v>135743.61300400001</v>
      </c>
      <c r="BI16" s="260">
        <f>SUBTOTAL(9,BI17:BI25)</f>
        <v>435547.83999999997</v>
      </c>
      <c r="BJ16" s="260">
        <f>SUBTOTAL(9,BJ17:BJ25)</f>
        <v>31743.450000000004</v>
      </c>
      <c r="BK16" s="260">
        <f>SUBTOTAL(9,BK17:BK25)</f>
        <v>0</v>
      </c>
      <c r="BL16" s="260">
        <f>SUBTOTAL(9,BL17:BL25)</f>
        <v>1342.2072000000001</v>
      </c>
      <c r="BM16" s="261">
        <f>SUM(BH16:BL16)</f>
        <v>604377.11020399991</v>
      </c>
      <c r="BO16" s="732" t="str">
        <f>IF(BF16=0,"",BM16*1000/BF16)</f>
        <v/>
      </c>
    </row>
    <row r="17" spans="2:67" ht="15" customHeight="1" x14ac:dyDescent="0.25">
      <c r="B17" s="172"/>
      <c r="C17" s="126" t="s">
        <v>43</v>
      </c>
      <c r="D17" s="173"/>
      <c r="E17" s="145"/>
      <c r="G17" s="467">
        <f>SUM('DUoS (t)'!G17,'TUoS (t)'!G17,'JSO (t)'!G17)</f>
        <v>0</v>
      </c>
      <c r="H17" s="468">
        <f>SUM('DUoS (t)'!H17,'TUoS (t)'!H17,'JSO (t)'!H17)</f>
        <v>0</v>
      </c>
      <c r="I17" s="469">
        <f>SUM('DUoS (t)'!I17,'TUoS (t)'!I17,'JSO (t)'!I17)</f>
        <v>0</v>
      </c>
      <c r="J17" s="469">
        <f>SUM('DUoS (t)'!J17,'TUoS (t)'!J17,'JSO (t)'!J17)</f>
        <v>0</v>
      </c>
      <c r="K17" s="470">
        <f>SUM('DUoS (t)'!K17,'TUoS (t)'!K17,'JSO (t)'!K17)</f>
        <v>0</v>
      </c>
      <c r="L17" s="471">
        <f>SUM('DUoS (t)'!L17,'TUoS (t)'!L17,'JSO (t)'!L17)</f>
        <v>0</v>
      </c>
      <c r="M17" s="471">
        <f>SUM('DUoS (t)'!M17,'TUoS (t)'!M17,'JSO (t)'!M17)</f>
        <v>0</v>
      </c>
      <c r="N17" s="471">
        <f>SUM('DUoS (t)'!N17,'TUoS (t)'!N17,'JSO (t)'!N17)</f>
        <v>0</v>
      </c>
      <c r="O17" s="472">
        <f>SUM('DUoS (t)'!O17,'TUoS (t)'!O17,'JSO (t)'!O17)</f>
        <v>0</v>
      </c>
      <c r="P17" s="468">
        <f>SUM('DUoS (t)'!P17,'TUoS (t)'!P17,'JSO (t)'!P17)</f>
        <v>0</v>
      </c>
      <c r="Q17" s="469">
        <f>SUM('DUoS (t)'!Q17,'TUoS (t)'!Q17,'JSO (t)'!Q17)</f>
        <v>0</v>
      </c>
      <c r="R17" s="470">
        <f>SUM('DUoS (t)'!R17,'TUoS (t)'!R17,'JSO (t)'!R17)</f>
        <v>0</v>
      </c>
      <c r="S17" s="468">
        <f>SUM('DUoS (t)'!S17,'TUoS (t)'!S17,'JSO (t)'!S17)</f>
        <v>0</v>
      </c>
      <c r="T17" s="469">
        <f>SUM('DUoS (t)'!T17,'TUoS (t)'!T17,'JSO (t)'!T17)</f>
        <v>0</v>
      </c>
      <c r="U17" s="468">
        <f>SUM('DUoS (t)'!U17,'TUoS (t)'!U17,'JSO (t)'!U17)</f>
        <v>0</v>
      </c>
      <c r="V17" s="470">
        <f>SUM('DUoS (t)'!V17,'TUoS (t)'!V17,'JSO (t)'!V17)</f>
        <v>0</v>
      </c>
      <c r="X17" s="174">
        <f>'Q (t)'!G17</f>
        <v>0</v>
      </c>
      <c r="Y17" s="175">
        <f>'Q (t)'!H17</f>
        <v>0</v>
      </c>
      <c r="Z17" s="176">
        <f>'Q (t)'!I17</f>
        <v>0</v>
      </c>
      <c r="AA17" s="176">
        <f>'Q (t)'!J17</f>
        <v>0</v>
      </c>
      <c r="AB17" s="177">
        <f>'Q (t)'!K17</f>
        <v>0</v>
      </c>
      <c r="AC17" s="178">
        <f>'Q (t)'!L17</f>
        <v>0</v>
      </c>
      <c r="AD17" s="178">
        <f>'Q (t)'!M17</f>
        <v>0</v>
      </c>
      <c r="AE17" s="178">
        <f>'Q (t)'!N17</f>
        <v>0</v>
      </c>
      <c r="AF17" s="179">
        <f>'Q (t)'!O17</f>
        <v>0</v>
      </c>
      <c r="AG17" s="175">
        <f>'Q (t)'!P17</f>
        <v>0</v>
      </c>
      <c r="AH17" s="176">
        <f>'Q (t)'!Q17</f>
        <v>0</v>
      </c>
      <c r="AI17" s="177">
        <f>'Q (t)'!R17</f>
        <v>0</v>
      </c>
      <c r="AJ17" s="175">
        <f>'Q (t)'!S17</f>
        <v>0</v>
      </c>
      <c r="AK17" s="176">
        <f>'Q (t)'!T17</f>
        <v>0</v>
      </c>
      <c r="AL17" s="175">
        <f>'Q (t)'!U17</f>
        <v>0</v>
      </c>
      <c r="AM17" s="177">
        <f>'Q (t)'!V17</f>
        <v>0</v>
      </c>
      <c r="AO17" s="174">
        <f t="shared" ref="AO17:AO77" si="2">G17*X17/1000</f>
        <v>0</v>
      </c>
      <c r="AP17" s="175">
        <f t="shared" si="0"/>
        <v>0</v>
      </c>
      <c r="AQ17" s="176">
        <f t="shared" si="0"/>
        <v>0</v>
      </c>
      <c r="AR17" s="176">
        <f t="shared" si="0"/>
        <v>0</v>
      </c>
      <c r="AS17" s="177">
        <f t="shared" si="0"/>
        <v>0</v>
      </c>
      <c r="AT17" s="178">
        <f t="shared" si="0"/>
        <v>0</v>
      </c>
      <c r="AU17" s="178">
        <f t="shared" si="0"/>
        <v>0</v>
      </c>
      <c r="AV17" s="178">
        <f t="shared" si="0"/>
        <v>0</v>
      </c>
      <c r="AW17" s="179">
        <f t="shared" si="0"/>
        <v>0</v>
      </c>
      <c r="AX17" s="175">
        <f t="shared" si="1"/>
        <v>0</v>
      </c>
      <c r="AY17" s="176">
        <f t="shared" si="1"/>
        <v>0</v>
      </c>
      <c r="AZ17" s="177">
        <f t="shared" si="1"/>
        <v>0</v>
      </c>
      <c r="BA17" s="175">
        <f t="shared" si="1"/>
        <v>0</v>
      </c>
      <c r="BB17" s="176">
        <f t="shared" si="1"/>
        <v>0</v>
      </c>
      <c r="BC17" s="175">
        <f t="shared" si="1"/>
        <v>0</v>
      </c>
      <c r="BD17" s="176">
        <f t="shared" si="1"/>
        <v>0</v>
      </c>
      <c r="BE17" s="251">
        <f t="shared" ref="BE17:BE77" si="3">X17/$BE$7</f>
        <v>0</v>
      </c>
      <c r="BF17" s="252">
        <f t="shared" ref="BF17:BF49" si="4">SUM(Y17:AF17)</f>
        <v>0</v>
      </c>
      <c r="BH17" s="259">
        <f>SUBTOTAL(9,BH18:BH19)</f>
        <v>113097.858655</v>
      </c>
      <c r="BI17" s="259">
        <f>SUBTOTAL(9,BI18:BI19)</f>
        <v>366244.83999999997</v>
      </c>
      <c r="BJ17" s="259">
        <f>SUBTOTAL(9,BJ18:BJ19)</f>
        <v>24950.400000000001</v>
      </c>
      <c r="BK17" s="267">
        <f>SUBTOTAL(9,BK18:BK19)</f>
        <v>0</v>
      </c>
      <c r="BL17" s="268">
        <f>SUBTOTAL(9,BL18:BL19)</f>
        <v>0</v>
      </c>
      <c r="BM17" s="264">
        <f t="shared" ref="BM17:BM77" si="5">SUM(BH17:BL17)</f>
        <v>504293.09865499998</v>
      </c>
      <c r="BO17" s="732" t="str">
        <f t="shared" ref="BO17:BO77" si="6">IF(BF17=0,"",BM17*1000/BF17)</f>
        <v/>
      </c>
    </row>
    <row r="18" spans="2:67" ht="15" customHeight="1" x14ac:dyDescent="0.25">
      <c r="B18" s="156">
        <v>1</v>
      </c>
      <c r="C18" s="180" t="s">
        <v>44</v>
      </c>
      <c r="D18" s="181" t="s">
        <v>44</v>
      </c>
      <c r="E18" s="182" t="s">
        <v>669</v>
      </c>
      <c r="G18" s="473">
        <f>SUM('DUoS (t)'!G18,'TUoS (t)'!G18,'JSO (t)'!G18)</f>
        <v>0.46579999999999999</v>
      </c>
      <c r="H18" s="474">
        <f>SUM('DUoS (t)'!H18,'TUoS (t)'!H18,'JSO (t)'!H18)</f>
        <v>0.13779999999999998</v>
      </c>
      <c r="I18" s="469">
        <f>SUM('DUoS (t)'!I18,'TUoS (t)'!I18,'JSO (t)'!I18)</f>
        <v>0</v>
      </c>
      <c r="J18" s="469">
        <f>SUM('DUoS (t)'!J18,'TUoS (t)'!J18,'JSO (t)'!J18)</f>
        <v>0</v>
      </c>
      <c r="K18" s="470">
        <f>SUM('DUoS (t)'!K18,'TUoS (t)'!K18,'JSO (t)'!K18)</f>
        <v>0</v>
      </c>
      <c r="L18" s="471">
        <f>SUM('DUoS (t)'!L18,'TUoS (t)'!L18,'JSO (t)'!L18)</f>
        <v>0</v>
      </c>
      <c r="M18" s="422">
        <f>SUM('DUoS (t)'!M18,'TUoS (t)'!M18,'JSO (t)'!M18)</f>
        <v>0</v>
      </c>
      <c r="N18" s="422">
        <f>SUM('DUoS (t)'!N18,'TUoS (t)'!N18,'JSO (t)'!N18)</f>
        <v>0</v>
      </c>
      <c r="O18" s="423">
        <f>SUM('DUoS (t)'!O18,'TUoS (t)'!O18,'JSO (t)'!O18)</f>
        <v>0</v>
      </c>
      <c r="P18" s="468">
        <f>SUM('DUoS (t)'!P18,'TUoS (t)'!P18,'JSO (t)'!P18)</f>
        <v>0</v>
      </c>
      <c r="Q18" s="469">
        <f>SUM('DUoS (t)'!Q18,'TUoS (t)'!Q18,'JSO (t)'!Q18)</f>
        <v>0</v>
      </c>
      <c r="R18" s="470">
        <f>SUM('DUoS (t)'!R18,'TUoS (t)'!R18,'JSO (t)'!R18)</f>
        <v>0</v>
      </c>
      <c r="S18" s="468">
        <f>SUM('DUoS (t)'!S18,'TUoS (t)'!S18,'JSO (t)'!S18)</f>
        <v>0</v>
      </c>
      <c r="T18" s="469">
        <f>SUM('DUoS (t)'!T18,'TUoS (t)'!T18,'JSO (t)'!T18)</f>
        <v>0</v>
      </c>
      <c r="U18" s="468">
        <f>SUM('DUoS (t)'!U18,'TUoS (t)'!U18,'JSO (t)'!U18)</f>
        <v>0</v>
      </c>
      <c r="V18" s="470">
        <f>SUM('DUoS (t)'!V18,'TUoS (t)'!V18,'JSO (t)'!V18)</f>
        <v>0</v>
      </c>
      <c r="X18" s="183">
        <f>'Q (t)'!G18</f>
        <v>242803475</v>
      </c>
      <c r="Y18" s="184">
        <f>'Q (t)'!H18</f>
        <v>2657800</v>
      </c>
      <c r="Z18" s="176">
        <f>'Q (t)'!I18</f>
        <v>0</v>
      </c>
      <c r="AA18" s="176">
        <f>'Q (t)'!J18</f>
        <v>0</v>
      </c>
      <c r="AB18" s="177">
        <f>'Q (t)'!K18</f>
        <v>0</v>
      </c>
      <c r="AC18" s="178">
        <f>'Q (t)'!L18</f>
        <v>0</v>
      </c>
      <c r="AD18" s="185">
        <f>'Q (t)'!M18</f>
        <v>0</v>
      </c>
      <c r="AE18" s="185">
        <f>'Q (t)'!N18</f>
        <v>0</v>
      </c>
      <c r="AF18" s="186">
        <f>'Q (t)'!O18</f>
        <v>0</v>
      </c>
      <c r="AG18" s="175">
        <f>'Q (t)'!P18</f>
        <v>0</v>
      </c>
      <c r="AH18" s="176">
        <f>'Q (t)'!Q18</f>
        <v>0</v>
      </c>
      <c r="AI18" s="177">
        <f>'Q (t)'!R18</f>
        <v>0</v>
      </c>
      <c r="AJ18" s="175">
        <f>'Q (t)'!S18</f>
        <v>0</v>
      </c>
      <c r="AK18" s="176">
        <f>'Q (t)'!T18</f>
        <v>0</v>
      </c>
      <c r="AL18" s="175">
        <f>'Q (t)'!U18</f>
        <v>0</v>
      </c>
      <c r="AM18" s="177">
        <f>'Q (t)'!V18</f>
        <v>0</v>
      </c>
      <c r="AO18" s="183">
        <f t="shared" si="2"/>
        <v>113097.858655</v>
      </c>
      <c r="AP18" s="184">
        <f t="shared" si="0"/>
        <v>366244.83999999997</v>
      </c>
      <c r="AQ18" s="176">
        <f t="shared" si="0"/>
        <v>0</v>
      </c>
      <c r="AR18" s="176">
        <f t="shared" si="0"/>
        <v>0</v>
      </c>
      <c r="AS18" s="177">
        <f t="shared" si="0"/>
        <v>0</v>
      </c>
      <c r="AT18" s="178">
        <f t="shared" si="0"/>
        <v>0</v>
      </c>
      <c r="AU18" s="185">
        <f t="shared" si="0"/>
        <v>0</v>
      </c>
      <c r="AV18" s="185">
        <f t="shared" si="0"/>
        <v>0</v>
      </c>
      <c r="AW18" s="186">
        <f t="shared" si="0"/>
        <v>0</v>
      </c>
      <c r="AX18" s="175">
        <f t="shared" si="1"/>
        <v>0</v>
      </c>
      <c r="AY18" s="176">
        <f t="shared" si="1"/>
        <v>0</v>
      </c>
      <c r="AZ18" s="177">
        <f t="shared" si="1"/>
        <v>0</v>
      </c>
      <c r="BA18" s="175">
        <f t="shared" si="1"/>
        <v>0</v>
      </c>
      <c r="BB18" s="176">
        <f t="shared" si="1"/>
        <v>0</v>
      </c>
      <c r="BC18" s="175">
        <f t="shared" si="1"/>
        <v>0</v>
      </c>
      <c r="BD18" s="176">
        <f t="shared" si="1"/>
        <v>0</v>
      </c>
      <c r="BE18" s="251">
        <f t="shared" si="3"/>
        <v>665215</v>
      </c>
      <c r="BF18" s="252">
        <f t="shared" si="4"/>
        <v>2657800</v>
      </c>
      <c r="BH18" s="262">
        <f>SUM(AO18)</f>
        <v>113097.858655</v>
      </c>
      <c r="BI18" s="262">
        <f>SUM(AP18:AS18)</f>
        <v>366244.83999999997</v>
      </c>
      <c r="BJ18" s="262">
        <f>SUM(AT18:AW18)</f>
        <v>0</v>
      </c>
      <c r="BK18" s="263">
        <f>SUM(AX18:BB18)</f>
        <v>0</v>
      </c>
      <c r="BL18" s="269">
        <f>SUM(BC18:BD18)</f>
        <v>0</v>
      </c>
      <c r="BM18" s="264">
        <f t="shared" si="5"/>
        <v>479342.69865499996</v>
      </c>
      <c r="BO18" s="732">
        <f t="shared" si="6"/>
        <v>180.35318634020618</v>
      </c>
    </row>
    <row r="19" spans="2:67" ht="15" customHeight="1" x14ac:dyDescent="0.25">
      <c r="B19" s="156">
        <f>B18+1</f>
        <v>2</v>
      </c>
      <c r="C19" s="180" t="s">
        <v>671</v>
      </c>
      <c r="D19" s="181" t="s">
        <v>671</v>
      </c>
      <c r="E19" s="182" t="s">
        <v>47</v>
      </c>
      <c r="G19" s="473">
        <f>SUM('DUoS (t)'!G19,'TUoS (t)'!G19,'JSO (t)'!G19)</f>
        <v>0.46579999999999999</v>
      </c>
      <c r="H19" s="474">
        <f>SUM('DUoS (t)'!H19,'TUoS (t)'!H19,'JSO (t)'!H19)</f>
        <v>0.13779999999999998</v>
      </c>
      <c r="I19" s="469">
        <f>SUM('DUoS (t)'!I19,'TUoS (t)'!I19,'JSO (t)'!I19)</f>
        <v>0</v>
      </c>
      <c r="J19" s="469">
        <f>SUM('DUoS (t)'!J19,'TUoS (t)'!J19,'JSO (t)'!J19)</f>
        <v>0</v>
      </c>
      <c r="K19" s="470">
        <f>SUM('DUoS (t)'!K19,'TUoS (t)'!K19,'JSO (t)'!K19)</f>
        <v>0</v>
      </c>
      <c r="L19" s="475">
        <f>SUM('DUoS (t)'!L19,'TUoS (t)'!L19,'JSO (t)'!L19)</f>
        <v>6.9000000000000006E-2</v>
      </c>
      <c r="M19" s="422">
        <f>SUM('DUoS (t)'!M19,'TUoS (t)'!M19,'JSO (t)'!M19)</f>
        <v>0</v>
      </c>
      <c r="N19" s="422">
        <f>SUM('DUoS (t)'!N19,'TUoS (t)'!N19,'JSO (t)'!N19)</f>
        <v>0</v>
      </c>
      <c r="O19" s="423">
        <f>SUM('DUoS (t)'!O19,'TUoS (t)'!O19,'JSO (t)'!O19)</f>
        <v>0</v>
      </c>
      <c r="P19" s="468">
        <f>SUM('DUoS (t)'!P19,'TUoS (t)'!P19,'JSO (t)'!P19)</f>
        <v>0</v>
      </c>
      <c r="Q19" s="469">
        <f>SUM('DUoS (t)'!Q19,'TUoS (t)'!Q19,'JSO (t)'!Q19)</f>
        <v>0</v>
      </c>
      <c r="R19" s="470">
        <f>SUM('DUoS (t)'!R19,'TUoS (t)'!R19,'JSO (t)'!R19)</f>
        <v>0</v>
      </c>
      <c r="S19" s="468">
        <f>SUM('DUoS (t)'!S19,'TUoS (t)'!S19,'JSO (t)'!S19)</f>
        <v>0</v>
      </c>
      <c r="T19" s="469">
        <f>SUM('DUoS (t)'!T19,'TUoS (t)'!T19,'JSO (t)'!T19)</f>
        <v>0</v>
      </c>
      <c r="U19" s="468">
        <f>SUM('DUoS (t)'!U19,'TUoS (t)'!U19,'JSO (t)'!U19)</f>
        <v>0</v>
      </c>
      <c r="V19" s="470">
        <f>SUM('DUoS (t)'!V19,'TUoS (t)'!V19,'JSO (t)'!V19)</f>
        <v>0</v>
      </c>
      <c r="X19" s="183">
        <f>'Q (t)'!G19</f>
        <v>0</v>
      </c>
      <c r="Y19" s="184">
        <f>'Q (t)'!H19</f>
        <v>0</v>
      </c>
      <c r="Z19" s="176">
        <f>'Q (t)'!I19</f>
        <v>0</v>
      </c>
      <c r="AA19" s="176">
        <f>'Q (t)'!J19</f>
        <v>0</v>
      </c>
      <c r="AB19" s="177">
        <f>'Q (t)'!K19</f>
        <v>0</v>
      </c>
      <c r="AC19" s="178">
        <f>'Q (t)'!L19</f>
        <v>361600</v>
      </c>
      <c r="AD19" s="185">
        <f>'Q (t)'!M19</f>
        <v>0</v>
      </c>
      <c r="AE19" s="185">
        <f>'Q (t)'!N19</f>
        <v>0</v>
      </c>
      <c r="AF19" s="186">
        <f>'Q (t)'!O19</f>
        <v>0</v>
      </c>
      <c r="AG19" s="175">
        <f>'Q (t)'!P19</f>
        <v>0</v>
      </c>
      <c r="AH19" s="176">
        <f>'Q (t)'!Q19</f>
        <v>0</v>
      </c>
      <c r="AI19" s="177">
        <f>'Q (t)'!R19</f>
        <v>0</v>
      </c>
      <c r="AJ19" s="175">
        <f>'Q (t)'!S19</f>
        <v>0</v>
      </c>
      <c r="AK19" s="176">
        <f>'Q (t)'!T19</f>
        <v>0</v>
      </c>
      <c r="AL19" s="175">
        <f>'Q (t)'!U19</f>
        <v>0</v>
      </c>
      <c r="AM19" s="177">
        <f>'Q (t)'!V19</f>
        <v>0</v>
      </c>
      <c r="AO19" s="183">
        <f t="shared" si="2"/>
        <v>0</v>
      </c>
      <c r="AP19" s="184">
        <f t="shared" si="0"/>
        <v>0</v>
      </c>
      <c r="AQ19" s="176">
        <f t="shared" si="0"/>
        <v>0</v>
      </c>
      <c r="AR19" s="176">
        <f t="shared" si="0"/>
        <v>0</v>
      </c>
      <c r="AS19" s="177">
        <f t="shared" si="0"/>
        <v>0</v>
      </c>
      <c r="AT19" s="178">
        <f t="shared" si="0"/>
        <v>24950.400000000001</v>
      </c>
      <c r="AU19" s="185">
        <f t="shared" si="0"/>
        <v>0</v>
      </c>
      <c r="AV19" s="185">
        <f t="shared" si="0"/>
        <v>0</v>
      </c>
      <c r="AW19" s="186">
        <f t="shared" si="0"/>
        <v>0</v>
      </c>
      <c r="AX19" s="175">
        <f t="shared" si="1"/>
        <v>0</v>
      </c>
      <c r="AY19" s="176">
        <f t="shared" si="1"/>
        <v>0</v>
      </c>
      <c r="AZ19" s="177">
        <f t="shared" si="1"/>
        <v>0</v>
      </c>
      <c r="BA19" s="175">
        <f t="shared" si="1"/>
        <v>0</v>
      </c>
      <c r="BB19" s="176">
        <f t="shared" si="1"/>
        <v>0</v>
      </c>
      <c r="BC19" s="175">
        <f t="shared" si="1"/>
        <v>0</v>
      </c>
      <c r="BD19" s="176">
        <f t="shared" si="1"/>
        <v>0</v>
      </c>
      <c r="BE19" s="251">
        <f t="shared" si="3"/>
        <v>0</v>
      </c>
      <c r="BF19" s="252">
        <f t="shared" si="4"/>
        <v>361600</v>
      </c>
      <c r="BH19" s="262">
        <f>SUM(AO19)</f>
        <v>0</v>
      </c>
      <c r="BI19" s="262">
        <f>SUM(AP19:AS19)</f>
        <v>0</v>
      </c>
      <c r="BJ19" s="262">
        <f>SUM(AT19:AW19)</f>
        <v>24950.400000000001</v>
      </c>
      <c r="BK19" s="263">
        <f>SUM(AX19:BB19)</f>
        <v>0</v>
      </c>
      <c r="BL19" s="269">
        <f>SUM(BC19:BD19)</f>
        <v>0</v>
      </c>
      <c r="BM19" s="264">
        <f t="shared" si="5"/>
        <v>24950.400000000001</v>
      </c>
      <c r="BO19" s="732">
        <f t="shared" si="6"/>
        <v>69</v>
      </c>
    </row>
    <row r="20" spans="2:67" ht="15" customHeight="1" x14ac:dyDescent="0.25">
      <c r="B20" s="172"/>
      <c r="C20" s="126" t="s">
        <v>48</v>
      </c>
      <c r="D20" s="173"/>
      <c r="E20" s="145"/>
      <c r="G20" s="467">
        <f>SUM('DUoS (t)'!G20,'TUoS (t)'!G20,'JSO (t)'!G20)</f>
        <v>0</v>
      </c>
      <c r="H20" s="468">
        <f>SUM('DUoS (t)'!H20,'TUoS (t)'!H20,'JSO (t)'!H20)</f>
        <v>0</v>
      </c>
      <c r="I20" s="469">
        <f>SUM('DUoS (t)'!I20,'TUoS (t)'!I20,'JSO (t)'!I20)</f>
        <v>0</v>
      </c>
      <c r="J20" s="469">
        <f>SUM('DUoS (t)'!J20,'TUoS (t)'!J20,'JSO (t)'!J20)</f>
        <v>0</v>
      </c>
      <c r="K20" s="470">
        <f>SUM('DUoS (t)'!K20,'TUoS (t)'!K20,'JSO (t)'!K20)</f>
        <v>0</v>
      </c>
      <c r="L20" s="469">
        <f>SUM('DUoS (t)'!L20,'TUoS (t)'!L20,'JSO (t)'!L20)</f>
        <v>0</v>
      </c>
      <c r="M20" s="469">
        <f>SUM('DUoS (t)'!M20,'TUoS (t)'!M20,'JSO (t)'!M20)</f>
        <v>0</v>
      </c>
      <c r="N20" s="469">
        <f>SUM('DUoS (t)'!N20,'TUoS (t)'!N20,'JSO (t)'!N20)</f>
        <v>0</v>
      </c>
      <c r="O20" s="470">
        <f>SUM('DUoS (t)'!O20,'TUoS (t)'!O20,'JSO (t)'!O20)</f>
        <v>0</v>
      </c>
      <c r="P20" s="468">
        <f>SUM('DUoS (t)'!P20,'TUoS (t)'!P20,'JSO (t)'!P20)</f>
        <v>0</v>
      </c>
      <c r="Q20" s="469">
        <f>SUM('DUoS (t)'!Q20,'TUoS (t)'!Q20,'JSO (t)'!Q20)</f>
        <v>0</v>
      </c>
      <c r="R20" s="470">
        <f>SUM('DUoS (t)'!R20,'TUoS (t)'!R20,'JSO (t)'!R20)</f>
        <v>0</v>
      </c>
      <c r="S20" s="468">
        <f>SUM('DUoS (t)'!S20,'TUoS (t)'!S20,'JSO (t)'!S20)</f>
        <v>0</v>
      </c>
      <c r="T20" s="469">
        <f>SUM('DUoS (t)'!T20,'TUoS (t)'!T20,'JSO (t)'!T20)</f>
        <v>0</v>
      </c>
      <c r="U20" s="468">
        <f>SUM('DUoS (t)'!U20,'TUoS (t)'!U20,'JSO (t)'!U20)</f>
        <v>0</v>
      </c>
      <c r="V20" s="470">
        <f>SUM('DUoS (t)'!V20,'TUoS (t)'!V20,'JSO (t)'!V20)</f>
        <v>0</v>
      </c>
      <c r="X20" s="174">
        <f>'Q (t)'!G20</f>
        <v>0</v>
      </c>
      <c r="Y20" s="175">
        <f>'Q (t)'!H20</f>
        <v>0</v>
      </c>
      <c r="Z20" s="176">
        <f>'Q (t)'!I20</f>
        <v>0</v>
      </c>
      <c r="AA20" s="176">
        <f>'Q (t)'!J20</f>
        <v>0</v>
      </c>
      <c r="AB20" s="177">
        <f>'Q (t)'!K20</f>
        <v>0</v>
      </c>
      <c r="AC20" s="176">
        <f>'Q (t)'!L20</f>
        <v>0</v>
      </c>
      <c r="AD20" s="176">
        <f>'Q (t)'!M20</f>
        <v>0</v>
      </c>
      <c r="AE20" s="176">
        <f>'Q (t)'!N20</f>
        <v>0</v>
      </c>
      <c r="AF20" s="177">
        <f>'Q (t)'!O20</f>
        <v>0</v>
      </c>
      <c r="AG20" s="175">
        <f>'Q (t)'!P20</f>
        <v>0</v>
      </c>
      <c r="AH20" s="176">
        <f>'Q (t)'!Q20</f>
        <v>0</v>
      </c>
      <c r="AI20" s="177">
        <f>'Q (t)'!R20</f>
        <v>0</v>
      </c>
      <c r="AJ20" s="175">
        <f>'Q (t)'!S20</f>
        <v>0</v>
      </c>
      <c r="AK20" s="176">
        <f>'Q (t)'!T20</f>
        <v>0</v>
      </c>
      <c r="AL20" s="175">
        <f>'Q (t)'!U20</f>
        <v>0</v>
      </c>
      <c r="AM20" s="177">
        <f>'Q (t)'!V20</f>
        <v>0</v>
      </c>
      <c r="AO20" s="174">
        <f t="shared" si="2"/>
        <v>0</v>
      </c>
      <c r="AP20" s="175">
        <f t="shared" si="0"/>
        <v>0</v>
      </c>
      <c r="AQ20" s="176">
        <f t="shared" si="0"/>
        <v>0</v>
      </c>
      <c r="AR20" s="176">
        <f t="shared" si="0"/>
        <v>0</v>
      </c>
      <c r="AS20" s="177">
        <f t="shared" si="0"/>
        <v>0</v>
      </c>
      <c r="AT20" s="176">
        <f t="shared" si="0"/>
        <v>0</v>
      </c>
      <c r="AU20" s="176">
        <f t="shared" si="0"/>
        <v>0</v>
      </c>
      <c r="AV20" s="176">
        <f t="shared" si="0"/>
        <v>0</v>
      </c>
      <c r="AW20" s="177">
        <f t="shared" si="0"/>
        <v>0</v>
      </c>
      <c r="AX20" s="175">
        <f t="shared" si="1"/>
        <v>0</v>
      </c>
      <c r="AY20" s="176">
        <f t="shared" si="1"/>
        <v>0</v>
      </c>
      <c r="AZ20" s="177">
        <f t="shared" si="1"/>
        <v>0</v>
      </c>
      <c r="BA20" s="175">
        <f t="shared" si="1"/>
        <v>0</v>
      </c>
      <c r="BB20" s="176">
        <f t="shared" si="1"/>
        <v>0</v>
      </c>
      <c r="BC20" s="175">
        <f t="shared" si="1"/>
        <v>0</v>
      </c>
      <c r="BD20" s="176">
        <f t="shared" si="1"/>
        <v>0</v>
      </c>
      <c r="BE20" s="251">
        <f t="shared" si="3"/>
        <v>0</v>
      </c>
      <c r="BF20" s="252">
        <f t="shared" si="4"/>
        <v>0</v>
      </c>
      <c r="BH20" s="259">
        <f>SUBTOTAL(9,BH21:BH25)</f>
        <v>22645.754348999999</v>
      </c>
      <c r="BI20" s="259">
        <f t="shared" ref="BI20:BL20" si="7">SUBTOTAL(9,BI21:BI25)</f>
        <v>69303</v>
      </c>
      <c r="BJ20" s="259">
        <f t="shared" si="7"/>
        <v>6793.0500000000011</v>
      </c>
      <c r="BK20" s="259">
        <f t="shared" si="7"/>
        <v>0</v>
      </c>
      <c r="BL20" s="259">
        <f t="shared" si="7"/>
        <v>1342.2072000000001</v>
      </c>
      <c r="BM20" s="264">
        <f t="shared" si="5"/>
        <v>100084.011549</v>
      </c>
      <c r="BO20" s="732" t="str">
        <f t="shared" si="6"/>
        <v/>
      </c>
    </row>
    <row r="21" spans="2:67" ht="15" customHeight="1" x14ac:dyDescent="0.25">
      <c r="B21" s="156">
        <f>B19+1</f>
        <v>3</v>
      </c>
      <c r="C21" s="180" t="s">
        <v>46</v>
      </c>
      <c r="D21" s="181" t="s">
        <v>46</v>
      </c>
      <c r="E21" s="182" t="s">
        <v>670</v>
      </c>
      <c r="G21" s="473">
        <f>SUM('DUoS (t)'!G21,'TUoS (t)'!G21,'JSO (t)'!G21)</f>
        <v>0.46579999999999999</v>
      </c>
      <c r="H21" s="777">
        <f>SUM('DUoS (t)'!H21,'TUoS (t)'!H21,'JSO (t)'!H21)</f>
        <v>0.13779999999999998</v>
      </c>
      <c r="I21" s="469">
        <f>SUM('DUoS (t)'!I21,'TUoS (t)'!I21,'JSO (t)'!I21)</f>
        <v>0</v>
      </c>
      <c r="J21" s="469">
        <f>SUM('DUoS (t)'!J21,'TUoS (t)'!J21,'JSO (t)'!J21)</f>
        <v>0</v>
      </c>
      <c r="K21" s="470">
        <f>SUM('DUoS (t)'!K21,'TUoS (t)'!K21,'JSO (t)'!K21)</f>
        <v>0</v>
      </c>
      <c r="L21" s="422">
        <f>SUM('DUoS (t)'!L21,'TUoS (t)'!L21,'JSO (t)'!L21)</f>
        <v>0</v>
      </c>
      <c r="M21" s="778">
        <f>SUM('DUoS (t)'!M21,'TUoS (t)'!M21,'JSO (t)'!M21)</f>
        <v>0.17230000000000001</v>
      </c>
      <c r="N21" s="778">
        <f>SUM('DUoS (t)'!N21,'TUoS (t)'!N21,'JSO (t)'!N21)</f>
        <v>6.9000000000000006E-2</v>
      </c>
      <c r="O21" s="779">
        <f>SUM('DUoS (t)'!O21,'TUoS (t)'!O21,'JSO (t)'!O21)</f>
        <v>3.4500000000000003E-2</v>
      </c>
      <c r="P21" s="468">
        <f>SUM('DUoS (t)'!P21,'TUoS (t)'!P21,'JSO (t)'!P21)</f>
        <v>0</v>
      </c>
      <c r="Q21" s="469">
        <f>SUM('DUoS (t)'!Q21,'TUoS (t)'!Q21,'JSO (t)'!Q21)</f>
        <v>0</v>
      </c>
      <c r="R21" s="470">
        <f>SUM('DUoS (t)'!R21,'TUoS (t)'!R21,'JSO (t)'!R21)</f>
        <v>0</v>
      </c>
      <c r="S21" s="468">
        <f>SUM('DUoS (t)'!S21,'TUoS (t)'!S21,'JSO (t)'!S21)</f>
        <v>0</v>
      </c>
      <c r="T21" s="469">
        <f>SUM('DUoS (t)'!T21,'TUoS (t)'!T21,'JSO (t)'!T21)</f>
        <v>0</v>
      </c>
      <c r="U21" s="468">
        <f>SUM('DUoS (t)'!U21,'TUoS (t)'!U21,'JSO (t)'!U21)</f>
        <v>0</v>
      </c>
      <c r="V21" s="470">
        <f>SUM('DUoS (t)'!V21,'TUoS (t)'!V21,'JSO (t)'!V21)</f>
        <v>0</v>
      </c>
      <c r="X21" s="183">
        <f>'Q (t)'!G21</f>
        <v>0</v>
      </c>
      <c r="Y21" s="175">
        <f>'Q (t)'!H21</f>
        <v>0</v>
      </c>
      <c r="Z21" s="178">
        <f>'Q (t)'!I21</f>
        <v>0</v>
      </c>
      <c r="AA21" s="178">
        <f>'Q (t)'!J21</f>
        <v>0</v>
      </c>
      <c r="AB21" s="179">
        <f>'Q (t)'!K21</f>
        <v>0</v>
      </c>
      <c r="AC21" s="185">
        <f>'Q (t)'!L21</f>
        <v>0</v>
      </c>
      <c r="AD21" s="185">
        <f>'Q (t)'!M21</f>
        <v>0</v>
      </c>
      <c r="AE21" s="185">
        <f>'Q (t)'!N21</f>
        <v>0</v>
      </c>
      <c r="AF21" s="186">
        <f>'Q (t)'!O21</f>
        <v>0</v>
      </c>
      <c r="AG21" s="175">
        <f>'Q (t)'!P21</f>
        <v>0</v>
      </c>
      <c r="AH21" s="176">
        <f>'Q (t)'!Q21</f>
        <v>0</v>
      </c>
      <c r="AI21" s="177">
        <f>'Q (t)'!R21</f>
        <v>0</v>
      </c>
      <c r="AJ21" s="175">
        <f>'Q (t)'!S21</f>
        <v>0</v>
      </c>
      <c r="AK21" s="176">
        <f>'Q (t)'!T21</f>
        <v>0</v>
      </c>
      <c r="AL21" s="175">
        <f>'Q (t)'!U21</f>
        <v>0</v>
      </c>
      <c r="AM21" s="177">
        <f>'Q (t)'!V21</f>
        <v>0</v>
      </c>
      <c r="AO21" s="183">
        <f t="shared" ref="AO21" si="8">G21*X21/1000</f>
        <v>0</v>
      </c>
      <c r="AP21" s="175">
        <f t="shared" ref="AP21" si="9">H21*Y21</f>
        <v>0</v>
      </c>
      <c r="AQ21" s="178">
        <f t="shared" ref="AQ21" si="10">I21*Z21</f>
        <v>0</v>
      </c>
      <c r="AR21" s="178">
        <f t="shared" ref="AR21" si="11">J21*AA21</f>
        <v>0</v>
      </c>
      <c r="AS21" s="179">
        <f t="shared" ref="AS21" si="12">K21*AB21</f>
        <v>0</v>
      </c>
      <c r="AT21" s="185">
        <f t="shared" ref="AT21" si="13">L21*AC21</f>
        <v>0</v>
      </c>
      <c r="AU21" s="185">
        <f t="shared" ref="AU21" si="14">M21*AD21</f>
        <v>0</v>
      </c>
      <c r="AV21" s="185">
        <f t="shared" ref="AV21" si="15">N21*AE21</f>
        <v>0</v>
      </c>
      <c r="AW21" s="186">
        <f t="shared" ref="AW21" si="16">O21*AF21</f>
        <v>0</v>
      </c>
      <c r="AX21" s="175">
        <f t="shared" ref="AX21:BD21" si="17">P21*AG21/1000</f>
        <v>0</v>
      </c>
      <c r="AY21" s="176">
        <f t="shared" si="17"/>
        <v>0</v>
      </c>
      <c r="AZ21" s="177">
        <f t="shared" si="17"/>
        <v>0</v>
      </c>
      <c r="BA21" s="175">
        <f t="shared" si="17"/>
        <v>0</v>
      </c>
      <c r="BB21" s="176">
        <f t="shared" si="17"/>
        <v>0</v>
      </c>
      <c r="BC21" s="175">
        <f t="shared" si="17"/>
        <v>0</v>
      </c>
      <c r="BD21" s="176">
        <f t="shared" si="17"/>
        <v>0</v>
      </c>
      <c r="BE21" s="251">
        <f t="shared" ref="BE21" si="18">X21/$BE$7</f>
        <v>0</v>
      </c>
      <c r="BF21" s="252">
        <f t="shared" ref="BF21" si="19">SUM(Y21:AF21)</f>
        <v>0</v>
      </c>
      <c r="BH21" s="262">
        <f>SUM(AO21)</f>
        <v>0</v>
      </c>
      <c r="BI21" s="262">
        <f>SUM(AP21:AS21)</f>
        <v>0</v>
      </c>
      <c r="BJ21" s="262">
        <f>SUM(AT21:AW21)</f>
        <v>0</v>
      </c>
      <c r="BK21" s="263">
        <f>SUM(AX21:BB21)</f>
        <v>0</v>
      </c>
      <c r="BL21" s="269">
        <f>SUM(BC21:BD21)</f>
        <v>0</v>
      </c>
      <c r="BM21" s="264">
        <f t="shared" ref="BM21" si="20">SUM(BH21:BL21)</f>
        <v>0</v>
      </c>
      <c r="BO21" s="732" t="str">
        <f t="shared" ref="BO21" si="21">IF(BF21=0,"",BM21*1000/BF21)</f>
        <v/>
      </c>
    </row>
    <row r="22" spans="2:67" ht="15" customHeight="1" x14ac:dyDescent="0.25">
      <c r="B22" s="156">
        <f>B21+1</f>
        <v>4</v>
      </c>
      <c r="C22" s="180" t="s">
        <v>49</v>
      </c>
      <c r="D22" s="181" t="s">
        <v>49</v>
      </c>
      <c r="E22" s="182" t="s">
        <v>50</v>
      </c>
      <c r="G22" s="473">
        <f>SUM('DUoS (t)'!G22,'TUoS (t)'!G22,'JSO (t)'!G22)</f>
        <v>0.46579999999999999</v>
      </c>
      <c r="H22" s="468">
        <f>SUM('DUoS (t)'!H22,'TUoS (t)'!H22,'JSO (t)'!H22)</f>
        <v>0</v>
      </c>
      <c r="I22" s="475">
        <f>SUM('DUoS (t)'!I22,'TUoS (t)'!I22,'JSO (t)'!I22)</f>
        <v>0.17230000000000001</v>
      </c>
      <c r="J22" s="475">
        <f>SUM('DUoS (t)'!J22,'TUoS (t)'!J22,'JSO (t)'!J22)</f>
        <v>6.9000000000000006E-2</v>
      </c>
      <c r="K22" s="476">
        <f>SUM('DUoS (t)'!K22,'TUoS (t)'!K22,'JSO (t)'!K22)</f>
        <v>3.4500000000000003E-2</v>
      </c>
      <c r="L22" s="422">
        <f>SUM('DUoS (t)'!L22,'TUoS (t)'!L22,'JSO (t)'!L22)</f>
        <v>0</v>
      </c>
      <c r="M22" s="422">
        <f>SUM('DUoS (t)'!M22,'TUoS (t)'!M22,'JSO (t)'!M22)</f>
        <v>0</v>
      </c>
      <c r="N22" s="422">
        <f>SUM('DUoS (t)'!N22,'TUoS (t)'!N22,'JSO (t)'!N22)</f>
        <v>0</v>
      </c>
      <c r="O22" s="423">
        <f>SUM('DUoS (t)'!O22,'TUoS (t)'!O22,'JSO (t)'!O22)</f>
        <v>0</v>
      </c>
      <c r="P22" s="468">
        <f>SUM('DUoS (t)'!P22,'TUoS (t)'!P22,'JSO (t)'!P22)</f>
        <v>0</v>
      </c>
      <c r="Q22" s="469">
        <f>SUM('DUoS (t)'!Q22,'TUoS (t)'!Q22,'JSO (t)'!Q22)</f>
        <v>0</v>
      </c>
      <c r="R22" s="470">
        <f>SUM('DUoS (t)'!R22,'TUoS (t)'!R22,'JSO (t)'!R22)</f>
        <v>0</v>
      </c>
      <c r="S22" s="468">
        <f>SUM('DUoS (t)'!S22,'TUoS (t)'!S22,'JSO (t)'!S22)</f>
        <v>0</v>
      </c>
      <c r="T22" s="469">
        <f>SUM('DUoS (t)'!T22,'TUoS (t)'!T22,'JSO (t)'!T22)</f>
        <v>0</v>
      </c>
      <c r="U22" s="468">
        <f>SUM('DUoS (t)'!U22,'TUoS (t)'!U22,'JSO (t)'!U22)</f>
        <v>0</v>
      </c>
      <c r="V22" s="470">
        <f>SUM('DUoS (t)'!V22,'TUoS (t)'!V22,'JSO (t)'!V22)</f>
        <v>0</v>
      </c>
      <c r="X22" s="183">
        <f>'Q (t)'!G22</f>
        <v>47156905</v>
      </c>
      <c r="Y22" s="175">
        <f>'Q (t)'!H22</f>
        <v>0</v>
      </c>
      <c r="Z22" s="178">
        <f>'Q (t)'!I22</f>
        <v>352600</v>
      </c>
      <c r="AA22" s="178">
        <f>'Q (t)'!J22</f>
        <v>67700</v>
      </c>
      <c r="AB22" s="179">
        <f>'Q (t)'!K22</f>
        <v>104400</v>
      </c>
      <c r="AC22" s="185">
        <f>'Q (t)'!L22</f>
        <v>0</v>
      </c>
      <c r="AD22" s="185">
        <f>'Q (t)'!M22</f>
        <v>0</v>
      </c>
      <c r="AE22" s="185">
        <f>'Q (t)'!N22</f>
        <v>0</v>
      </c>
      <c r="AF22" s="186">
        <f>'Q (t)'!O22</f>
        <v>0</v>
      </c>
      <c r="AG22" s="175">
        <f>'Q (t)'!P22</f>
        <v>0</v>
      </c>
      <c r="AH22" s="176">
        <f>'Q (t)'!Q22</f>
        <v>0</v>
      </c>
      <c r="AI22" s="177">
        <f>'Q (t)'!R22</f>
        <v>0</v>
      </c>
      <c r="AJ22" s="175">
        <f>'Q (t)'!S22</f>
        <v>0</v>
      </c>
      <c r="AK22" s="176">
        <f>'Q (t)'!T22</f>
        <v>0</v>
      </c>
      <c r="AL22" s="175">
        <f>'Q (t)'!U22</f>
        <v>0</v>
      </c>
      <c r="AM22" s="177">
        <f>'Q (t)'!V22</f>
        <v>0</v>
      </c>
      <c r="AO22" s="183">
        <f t="shared" si="2"/>
        <v>21965.686349</v>
      </c>
      <c r="AP22" s="175">
        <f t="shared" si="0"/>
        <v>0</v>
      </c>
      <c r="AQ22" s="178">
        <f t="shared" si="0"/>
        <v>60752.98</v>
      </c>
      <c r="AR22" s="178">
        <f t="shared" si="0"/>
        <v>4671.3</v>
      </c>
      <c r="AS22" s="179">
        <f t="shared" si="0"/>
        <v>3601.8</v>
      </c>
      <c r="AT22" s="185">
        <f t="shared" si="0"/>
        <v>0</v>
      </c>
      <c r="AU22" s="185">
        <f t="shared" si="0"/>
        <v>0</v>
      </c>
      <c r="AV22" s="185">
        <f t="shared" si="0"/>
        <v>0</v>
      </c>
      <c r="AW22" s="186">
        <f t="shared" si="0"/>
        <v>0</v>
      </c>
      <c r="AX22" s="175">
        <f t="shared" si="1"/>
        <v>0</v>
      </c>
      <c r="AY22" s="176">
        <f t="shared" si="1"/>
        <v>0</v>
      </c>
      <c r="AZ22" s="177">
        <f t="shared" si="1"/>
        <v>0</v>
      </c>
      <c r="BA22" s="175">
        <f t="shared" si="1"/>
        <v>0</v>
      </c>
      <c r="BB22" s="176">
        <f t="shared" si="1"/>
        <v>0</v>
      </c>
      <c r="BC22" s="175">
        <f t="shared" si="1"/>
        <v>0</v>
      </c>
      <c r="BD22" s="176">
        <f t="shared" si="1"/>
        <v>0</v>
      </c>
      <c r="BE22" s="251">
        <f t="shared" si="3"/>
        <v>129197</v>
      </c>
      <c r="BF22" s="252">
        <f t="shared" si="4"/>
        <v>524700</v>
      </c>
      <c r="BH22" s="262">
        <f>SUM(AO22)</f>
        <v>21965.686349</v>
      </c>
      <c r="BI22" s="262">
        <f>SUM(AP22:AS22)</f>
        <v>69026.080000000002</v>
      </c>
      <c r="BJ22" s="262">
        <f>SUM(AT22:AW22)</f>
        <v>0</v>
      </c>
      <c r="BK22" s="263">
        <f>SUM(AX22:BB22)</f>
        <v>0</v>
      </c>
      <c r="BL22" s="269">
        <f>SUM(BC22:BD22)</f>
        <v>0</v>
      </c>
      <c r="BM22" s="264">
        <f t="shared" si="5"/>
        <v>90991.766348999998</v>
      </c>
      <c r="BO22" s="732">
        <f t="shared" si="6"/>
        <v>173.41674547169811</v>
      </c>
    </row>
    <row r="23" spans="2:67" ht="15" customHeight="1" x14ac:dyDescent="0.25">
      <c r="B23" s="156">
        <f t="shared" ref="B23:B25" si="22">B22+1</f>
        <v>5</v>
      </c>
      <c r="C23" s="180" t="s">
        <v>51</v>
      </c>
      <c r="D23" s="181" t="s">
        <v>51</v>
      </c>
      <c r="E23" s="182" t="s">
        <v>52</v>
      </c>
      <c r="G23" s="473">
        <f>SUM('DUoS (t)'!G23,'TUoS (t)'!G23,'JSO (t)'!G23)</f>
        <v>0.46579999999999999</v>
      </c>
      <c r="H23" s="468">
        <f>SUM('DUoS (t)'!H23,'TUoS (t)'!H23,'JSO (t)'!H23)</f>
        <v>0</v>
      </c>
      <c r="I23" s="475">
        <f>SUM('DUoS (t)'!I23,'TUoS (t)'!I23,'JSO (t)'!I23)</f>
        <v>0.17230000000000001</v>
      </c>
      <c r="J23" s="475">
        <f>SUM('DUoS (t)'!J23,'TUoS (t)'!J23,'JSO (t)'!J23)</f>
        <v>6.9000000000000006E-2</v>
      </c>
      <c r="K23" s="476">
        <f>SUM('DUoS (t)'!K23,'TUoS (t)'!K23,'JSO (t)'!K23)</f>
        <v>3.4500000000000003E-2</v>
      </c>
      <c r="L23" s="422">
        <f>SUM('DUoS (t)'!L23,'TUoS (t)'!L23,'JSO (t)'!L23)</f>
        <v>0</v>
      </c>
      <c r="M23" s="475">
        <f>SUM('DUoS (t)'!M23,'TUoS (t)'!M23,'JSO (t)'!M23)</f>
        <v>0.17230000000000001</v>
      </c>
      <c r="N23" s="475">
        <f>SUM('DUoS (t)'!N23,'TUoS (t)'!N23,'JSO (t)'!N23)</f>
        <v>6.9000000000000006E-2</v>
      </c>
      <c r="O23" s="475">
        <f>SUM('DUoS (t)'!O23,'TUoS (t)'!O23,'JSO (t)'!O23)</f>
        <v>3.4500000000000003E-2</v>
      </c>
      <c r="P23" s="468">
        <f>SUM('DUoS (t)'!P23,'TUoS (t)'!P23,'JSO (t)'!P23)</f>
        <v>0</v>
      </c>
      <c r="Q23" s="469">
        <f>SUM('DUoS (t)'!Q23,'TUoS (t)'!Q23,'JSO (t)'!Q23)</f>
        <v>0</v>
      </c>
      <c r="R23" s="470">
        <f>SUM('DUoS (t)'!R23,'TUoS (t)'!R23,'JSO (t)'!R23)</f>
        <v>0</v>
      </c>
      <c r="S23" s="468">
        <f>SUM('DUoS (t)'!S23,'TUoS (t)'!S23,'JSO (t)'!S23)</f>
        <v>0</v>
      </c>
      <c r="T23" s="469">
        <f>SUM('DUoS (t)'!T23,'TUoS (t)'!T23,'JSO (t)'!T23)</f>
        <v>0</v>
      </c>
      <c r="U23" s="468">
        <f>SUM('DUoS (t)'!U23,'TUoS (t)'!U23,'JSO (t)'!U23)</f>
        <v>0</v>
      </c>
      <c r="V23" s="470">
        <f>SUM('DUoS (t)'!V23,'TUoS (t)'!V23,'JSO (t)'!V23)</f>
        <v>0</v>
      </c>
      <c r="X23" s="183">
        <f>'Q (t)'!G23</f>
        <v>0</v>
      </c>
      <c r="Y23" s="175">
        <f>'Q (t)'!H23</f>
        <v>0</v>
      </c>
      <c r="Z23" s="178">
        <f>'Q (t)'!I23</f>
        <v>0</v>
      </c>
      <c r="AA23" s="178">
        <f>'Q (t)'!J23</f>
        <v>0</v>
      </c>
      <c r="AB23" s="179">
        <f>'Q (t)'!K23</f>
        <v>0</v>
      </c>
      <c r="AC23" s="185">
        <f>'Q (t)'!L23</f>
        <v>0</v>
      </c>
      <c r="AD23" s="178">
        <f>'Q (t)'!M23</f>
        <v>0</v>
      </c>
      <c r="AE23" s="178">
        <f>'Q (t)'!N23</f>
        <v>87500</v>
      </c>
      <c r="AF23" s="178">
        <f>'Q (t)'!O23</f>
        <v>21900</v>
      </c>
      <c r="AG23" s="175">
        <f>'Q (t)'!P23</f>
        <v>0</v>
      </c>
      <c r="AH23" s="176">
        <f>'Q (t)'!Q23</f>
        <v>0</v>
      </c>
      <c r="AI23" s="177">
        <f>'Q (t)'!R23</f>
        <v>0</v>
      </c>
      <c r="AJ23" s="175">
        <f>'Q (t)'!S23</f>
        <v>0</v>
      </c>
      <c r="AK23" s="176">
        <f>'Q (t)'!T23</f>
        <v>0</v>
      </c>
      <c r="AL23" s="175">
        <f>'Q (t)'!U23</f>
        <v>0</v>
      </c>
      <c r="AM23" s="177">
        <f>'Q (t)'!V23</f>
        <v>0</v>
      </c>
      <c r="AO23" s="183">
        <f t="shared" si="2"/>
        <v>0</v>
      </c>
      <c r="AP23" s="175">
        <f t="shared" si="0"/>
        <v>0</v>
      </c>
      <c r="AQ23" s="178">
        <f t="shared" si="0"/>
        <v>0</v>
      </c>
      <c r="AR23" s="178">
        <f t="shared" si="0"/>
        <v>0</v>
      </c>
      <c r="AS23" s="179">
        <f t="shared" si="0"/>
        <v>0</v>
      </c>
      <c r="AT23" s="185">
        <f t="shared" si="0"/>
        <v>0</v>
      </c>
      <c r="AU23" s="178">
        <f t="shared" si="0"/>
        <v>0</v>
      </c>
      <c r="AV23" s="178">
        <f t="shared" si="0"/>
        <v>6037.5000000000009</v>
      </c>
      <c r="AW23" s="178">
        <f t="shared" si="0"/>
        <v>755.55000000000007</v>
      </c>
      <c r="AX23" s="175">
        <f t="shared" si="1"/>
        <v>0</v>
      </c>
      <c r="AY23" s="176">
        <f t="shared" si="1"/>
        <v>0</v>
      </c>
      <c r="AZ23" s="177">
        <f t="shared" si="1"/>
        <v>0</v>
      </c>
      <c r="BA23" s="175">
        <f t="shared" si="1"/>
        <v>0</v>
      </c>
      <c r="BB23" s="176">
        <f t="shared" si="1"/>
        <v>0</v>
      </c>
      <c r="BC23" s="175">
        <f t="shared" si="1"/>
        <v>0</v>
      </c>
      <c r="BD23" s="176">
        <f t="shared" si="1"/>
        <v>0</v>
      </c>
      <c r="BE23" s="251">
        <f t="shared" si="3"/>
        <v>0</v>
      </c>
      <c r="BF23" s="252">
        <f t="shared" si="4"/>
        <v>109400</v>
      </c>
      <c r="BH23" s="262">
        <f>SUM(AO23)</f>
        <v>0</v>
      </c>
      <c r="BI23" s="262">
        <f>SUM(AP23:AS23)</f>
        <v>0</v>
      </c>
      <c r="BJ23" s="262">
        <f>SUM(AT23:AW23)</f>
        <v>6793.0500000000011</v>
      </c>
      <c r="BK23" s="263">
        <f>SUM(AX23:BB23)</f>
        <v>0</v>
      </c>
      <c r="BL23" s="269">
        <f>SUM(BC23:BD23)</f>
        <v>0</v>
      </c>
      <c r="BM23" s="264">
        <f t="shared" si="5"/>
        <v>6793.0500000000011</v>
      </c>
      <c r="BO23" s="732">
        <f t="shared" si="6"/>
        <v>62.093692870201103</v>
      </c>
    </row>
    <row r="24" spans="2:67" ht="15" customHeight="1" x14ac:dyDescent="0.25">
      <c r="B24" s="156">
        <f t="shared" si="22"/>
        <v>6</v>
      </c>
      <c r="C24" s="180" t="s">
        <v>53</v>
      </c>
      <c r="D24" s="181" t="s">
        <v>53</v>
      </c>
      <c r="E24" s="182" t="s">
        <v>54</v>
      </c>
      <c r="G24" s="473">
        <f>SUM('DUoS (t)'!G24,'TUoS (t)'!G24,'JSO (t)'!G24)</f>
        <v>0.46579999999999999</v>
      </c>
      <c r="H24" s="468">
        <f>SUM('DUoS (t)'!H24,'TUoS (t)'!H24,'JSO (t)'!H24)</f>
        <v>0</v>
      </c>
      <c r="I24" s="475">
        <f>SUM('DUoS (t)'!I24,'TUoS (t)'!I24,'JSO (t)'!I24)</f>
        <v>0.10329999999999999</v>
      </c>
      <c r="J24" s="475">
        <f>SUM('DUoS (t)'!J24,'TUoS (t)'!J24,'JSO (t)'!J24)</f>
        <v>4.1400000000000006E-2</v>
      </c>
      <c r="K24" s="476">
        <f>SUM('DUoS (t)'!K24,'TUoS (t)'!K24,'JSO (t)'!K24)</f>
        <v>2.06E-2</v>
      </c>
      <c r="L24" s="422">
        <f>SUM('DUoS (t)'!L24,'TUoS (t)'!L24,'JSO (t)'!L24)</f>
        <v>0</v>
      </c>
      <c r="M24" s="422">
        <f>SUM('DUoS (t)'!M24,'TUoS (t)'!M24,'JSO (t)'!M24)</f>
        <v>0</v>
      </c>
      <c r="N24" s="422">
        <f>SUM('DUoS (t)'!N24,'TUoS (t)'!N24,'JSO (t)'!N24)</f>
        <v>0</v>
      </c>
      <c r="O24" s="423">
        <f>SUM('DUoS (t)'!O24,'TUoS (t)'!O24,'JSO (t)'!O24)</f>
        <v>0</v>
      </c>
      <c r="P24" s="468">
        <f>SUM('DUoS (t)'!P24,'TUoS (t)'!P24,'JSO (t)'!P24)</f>
        <v>0</v>
      </c>
      <c r="Q24" s="469">
        <f>SUM('DUoS (t)'!Q24,'TUoS (t)'!Q24,'JSO (t)'!Q24)</f>
        <v>0</v>
      </c>
      <c r="R24" s="470">
        <f>SUM('DUoS (t)'!R24,'TUoS (t)'!R24,'JSO (t)'!R24)</f>
        <v>0</v>
      </c>
      <c r="S24" s="468">
        <f>SUM('DUoS (t)'!S24,'TUoS (t)'!S24,'JSO (t)'!S24)</f>
        <v>0</v>
      </c>
      <c r="T24" s="469">
        <f>SUM('DUoS (t)'!T24,'TUoS (t)'!T24,'JSO (t)'!T24)</f>
        <v>0</v>
      </c>
      <c r="U24" s="474">
        <f>SUM('DUoS (t)'!U24,'TUoS (t)'!U24,'JSO (t)'!U24)</f>
        <v>0.7661</v>
      </c>
      <c r="V24" s="470">
        <f>SUM('DUoS (t)'!V24,'TUoS (t)'!V24,'JSO (t)'!V24)</f>
        <v>0</v>
      </c>
      <c r="X24" s="183">
        <f>'Q (t)'!G24</f>
        <v>1460000</v>
      </c>
      <c r="Y24" s="175">
        <f>'Q (t)'!H24</f>
        <v>0</v>
      </c>
      <c r="Z24" s="178">
        <f>'Q (t)'!I24</f>
        <v>1800</v>
      </c>
      <c r="AA24" s="178">
        <f>'Q (t)'!J24</f>
        <v>1700</v>
      </c>
      <c r="AB24" s="179">
        <f>'Q (t)'!K24</f>
        <v>1000</v>
      </c>
      <c r="AC24" s="185">
        <f>'Q (t)'!L24</f>
        <v>0</v>
      </c>
      <c r="AD24" s="185">
        <f>'Q (t)'!M24</f>
        <v>0</v>
      </c>
      <c r="AE24" s="185">
        <f>'Q (t)'!N24</f>
        <v>0</v>
      </c>
      <c r="AF24" s="186">
        <f>'Q (t)'!O24</f>
        <v>0</v>
      </c>
      <c r="AG24" s="175">
        <f>'Q (t)'!P24</f>
        <v>0</v>
      </c>
      <c r="AH24" s="176">
        <f>'Q (t)'!Q24</f>
        <v>0</v>
      </c>
      <c r="AI24" s="177">
        <f>'Q (t)'!R24</f>
        <v>0</v>
      </c>
      <c r="AJ24" s="175">
        <f>'Q (t)'!S24</f>
        <v>0</v>
      </c>
      <c r="AK24" s="176">
        <f>'Q (t)'!T24</f>
        <v>0</v>
      </c>
      <c r="AL24" s="184">
        <f>'Q (t)'!U24</f>
        <v>1752000</v>
      </c>
      <c r="AM24" s="177">
        <f>'Q (t)'!V24</f>
        <v>0</v>
      </c>
      <c r="AO24" s="183">
        <f t="shared" si="2"/>
        <v>680.06799999999998</v>
      </c>
      <c r="AP24" s="175">
        <f t="shared" si="0"/>
        <v>0</v>
      </c>
      <c r="AQ24" s="178">
        <f t="shared" si="0"/>
        <v>185.93999999999997</v>
      </c>
      <c r="AR24" s="178">
        <f t="shared" si="0"/>
        <v>70.38000000000001</v>
      </c>
      <c r="AS24" s="179">
        <f t="shared" si="0"/>
        <v>20.6</v>
      </c>
      <c r="AT24" s="185">
        <f t="shared" si="0"/>
        <v>0</v>
      </c>
      <c r="AU24" s="185">
        <f t="shared" si="0"/>
        <v>0</v>
      </c>
      <c r="AV24" s="185">
        <f t="shared" si="0"/>
        <v>0</v>
      </c>
      <c r="AW24" s="186">
        <f t="shared" si="0"/>
        <v>0</v>
      </c>
      <c r="AX24" s="175">
        <f t="shared" si="1"/>
        <v>0</v>
      </c>
      <c r="AY24" s="176">
        <f t="shared" si="1"/>
        <v>0</v>
      </c>
      <c r="AZ24" s="177">
        <f t="shared" si="1"/>
        <v>0</v>
      </c>
      <c r="BA24" s="175">
        <f t="shared" si="1"/>
        <v>0</v>
      </c>
      <c r="BB24" s="176">
        <f t="shared" si="1"/>
        <v>0</v>
      </c>
      <c r="BC24" s="184">
        <f t="shared" si="1"/>
        <v>1342.2072000000001</v>
      </c>
      <c r="BD24" s="176">
        <f t="shared" si="1"/>
        <v>0</v>
      </c>
      <c r="BE24" s="251">
        <f t="shared" si="3"/>
        <v>4000</v>
      </c>
      <c r="BF24" s="252">
        <f t="shared" si="4"/>
        <v>4500</v>
      </c>
      <c r="BH24" s="262">
        <f>SUM(AO24)</f>
        <v>680.06799999999998</v>
      </c>
      <c r="BI24" s="262">
        <f>SUM(AP24:AS24)</f>
        <v>276.92</v>
      </c>
      <c r="BJ24" s="262">
        <f>SUM(AT24:AW24)</f>
        <v>0</v>
      </c>
      <c r="BK24" s="263">
        <f>SUM(AX24:BB24)</f>
        <v>0</v>
      </c>
      <c r="BL24" s="269">
        <f>SUM(BC24:BD24)</f>
        <v>1342.2072000000001</v>
      </c>
      <c r="BM24" s="264">
        <f t="shared" si="5"/>
        <v>2299.1952000000001</v>
      </c>
      <c r="BO24" s="732">
        <f t="shared" si="6"/>
        <v>510.93226666666669</v>
      </c>
    </row>
    <row r="25" spans="2:67" ht="15" customHeight="1" x14ac:dyDescent="0.25">
      <c r="B25" s="162">
        <f t="shared" si="22"/>
        <v>7</v>
      </c>
      <c r="C25" s="187" t="s">
        <v>55</v>
      </c>
      <c r="D25" s="188" t="s">
        <v>55</v>
      </c>
      <c r="E25" s="189" t="s">
        <v>56</v>
      </c>
      <c r="G25" s="477">
        <f>SUM('DUoS (t)'!G25,'TUoS (t)'!G25,'JSO (t)'!G25)</f>
        <v>0.46579999999999999</v>
      </c>
      <c r="H25" s="478">
        <f>SUM('DUoS (t)'!H25,'TUoS (t)'!H25,'JSO (t)'!H25)</f>
        <v>0</v>
      </c>
      <c r="I25" s="479">
        <f>SUM('DUoS (t)'!I25,'TUoS (t)'!I25,'JSO (t)'!I25)</f>
        <v>0.10329999999999999</v>
      </c>
      <c r="J25" s="479">
        <f>SUM('DUoS (t)'!J25,'TUoS (t)'!J25,'JSO (t)'!J25)</f>
        <v>4.1400000000000006E-2</v>
      </c>
      <c r="K25" s="480">
        <f>SUM('DUoS (t)'!K25,'TUoS (t)'!K25,'JSO (t)'!K25)</f>
        <v>2.06E-2</v>
      </c>
      <c r="L25" s="424">
        <f>SUM('DUoS (t)'!L25,'TUoS (t)'!L25,'JSO (t)'!L25)</f>
        <v>0</v>
      </c>
      <c r="M25" s="479">
        <f>SUM('DUoS (t)'!M25,'TUoS (t)'!M25,'JSO (t)'!M25)</f>
        <v>0.17230000000000001</v>
      </c>
      <c r="N25" s="479">
        <f>SUM('DUoS (t)'!N25,'TUoS (t)'!N25,'JSO (t)'!N25)</f>
        <v>6.9000000000000006E-2</v>
      </c>
      <c r="O25" s="479">
        <f>SUM('DUoS (t)'!O25,'TUoS (t)'!O25,'JSO (t)'!O25)</f>
        <v>3.4500000000000003E-2</v>
      </c>
      <c r="P25" s="478">
        <f>SUM('DUoS (t)'!P25,'TUoS (t)'!P25,'JSO (t)'!P25)</f>
        <v>0</v>
      </c>
      <c r="Q25" s="481">
        <f>SUM('DUoS (t)'!Q25,'TUoS (t)'!Q25,'JSO (t)'!Q25)</f>
        <v>0</v>
      </c>
      <c r="R25" s="482">
        <f>SUM('DUoS (t)'!R25,'TUoS (t)'!R25,'JSO (t)'!R25)</f>
        <v>0</v>
      </c>
      <c r="S25" s="478">
        <f>SUM('DUoS (t)'!S25,'TUoS (t)'!S25,'JSO (t)'!S25)</f>
        <v>0</v>
      </c>
      <c r="T25" s="481">
        <f>SUM('DUoS (t)'!T25,'TUoS (t)'!T25,'JSO (t)'!T25)</f>
        <v>0</v>
      </c>
      <c r="U25" s="483">
        <f>SUM('DUoS (t)'!U25,'TUoS (t)'!U25,'JSO (t)'!U25)</f>
        <v>0.7661</v>
      </c>
      <c r="V25" s="482">
        <f>SUM('DUoS (t)'!V25,'TUoS (t)'!V25,'JSO (t)'!V25)</f>
        <v>0</v>
      </c>
      <c r="X25" s="190">
        <f>'Q (t)'!G25</f>
        <v>0</v>
      </c>
      <c r="Y25" s="191">
        <f>'Q (t)'!H25</f>
        <v>0</v>
      </c>
      <c r="Z25" s="192">
        <f>'Q (t)'!I25</f>
        <v>0</v>
      </c>
      <c r="AA25" s="192">
        <f>'Q (t)'!J25</f>
        <v>0</v>
      </c>
      <c r="AB25" s="193">
        <f>'Q (t)'!K25</f>
        <v>0</v>
      </c>
      <c r="AC25" s="194">
        <f>'Q (t)'!L25</f>
        <v>0</v>
      </c>
      <c r="AD25" s="192">
        <f>'Q (t)'!M25</f>
        <v>0</v>
      </c>
      <c r="AE25" s="192">
        <f>'Q (t)'!N25</f>
        <v>0</v>
      </c>
      <c r="AF25" s="192">
        <f>'Q (t)'!O25</f>
        <v>0</v>
      </c>
      <c r="AG25" s="191">
        <f>'Q (t)'!P25</f>
        <v>0</v>
      </c>
      <c r="AH25" s="195">
        <f>'Q (t)'!Q25</f>
        <v>0</v>
      </c>
      <c r="AI25" s="196">
        <f>'Q (t)'!R25</f>
        <v>0</v>
      </c>
      <c r="AJ25" s="191">
        <f>'Q (t)'!S25</f>
        <v>0</v>
      </c>
      <c r="AK25" s="195">
        <f>'Q (t)'!T25</f>
        <v>0</v>
      </c>
      <c r="AL25" s="197">
        <f>'Q (t)'!U25</f>
        <v>0</v>
      </c>
      <c r="AM25" s="196">
        <f>'Q (t)'!V25</f>
        <v>0</v>
      </c>
      <c r="AO25" s="190">
        <f t="shared" si="2"/>
        <v>0</v>
      </c>
      <c r="AP25" s="191">
        <f t="shared" si="0"/>
        <v>0</v>
      </c>
      <c r="AQ25" s="192">
        <f t="shared" si="0"/>
        <v>0</v>
      </c>
      <c r="AR25" s="192">
        <f t="shared" si="0"/>
        <v>0</v>
      </c>
      <c r="AS25" s="193">
        <f t="shared" si="0"/>
        <v>0</v>
      </c>
      <c r="AT25" s="194">
        <f t="shared" si="0"/>
        <v>0</v>
      </c>
      <c r="AU25" s="192">
        <f t="shared" si="0"/>
        <v>0</v>
      </c>
      <c r="AV25" s="192">
        <f t="shared" si="0"/>
        <v>0</v>
      </c>
      <c r="AW25" s="192">
        <f t="shared" si="0"/>
        <v>0</v>
      </c>
      <c r="AX25" s="191">
        <f t="shared" si="1"/>
        <v>0</v>
      </c>
      <c r="AY25" s="195">
        <f t="shared" si="1"/>
        <v>0</v>
      </c>
      <c r="AZ25" s="196">
        <f t="shared" si="1"/>
        <v>0</v>
      </c>
      <c r="BA25" s="191">
        <f t="shared" si="1"/>
        <v>0</v>
      </c>
      <c r="BB25" s="195">
        <f t="shared" si="1"/>
        <v>0</v>
      </c>
      <c r="BC25" s="197">
        <f t="shared" si="1"/>
        <v>0</v>
      </c>
      <c r="BD25" s="195">
        <f t="shared" si="1"/>
        <v>0</v>
      </c>
      <c r="BE25" s="253">
        <f t="shared" si="3"/>
        <v>0</v>
      </c>
      <c r="BF25" s="254">
        <f t="shared" si="4"/>
        <v>0</v>
      </c>
      <c r="BH25" s="262">
        <f>SUM(AO25)</f>
        <v>0</v>
      </c>
      <c r="BI25" s="262">
        <f>SUM(AP25:AS25)</f>
        <v>0</v>
      </c>
      <c r="BJ25" s="262">
        <f>SUM(AT25:AW25)</f>
        <v>0</v>
      </c>
      <c r="BK25" s="263">
        <f>SUM(AX25:BB25)</f>
        <v>0</v>
      </c>
      <c r="BL25" s="269">
        <f>SUM(BC25:BD25)</f>
        <v>0</v>
      </c>
      <c r="BM25" s="264">
        <f t="shared" si="5"/>
        <v>0</v>
      </c>
      <c r="BO25" s="732" t="str">
        <f t="shared" si="6"/>
        <v/>
      </c>
    </row>
    <row r="26" spans="2:67" ht="15" customHeight="1" x14ac:dyDescent="0.25">
      <c r="B26" s="167" t="s">
        <v>57</v>
      </c>
      <c r="C26" s="151" t="s">
        <v>58</v>
      </c>
      <c r="D26" s="151"/>
      <c r="E26" s="148"/>
      <c r="G26" s="463">
        <f>SUM('DUoS (t)'!G26,'TUoS (t)'!G26,'JSO (t)'!G26)</f>
        <v>0</v>
      </c>
      <c r="H26" s="464">
        <f>SUM('DUoS (t)'!H26,'TUoS (t)'!H26,'JSO (t)'!H26)</f>
        <v>0</v>
      </c>
      <c r="I26" s="465">
        <f>SUM('DUoS (t)'!I26,'TUoS (t)'!I26,'JSO (t)'!I26)</f>
        <v>0</v>
      </c>
      <c r="J26" s="465">
        <f>SUM('DUoS (t)'!J26,'TUoS (t)'!J26,'JSO (t)'!J26)</f>
        <v>0</v>
      </c>
      <c r="K26" s="466">
        <f>SUM('DUoS (t)'!K26,'TUoS (t)'!K26,'JSO (t)'!K26)</f>
        <v>0</v>
      </c>
      <c r="L26" s="484">
        <f>SUM('DUoS (t)'!L26,'TUoS (t)'!L26,'JSO (t)'!L26)</f>
        <v>0</v>
      </c>
      <c r="M26" s="484">
        <f>SUM('DUoS (t)'!M26,'TUoS (t)'!M26,'JSO (t)'!M26)</f>
        <v>0</v>
      </c>
      <c r="N26" s="484">
        <f>SUM('DUoS (t)'!N26,'TUoS (t)'!N26,'JSO (t)'!N26)</f>
        <v>0</v>
      </c>
      <c r="O26" s="485">
        <f>SUM('DUoS (t)'!O26,'TUoS (t)'!O26,'JSO (t)'!O26)</f>
        <v>0</v>
      </c>
      <c r="P26" s="465">
        <f>SUM('DUoS (t)'!P26,'TUoS (t)'!P26,'JSO (t)'!P26)</f>
        <v>0</v>
      </c>
      <c r="Q26" s="465">
        <f>SUM('DUoS (t)'!Q26,'TUoS (t)'!Q26,'JSO (t)'!Q26)</f>
        <v>0</v>
      </c>
      <c r="R26" s="466">
        <f>SUM('DUoS (t)'!R26,'TUoS (t)'!R26,'JSO (t)'!R26)</f>
        <v>0</v>
      </c>
      <c r="S26" s="464">
        <f>SUM('DUoS (t)'!S26,'TUoS (t)'!S26,'JSO (t)'!S26)</f>
        <v>0</v>
      </c>
      <c r="T26" s="465">
        <f>SUM('DUoS (t)'!T26,'TUoS (t)'!T26,'JSO (t)'!T26)</f>
        <v>0</v>
      </c>
      <c r="U26" s="464">
        <f>SUM('DUoS (t)'!U26,'TUoS (t)'!U26,'JSO (t)'!U26)</f>
        <v>0</v>
      </c>
      <c r="V26" s="466">
        <f>SUM('DUoS (t)'!V26,'TUoS (t)'!V26,'JSO (t)'!V26)</f>
        <v>0</v>
      </c>
      <c r="X26" s="168">
        <f>'Q (t)'!G26</f>
        <v>0</v>
      </c>
      <c r="Y26" s="169">
        <f>'Q (t)'!H26</f>
        <v>0</v>
      </c>
      <c r="Z26" s="170">
        <f>'Q (t)'!I26</f>
        <v>0</v>
      </c>
      <c r="AA26" s="170">
        <f>'Q (t)'!J26</f>
        <v>0</v>
      </c>
      <c r="AB26" s="171">
        <f>'Q (t)'!K26</f>
        <v>0</v>
      </c>
      <c r="AC26" s="198">
        <f>'Q (t)'!L26</f>
        <v>0</v>
      </c>
      <c r="AD26" s="198">
        <f>'Q (t)'!M26</f>
        <v>0</v>
      </c>
      <c r="AE26" s="198">
        <f>'Q (t)'!N26</f>
        <v>0</v>
      </c>
      <c r="AF26" s="199">
        <f>'Q (t)'!O26</f>
        <v>0</v>
      </c>
      <c r="AG26" s="170">
        <f>'Q (t)'!P26</f>
        <v>0</v>
      </c>
      <c r="AH26" s="170">
        <f>'Q (t)'!Q26</f>
        <v>0</v>
      </c>
      <c r="AI26" s="171">
        <f>'Q (t)'!R26</f>
        <v>0</v>
      </c>
      <c r="AJ26" s="169">
        <f>'Q (t)'!S26</f>
        <v>0</v>
      </c>
      <c r="AK26" s="170">
        <f>'Q (t)'!T26</f>
        <v>0</v>
      </c>
      <c r="AL26" s="169">
        <f>'Q (t)'!U26</f>
        <v>0</v>
      </c>
      <c r="AM26" s="171">
        <f>'Q (t)'!V26</f>
        <v>0</v>
      </c>
      <c r="AO26" s="168">
        <f t="shared" si="2"/>
        <v>0</v>
      </c>
      <c r="AP26" s="169">
        <f t="shared" si="0"/>
        <v>0</v>
      </c>
      <c r="AQ26" s="170">
        <f t="shared" si="0"/>
        <v>0</v>
      </c>
      <c r="AR26" s="170">
        <f t="shared" si="0"/>
        <v>0</v>
      </c>
      <c r="AS26" s="171">
        <f t="shared" si="0"/>
        <v>0</v>
      </c>
      <c r="AT26" s="198">
        <f t="shared" si="0"/>
        <v>0</v>
      </c>
      <c r="AU26" s="198">
        <f t="shared" si="0"/>
        <v>0</v>
      </c>
      <c r="AV26" s="198">
        <f t="shared" si="0"/>
        <v>0</v>
      </c>
      <c r="AW26" s="199">
        <f t="shared" si="0"/>
        <v>0</v>
      </c>
      <c r="AX26" s="170">
        <f t="shared" si="1"/>
        <v>0</v>
      </c>
      <c r="AY26" s="170">
        <f t="shared" si="1"/>
        <v>0</v>
      </c>
      <c r="AZ26" s="171">
        <f t="shared" si="1"/>
        <v>0</v>
      </c>
      <c r="BA26" s="169">
        <f t="shared" si="1"/>
        <v>0</v>
      </c>
      <c r="BB26" s="170">
        <f t="shared" si="1"/>
        <v>0</v>
      </c>
      <c r="BC26" s="169">
        <f t="shared" si="1"/>
        <v>0</v>
      </c>
      <c r="BD26" s="170">
        <f t="shared" si="1"/>
        <v>0</v>
      </c>
      <c r="BE26" s="249">
        <f t="shared" si="3"/>
        <v>0</v>
      </c>
      <c r="BF26" s="250">
        <f t="shared" si="4"/>
        <v>0</v>
      </c>
      <c r="BH26" s="260">
        <f>SUBTOTAL(9,BH27:BH39)</f>
        <v>18105.849382</v>
      </c>
      <c r="BI26" s="260">
        <f t="shared" ref="BI26:BL26" si="23">SUBTOTAL(9,BI27:BI39)</f>
        <v>174213.8</v>
      </c>
      <c r="BJ26" s="260">
        <f t="shared" si="23"/>
        <v>429</v>
      </c>
      <c r="BK26" s="260">
        <f t="shared" si="23"/>
        <v>3753.3792824000002</v>
      </c>
      <c r="BL26" s="260">
        <f t="shared" si="23"/>
        <v>0</v>
      </c>
      <c r="BM26" s="264">
        <f t="shared" si="5"/>
        <v>196502.02866439999</v>
      </c>
      <c r="BO26" s="732" t="str">
        <f t="shared" si="6"/>
        <v/>
      </c>
    </row>
    <row r="27" spans="2:67" ht="15" customHeight="1" x14ac:dyDescent="0.25">
      <c r="B27" s="172"/>
      <c r="C27" s="126" t="s">
        <v>59</v>
      </c>
      <c r="D27" s="173"/>
      <c r="E27" s="145"/>
      <c r="G27" s="467">
        <f>SUM('DUoS (t)'!G27,'TUoS (t)'!G27,'JSO (t)'!G27)</f>
        <v>0</v>
      </c>
      <c r="H27" s="468">
        <f>SUM('DUoS (t)'!H27,'TUoS (t)'!H27,'JSO (t)'!H27)</f>
        <v>0</v>
      </c>
      <c r="I27" s="469">
        <f>SUM('DUoS (t)'!I27,'TUoS (t)'!I27,'JSO (t)'!I27)</f>
        <v>0</v>
      </c>
      <c r="J27" s="469">
        <f>SUM('DUoS (t)'!J27,'TUoS (t)'!J27,'JSO (t)'!J27)</f>
        <v>0</v>
      </c>
      <c r="K27" s="470">
        <f>SUM('DUoS (t)'!K27,'TUoS (t)'!K27,'JSO (t)'!K27)</f>
        <v>0</v>
      </c>
      <c r="L27" s="486">
        <f>SUM('DUoS (t)'!L27,'TUoS (t)'!L27,'JSO (t)'!L27)</f>
        <v>0</v>
      </c>
      <c r="M27" s="486">
        <f>SUM('DUoS (t)'!M27,'TUoS (t)'!M27,'JSO (t)'!M27)</f>
        <v>0</v>
      </c>
      <c r="N27" s="486">
        <f>SUM('DUoS (t)'!N27,'TUoS (t)'!N27,'JSO (t)'!N27)</f>
        <v>0</v>
      </c>
      <c r="O27" s="487">
        <f>SUM('DUoS (t)'!O27,'TUoS (t)'!O27,'JSO (t)'!O27)</f>
        <v>0</v>
      </c>
      <c r="P27" s="469">
        <f>SUM('DUoS (t)'!P27,'TUoS (t)'!P27,'JSO (t)'!P27)</f>
        <v>0</v>
      </c>
      <c r="Q27" s="469">
        <f>SUM('DUoS (t)'!Q27,'TUoS (t)'!Q27,'JSO (t)'!Q27)</f>
        <v>0</v>
      </c>
      <c r="R27" s="470">
        <f>SUM('DUoS (t)'!R27,'TUoS (t)'!R27,'JSO (t)'!R27)</f>
        <v>0</v>
      </c>
      <c r="S27" s="468">
        <f>SUM('DUoS (t)'!S27,'TUoS (t)'!S27,'JSO (t)'!S27)</f>
        <v>0</v>
      </c>
      <c r="T27" s="469">
        <f>SUM('DUoS (t)'!T27,'TUoS (t)'!T27,'JSO (t)'!T27)</f>
        <v>0</v>
      </c>
      <c r="U27" s="468">
        <f>SUM('DUoS (t)'!U27,'TUoS (t)'!U27,'JSO (t)'!U27)</f>
        <v>0</v>
      </c>
      <c r="V27" s="470">
        <f>SUM('DUoS (t)'!V27,'TUoS (t)'!V27,'JSO (t)'!V27)</f>
        <v>0</v>
      </c>
      <c r="X27" s="174">
        <f>'Q (t)'!G27</f>
        <v>0</v>
      </c>
      <c r="Y27" s="175">
        <f>'Q (t)'!H27</f>
        <v>0</v>
      </c>
      <c r="Z27" s="176">
        <f>'Q (t)'!I27</f>
        <v>0</v>
      </c>
      <c r="AA27" s="176">
        <f>'Q (t)'!J27</f>
        <v>0</v>
      </c>
      <c r="AB27" s="177">
        <f>'Q (t)'!K27</f>
        <v>0</v>
      </c>
      <c r="AC27" s="185">
        <f>'Q (t)'!L27</f>
        <v>0</v>
      </c>
      <c r="AD27" s="185">
        <f>'Q (t)'!M27</f>
        <v>0</v>
      </c>
      <c r="AE27" s="185">
        <f>'Q (t)'!N27</f>
        <v>0</v>
      </c>
      <c r="AF27" s="186">
        <f>'Q (t)'!O27</f>
        <v>0</v>
      </c>
      <c r="AG27" s="176">
        <f>'Q (t)'!P27</f>
        <v>0</v>
      </c>
      <c r="AH27" s="176">
        <f>'Q (t)'!Q27</f>
        <v>0</v>
      </c>
      <c r="AI27" s="177">
        <f>'Q (t)'!R27</f>
        <v>0</v>
      </c>
      <c r="AJ27" s="175">
        <f>'Q (t)'!S27</f>
        <v>0</v>
      </c>
      <c r="AK27" s="176">
        <f>'Q (t)'!T27</f>
        <v>0</v>
      </c>
      <c r="AL27" s="175">
        <f>'Q (t)'!U27</f>
        <v>0</v>
      </c>
      <c r="AM27" s="177">
        <f>'Q (t)'!V27</f>
        <v>0</v>
      </c>
      <c r="AO27" s="174">
        <f t="shared" si="2"/>
        <v>0</v>
      </c>
      <c r="AP27" s="175">
        <f t="shared" si="0"/>
        <v>0</v>
      </c>
      <c r="AQ27" s="176">
        <f t="shared" si="0"/>
        <v>0</v>
      </c>
      <c r="AR27" s="176">
        <f t="shared" si="0"/>
        <v>0</v>
      </c>
      <c r="AS27" s="177">
        <f t="shared" si="0"/>
        <v>0</v>
      </c>
      <c r="AT27" s="185">
        <f t="shared" si="0"/>
        <v>0</v>
      </c>
      <c r="AU27" s="185">
        <f t="shared" si="0"/>
        <v>0</v>
      </c>
      <c r="AV27" s="185">
        <f t="shared" si="0"/>
        <v>0</v>
      </c>
      <c r="AW27" s="186">
        <f t="shared" si="0"/>
        <v>0</v>
      </c>
      <c r="AX27" s="176">
        <f t="shared" si="1"/>
        <v>0</v>
      </c>
      <c r="AY27" s="176">
        <f t="shared" si="1"/>
        <v>0</v>
      </c>
      <c r="AZ27" s="177">
        <f t="shared" si="1"/>
        <v>0</v>
      </c>
      <c r="BA27" s="175">
        <f t="shared" si="1"/>
        <v>0</v>
      </c>
      <c r="BB27" s="176">
        <f t="shared" si="1"/>
        <v>0</v>
      </c>
      <c r="BC27" s="175">
        <f t="shared" si="1"/>
        <v>0</v>
      </c>
      <c r="BD27" s="176">
        <f t="shared" si="1"/>
        <v>0</v>
      </c>
      <c r="BE27" s="251">
        <f t="shared" si="3"/>
        <v>0</v>
      </c>
      <c r="BF27" s="252">
        <f t="shared" si="4"/>
        <v>0</v>
      </c>
      <c r="BH27" s="259">
        <f>SUBTOTAL(9,BH28:BH29)</f>
        <v>0</v>
      </c>
      <c r="BI27" s="259">
        <f t="shared" ref="BI27:BL27" si="24">SUBTOTAL(9,BI28:BI29)</f>
        <v>10824</v>
      </c>
      <c r="BJ27" s="259">
        <f t="shared" si="24"/>
        <v>0</v>
      </c>
      <c r="BK27" s="267">
        <f t="shared" si="24"/>
        <v>0</v>
      </c>
      <c r="BL27" s="268">
        <f t="shared" si="24"/>
        <v>0</v>
      </c>
      <c r="BM27" s="264">
        <f t="shared" si="5"/>
        <v>10824</v>
      </c>
      <c r="BO27" s="732" t="str">
        <f t="shared" si="6"/>
        <v/>
      </c>
    </row>
    <row r="28" spans="2:67" ht="15" customHeight="1" x14ac:dyDescent="0.25">
      <c r="B28" s="156">
        <v>1</v>
      </c>
      <c r="C28" s="180" t="s">
        <v>60</v>
      </c>
      <c r="D28" s="181" t="str">
        <f t="shared" ref="D28:D29" si="25">C28</f>
        <v>LVUU</v>
      </c>
      <c r="E28" s="200" t="s">
        <v>61</v>
      </c>
      <c r="G28" s="488">
        <f>SUM('DUoS (t)'!G28,'TUoS (t)'!G28,'JSO (t)'!G28)</f>
        <v>0</v>
      </c>
      <c r="H28" s="489">
        <f>SUM('DUoS (t)'!H28,'TUoS (t)'!H28,'JSO (t)'!H28)</f>
        <v>9.8400000000000001E-2</v>
      </c>
      <c r="I28" s="471">
        <f>SUM('DUoS (t)'!I28,'TUoS (t)'!I28,'JSO (t)'!I28)</f>
        <v>0</v>
      </c>
      <c r="J28" s="471">
        <f>SUM('DUoS (t)'!J28,'TUoS (t)'!J28,'JSO (t)'!J28)</f>
        <v>0</v>
      </c>
      <c r="K28" s="472">
        <f>SUM('DUoS (t)'!K28,'TUoS (t)'!K28,'JSO (t)'!K28)</f>
        <v>0</v>
      </c>
      <c r="L28" s="471">
        <f>SUM('DUoS (t)'!L28,'TUoS (t)'!L28,'JSO (t)'!L28)</f>
        <v>0</v>
      </c>
      <c r="M28" s="471">
        <f>SUM('DUoS (t)'!M28,'TUoS (t)'!M28,'JSO (t)'!M28)</f>
        <v>0</v>
      </c>
      <c r="N28" s="471">
        <f>SUM('DUoS (t)'!N28,'TUoS (t)'!N28,'JSO (t)'!N28)</f>
        <v>0</v>
      </c>
      <c r="O28" s="472">
        <f>SUM('DUoS (t)'!O28,'TUoS (t)'!O28,'JSO (t)'!O28)</f>
        <v>0</v>
      </c>
      <c r="P28" s="471">
        <f>SUM('DUoS (t)'!P28,'TUoS (t)'!P28,'JSO (t)'!P28)</f>
        <v>0</v>
      </c>
      <c r="Q28" s="471">
        <f>SUM('DUoS (t)'!Q28,'TUoS (t)'!Q28,'JSO (t)'!Q28)</f>
        <v>0</v>
      </c>
      <c r="R28" s="472">
        <f>SUM('DUoS (t)'!R28,'TUoS (t)'!R28,'JSO (t)'!R28)</f>
        <v>0</v>
      </c>
      <c r="S28" s="490">
        <f>SUM('DUoS (t)'!S28,'TUoS (t)'!S28,'JSO (t)'!S28)</f>
        <v>0</v>
      </c>
      <c r="T28" s="471">
        <f>SUM('DUoS (t)'!T28,'TUoS (t)'!T28,'JSO (t)'!T28)</f>
        <v>0</v>
      </c>
      <c r="U28" s="491">
        <f>SUM('DUoS (t)'!U28,'TUoS (t)'!U28,'JSO (t)'!U28)</f>
        <v>0</v>
      </c>
      <c r="V28" s="492">
        <f>SUM('DUoS (t)'!V28,'TUoS (t)'!V28,'JSO (t)'!V28)</f>
        <v>0</v>
      </c>
      <c r="X28" s="183">
        <f>'Q (t)'!G28</f>
        <v>0</v>
      </c>
      <c r="Y28" s="184">
        <f>'Q (t)'!H28</f>
        <v>93000</v>
      </c>
      <c r="Z28" s="178">
        <f>'Q (t)'!I28</f>
        <v>0</v>
      </c>
      <c r="AA28" s="178">
        <f>'Q (t)'!J28</f>
        <v>0</v>
      </c>
      <c r="AB28" s="179">
        <f>'Q (t)'!K28</f>
        <v>0</v>
      </c>
      <c r="AC28" s="178">
        <f>'Q (t)'!L28</f>
        <v>0</v>
      </c>
      <c r="AD28" s="178">
        <f>'Q (t)'!M28</f>
        <v>0</v>
      </c>
      <c r="AE28" s="178">
        <f>'Q (t)'!N28</f>
        <v>0</v>
      </c>
      <c r="AF28" s="179">
        <f>'Q (t)'!O28</f>
        <v>0</v>
      </c>
      <c r="AG28" s="178">
        <f>'Q (t)'!P28</f>
        <v>0</v>
      </c>
      <c r="AH28" s="178">
        <f>'Q (t)'!Q28</f>
        <v>0</v>
      </c>
      <c r="AI28" s="179">
        <f>'Q (t)'!R28</f>
        <v>0</v>
      </c>
      <c r="AJ28" s="184">
        <f>'Q (t)'!S28</f>
        <v>0</v>
      </c>
      <c r="AK28" s="178">
        <f>'Q (t)'!T28</f>
        <v>0</v>
      </c>
      <c r="AL28" s="184">
        <f>'Q (t)'!U28</f>
        <v>0</v>
      </c>
      <c r="AM28" s="179">
        <f>'Q (t)'!V28</f>
        <v>0</v>
      </c>
      <c r="AO28" s="183">
        <f t="shared" si="2"/>
        <v>0</v>
      </c>
      <c r="AP28" s="184">
        <f t="shared" si="0"/>
        <v>9151.2000000000007</v>
      </c>
      <c r="AQ28" s="178">
        <f t="shared" si="0"/>
        <v>0</v>
      </c>
      <c r="AR28" s="178">
        <f t="shared" si="0"/>
        <v>0</v>
      </c>
      <c r="AS28" s="179">
        <f t="shared" si="0"/>
        <v>0</v>
      </c>
      <c r="AT28" s="178">
        <f t="shared" si="0"/>
        <v>0</v>
      </c>
      <c r="AU28" s="178">
        <f t="shared" si="0"/>
        <v>0</v>
      </c>
      <c r="AV28" s="178">
        <f t="shared" si="0"/>
        <v>0</v>
      </c>
      <c r="AW28" s="179">
        <f t="shared" si="0"/>
        <v>0</v>
      </c>
      <c r="AX28" s="178">
        <f t="shared" si="1"/>
        <v>0</v>
      </c>
      <c r="AY28" s="178">
        <f t="shared" si="1"/>
        <v>0</v>
      </c>
      <c r="AZ28" s="179">
        <f t="shared" si="1"/>
        <v>0</v>
      </c>
      <c r="BA28" s="184">
        <f t="shared" si="1"/>
        <v>0</v>
      </c>
      <c r="BB28" s="178">
        <f t="shared" si="1"/>
        <v>0</v>
      </c>
      <c r="BC28" s="184">
        <f t="shared" si="1"/>
        <v>0</v>
      </c>
      <c r="BD28" s="178">
        <f t="shared" si="1"/>
        <v>0</v>
      </c>
      <c r="BE28" s="251">
        <f t="shared" si="3"/>
        <v>0</v>
      </c>
      <c r="BF28" s="252">
        <f t="shared" si="4"/>
        <v>93000</v>
      </c>
      <c r="BH28" s="262">
        <f>SUM(AO28)</f>
        <v>0</v>
      </c>
      <c r="BI28" s="262">
        <f>SUM(AP28:AS28)</f>
        <v>9151.2000000000007</v>
      </c>
      <c r="BJ28" s="262">
        <f>SUM(AT28:AW28)</f>
        <v>0</v>
      </c>
      <c r="BK28" s="263">
        <f>SUM(AX28:BB28)</f>
        <v>0</v>
      </c>
      <c r="BL28" s="269">
        <f>SUM(BC28:BD28)</f>
        <v>0</v>
      </c>
      <c r="BM28" s="264">
        <f t="shared" si="5"/>
        <v>9151.2000000000007</v>
      </c>
      <c r="BO28" s="732">
        <f t="shared" si="6"/>
        <v>98.4</v>
      </c>
    </row>
    <row r="29" spans="2:67" ht="15" customHeight="1" x14ac:dyDescent="0.25">
      <c r="B29" s="156">
        <f t="shared" ref="B29:B86" si="26">B28+1</f>
        <v>2</v>
      </c>
      <c r="C29" s="180" t="s">
        <v>62</v>
      </c>
      <c r="D29" s="181" t="str">
        <f t="shared" si="25"/>
        <v>LVUU24</v>
      </c>
      <c r="E29" s="200" t="s">
        <v>63</v>
      </c>
      <c r="G29" s="488">
        <f>SUM('DUoS (t)'!G29,'TUoS (t)'!G29,'JSO (t)'!G29)</f>
        <v>0</v>
      </c>
      <c r="H29" s="489">
        <f>SUM('DUoS (t)'!H29,'TUoS (t)'!H29,'JSO (t)'!H29)</f>
        <v>9.8400000000000001E-2</v>
      </c>
      <c r="I29" s="471">
        <f>SUM('DUoS (t)'!I29,'TUoS (t)'!I29,'JSO (t)'!I29)</f>
        <v>0</v>
      </c>
      <c r="J29" s="471">
        <f>SUM('DUoS (t)'!J29,'TUoS (t)'!J29,'JSO (t)'!J29)</f>
        <v>0</v>
      </c>
      <c r="K29" s="472">
        <f>SUM('DUoS (t)'!K29,'TUoS (t)'!K29,'JSO (t)'!K29)</f>
        <v>0</v>
      </c>
      <c r="L29" s="471">
        <f>SUM('DUoS (t)'!L29,'TUoS (t)'!L29,'JSO (t)'!L29)</f>
        <v>0</v>
      </c>
      <c r="M29" s="471">
        <f>SUM('DUoS (t)'!M29,'TUoS (t)'!M29,'JSO (t)'!M29)</f>
        <v>0</v>
      </c>
      <c r="N29" s="471">
        <f>SUM('DUoS (t)'!N29,'TUoS (t)'!N29,'JSO (t)'!N29)</f>
        <v>0</v>
      </c>
      <c r="O29" s="472">
        <f>SUM('DUoS (t)'!O29,'TUoS (t)'!O29,'JSO (t)'!O29)</f>
        <v>0</v>
      </c>
      <c r="P29" s="471">
        <f>SUM('DUoS (t)'!P29,'TUoS (t)'!P29,'JSO (t)'!P29)</f>
        <v>0</v>
      </c>
      <c r="Q29" s="471">
        <f>SUM('DUoS (t)'!Q29,'TUoS (t)'!Q29,'JSO (t)'!Q29)</f>
        <v>0</v>
      </c>
      <c r="R29" s="472">
        <f>SUM('DUoS (t)'!R29,'TUoS (t)'!R29,'JSO (t)'!R29)</f>
        <v>0</v>
      </c>
      <c r="S29" s="490">
        <f>SUM('DUoS (t)'!S29,'TUoS (t)'!S29,'JSO (t)'!S29)</f>
        <v>0</v>
      </c>
      <c r="T29" s="471">
        <f>SUM('DUoS (t)'!T29,'TUoS (t)'!T29,'JSO (t)'!T29)</f>
        <v>0</v>
      </c>
      <c r="U29" s="491">
        <f>SUM('DUoS (t)'!U29,'TUoS (t)'!U29,'JSO (t)'!U29)</f>
        <v>0</v>
      </c>
      <c r="V29" s="492">
        <f>SUM('DUoS (t)'!V29,'TUoS (t)'!V29,'JSO (t)'!V29)</f>
        <v>0</v>
      </c>
      <c r="X29" s="183">
        <f>'Q (t)'!G29</f>
        <v>0</v>
      </c>
      <c r="Y29" s="184">
        <f>'Q (t)'!H29</f>
        <v>17000</v>
      </c>
      <c r="Z29" s="178">
        <f>'Q (t)'!I29</f>
        <v>0</v>
      </c>
      <c r="AA29" s="178">
        <f>'Q (t)'!J29</f>
        <v>0</v>
      </c>
      <c r="AB29" s="179">
        <f>'Q (t)'!K29</f>
        <v>0</v>
      </c>
      <c r="AC29" s="178">
        <f>'Q (t)'!L29</f>
        <v>0</v>
      </c>
      <c r="AD29" s="178">
        <f>'Q (t)'!M29</f>
        <v>0</v>
      </c>
      <c r="AE29" s="178">
        <f>'Q (t)'!N29</f>
        <v>0</v>
      </c>
      <c r="AF29" s="179">
        <f>'Q (t)'!O29</f>
        <v>0</v>
      </c>
      <c r="AG29" s="178">
        <f>'Q (t)'!P29</f>
        <v>0</v>
      </c>
      <c r="AH29" s="178">
        <f>'Q (t)'!Q29</f>
        <v>0</v>
      </c>
      <c r="AI29" s="179">
        <f>'Q (t)'!R29</f>
        <v>0</v>
      </c>
      <c r="AJ29" s="184">
        <f>'Q (t)'!S29</f>
        <v>0</v>
      </c>
      <c r="AK29" s="178">
        <f>'Q (t)'!T29</f>
        <v>0</v>
      </c>
      <c r="AL29" s="184">
        <f>'Q (t)'!U29</f>
        <v>0</v>
      </c>
      <c r="AM29" s="179">
        <f>'Q (t)'!V29</f>
        <v>0</v>
      </c>
      <c r="AO29" s="183">
        <f t="shared" si="2"/>
        <v>0</v>
      </c>
      <c r="AP29" s="184">
        <f t="shared" si="0"/>
        <v>1672.8</v>
      </c>
      <c r="AQ29" s="178">
        <f t="shared" si="0"/>
        <v>0</v>
      </c>
      <c r="AR29" s="178">
        <f t="shared" si="0"/>
        <v>0</v>
      </c>
      <c r="AS29" s="179">
        <f t="shared" si="0"/>
        <v>0</v>
      </c>
      <c r="AT29" s="178">
        <f t="shared" si="0"/>
        <v>0</v>
      </c>
      <c r="AU29" s="178">
        <f t="shared" si="0"/>
        <v>0</v>
      </c>
      <c r="AV29" s="178">
        <f t="shared" si="0"/>
        <v>0</v>
      </c>
      <c r="AW29" s="179">
        <f t="shared" si="0"/>
        <v>0</v>
      </c>
      <c r="AX29" s="178">
        <f t="shared" si="1"/>
        <v>0</v>
      </c>
      <c r="AY29" s="178">
        <f t="shared" si="1"/>
        <v>0</v>
      </c>
      <c r="AZ29" s="179">
        <f t="shared" si="1"/>
        <v>0</v>
      </c>
      <c r="BA29" s="184">
        <f t="shared" si="1"/>
        <v>0</v>
      </c>
      <c r="BB29" s="178">
        <f t="shared" si="1"/>
        <v>0</v>
      </c>
      <c r="BC29" s="184">
        <f t="shared" si="1"/>
        <v>0</v>
      </c>
      <c r="BD29" s="178">
        <f t="shared" si="1"/>
        <v>0</v>
      </c>
      <c r="BE29" s="251">
        <f t="shared" si="3"/>
        <v>0</v>
      </c>
      <c r="BF29" s="252">
        <f t="shared" si="4"/>
        <v>17000</v>
      </c>
      <c r="BH29" s="262">
        <f>SUM(AO29)</f>
        <v>0</v>
      </c>
      <c r="BI29" s="262">
        <f>SUM(AP29:AS29)</f>
        <v>1672.8</v>
      </c>
      <c r="BJ29" s="262">
        <f>SUM(AT29:AW29)</f>
        <v>0</v>
      </c>
      <c r="BK29" s="263">
        <f>SUM(AX29:BB29)</f>
        <v>0</v>
      </c>
      <c r="BL29" s="269">
        <f>SUM(BC29:BD29)</f>
        <v>0</v>
      </c>
      <c r="BM29" s="264">
        <f t="shared" si="5"/>
        <v>1672.8</v>
      </c>
      <c r="BO29" s="732">
        <f t="shared" si="6"/>
        <v>98.4</v>
      </c>
    </row>
    <row r="30" spans="2:67" ht="15" customHeight="1" x14ac:dyDescent="0.25">
      <c r="B30" s="156"/>
      <c r="C30" s="201" t="s">
        <v>64</v>
      </c>
      <c r="D30" s="202"/>
      <c r="E30" s="202"/>
      <c r="G30" s="493">
        <f>SUM('DUoS (t)'!G30,'TUoS (t)'!G30,'JSO (t)'!G30)</f>
        <v>0</v>
      </c>
      <c r="H30" s="490">
        <f>SUM('DUoS (t)'!H30,'TUoS (t)'!H30,'JSO (t)'!H30)</f>
        <v>0</v>
      </c>
      <c r="I30" s="471">
        <f>SUM('DUoS (t)'!I30,'TUoS (t)'!I30,'JSO (t)'!I30)</f>
        <v>0</v>
      </c>
      <c r="J30" s="471">
        <f>SUM('DUoS (t)'!J30,'TUoS (t)'!J30,'JSO (t)'!J30)</f>
        <v>0</v>
      </c>
      <c r="K30" s="472">
        <f>SUM('DUoS (t)'!K30,'TUoS (t)'!K30,'JSO (t)'!K30)</f>
        <v>0</v>
      </c>
      <c r="L30" s="471">
        <f>SUM('DUoS (t)'!L30,'TUoS (t)'!L30,'JSO (t)'!L30)</f>
        <v>0</v>
      </c>
      <c r="M30" s="471">
        <f>SUM('DUoS (t)'!M30,'TUoS (t)'!M30,'JSO (t)'!M30)</f>
        <v>0</v>
      </c>
      <c r="N30" s="471">
        <f>SUM('DUoS (t)'!N30,'TUoS (t)'!N30,'JSO (t)'!N30)</f>
        <v>0</v>
      </c>
      <c r="O30" s="472">
        <f>SUM('DUoS (t)'!O30,'TUoS (t)'!O30,'JSO (t)'!O30)</f>
        <v>0</v>
      </c>
      <c r="P30" s="471">
        <f>SUM('DUoS (t)'!P30,'TUoS (t)'!P30,'JSO (t)'!P30)</f>
        <v>0</v>
      </c>
      <c r="Q30" s="471">
        <f>SUM('DUoS (t)'!Q30,'TUoS (t)'!Q30,'JSO (t)'!Q30)</f>
        <v>0</v>
      </c>
      <c r="R30" s="472">
        <f>SUM('DUoS (t)'!R30,'TUoS (t)'!R30,'JSO (t)'!R30)</f>
        <v>0</v>
      </c>
      <c r="S30" s="490">
        <f>SUM('DUoS (t)'!S30,'TUoS (t)'!S30,'JSO (t)'!S30)</f>
        <v>0</v>
      </c>
      <c r="T30" s="471">
        <f>SUM('DUoS (t)'!T30,'TUoS (t)'!T30,'JSO (t)'!T30)</f>
        <v>0</v>
      </c>
      <c r="U30" s="490">
        <f>SUM('DUoS (t)'!U30,'TUoS (t)'!U30,'JSO (t)'!U30)</f>
        <v>0</v>
      </c>
      <c r="V30" s="472">
        <f>SUM('DUoS (t)'!V30,'TUoS (t)'!V30,'JSO (t)'!V30)</f>
        <v>0</v>
      </c>
      <c r="X30" s="183">
        <f>'Q (t)'!G30</f>
        <v>0</v>
      </c>
      <c r="Y30" s="184">
        <f>'Q (t)'!H30</f>
        <v>0</v>
      </c>
      <c r="Z30" s="178">
        <f>'Q (t)'!I30</f>
        <v>0</v>
      </c>
      <c r="AA30" s="178">
        <f>'Q (t)'!J30</f>
        <v>0</v>
      </c>
      <c r="AB30" s="179">
        <f>'Q (t)'!K30</f>
        <v>0</v>
      </c>
      <c r="AC30" s="178">
        <f>'Q (t)'!L30</f>
        <v>0</v>
      </c>
      <c r="AD30" s="178">
        <f>'Q (t)'!M30</f>
        <v>0</v>
      </c>
      <c r="AE30" s="178">
        <f>'Q (t)'!N30</f>
        <v>0</v>
      </c>
      <c r="AF30" s="179">
        <f>'Q (t)'!O30</f>
        <v>0</v>
      </c>
      <c r="AG30" s="178">
        <f>'Q (t)'!P30</f>
        <v>0</v>
      </c>
      <c r="AH30" s="178">
        <f>'Q (t)'!Q30</f>
        <v>0</v>
      </c>
      <c r="AI30" s="179">
        <f>'Q (t)'!R30</f>
        <v>0</v>
      </c>
      <c r="AJ30" s="184">
        <f>'Q (t)'!S30</f>
        <v>0</v>
      </c>
      <c r="AK30" s="178">
        <f>'Q (t)'!T30</f>
        <v>0</v>
      </c>
      <c r="AL30" s="184">
        <f>'Q (t)'!U30</f>
        <v>0</v>
      </c>
      <c r="AM30" s="179">
        <f>'Q (t)'!V30</f>
        <v>0</v>
      </c>
      <c r="AO30" s="183">
        <f t="shared" si="2"/>
        <v>0</v>
      </c>
      <c r="AP30" s="184">
        <f t="shared" si="0"/>
        <v>0</v>
      </c>
      <c r="AQ30" s="178">
        <f t="shared" si="0"/>
        <v>0</v>
      </c>
      <c r="AR30" s="178">
        <f t="shared" si="0"/>
        <v>0</v>
      </c>
      <c r="AS30" s="179">
        <f t="shared" si="0"/>
        <v>0</v>
      </c>
      <c r="AT30" s="178">
        <f t="shared" si="0"/>
        <v>0</v>
      </c>
      <c r="AU30" s="178">
        <f t="shared" si="0"/>
        <v>0</v>
      </c>
      <c r="AV30" s="178">
        <f t="shared" si="0"/>
        <v>0</v>
      </c>
      <c r="AW30" s="179">
        <f t="shared" si="0"/>
        <v>0</v>
      </c>
      <c r="AX30" s="178">
        <f t="shared" si="1"/>
        <v>0</v>
      </c>
      <c r="AY30" s="178">
        <f t="shared" si="1"/>
        <v>0</v>
      </c>
      <c r="AZ30" s="179">
        <f t="shared" si="1"/>
        <v>0</v>
      </c>
      <c r="BA30" s="184">
        <f t="shared" si="1"/>
        <v>0</v>
      </c>
      <c r="BB30" s="178">
        <f t="shared" si="1"/>
        <v>0</v>
      </c>
      <c r="BC30" s="184">
        <f t="shared" si="1"/>
        <v>0</v>
      </c>
      <c r="BD30" s="178">
        <f t="shared" si="1"/>
        <v>0</v>
      </c>
      <c r="BE30" s="251">
        <f t="shared" si="3"/>
        <v>0</v>
      </c>
      <c r="BF30" s="252">
        <f t="shared" si="4"/>
        <v>0</v>
      </c>
      <c r="BH30" s="259">
        <f>SUBTOTAL(9,BH31:BH35)</f>
        <v>12996.835320000002</v>
      </c>
      <c r="BI30" s="259">
        <f t="shared" ref="BI30:BL30" si="27">SUBTOTAL(9,BI31:BI35)</f>
        <v>93089.989999999991</v>
      </c>
      <c r="BJ30" s="259">
        <f t="shared" si="27"/>
        <v>429</v>
      </c>
      <c r="BK30" s="259">
        <f t="shared" si="27"/>
        <v>0</v>
      </c>
      <c r="BL30" s="259">
        <f t="shared" si="27"/>
        <v>0</v>
      </c>
      <c r="BM30" s="264">
        <f t="shared" si="5"/>
        <v>106515.82531999999</v>
      </c>
      <c r="BO30" s="732" t="str">
        <f t="shared" si="6"/>
        <v/>
      </c>
    </row>
    <row r="31" spans="2:67" ht="15" customHeight="1" x14ac:dyDescent="0.25">
      <c r="B31" s="156">
        <f>B29+1</f>
        <v>3</v>
      </c>
      <c r="C31" s="180" t="s">
        <v>65</v>
      </c>
      <c r="D31" s="181" t="str">
        <f t="shared" ref="D31:D35" si="28">C31</f>
        <v>BSR</v>
      </c>
      <c r="E31" s="200" t="s">
        <v>66</v>
      </c>
      <c r="G31" s="488">
        <f>SUM('DUoS (t)'!G31,'TUoS (t)'!G31,'JSO (t)'!G31)</f>
        <v>0.50680000000000003</v>
      </c>
      <c r="H31" s="489">
        <f>SUM('DUoS (t)'!H31,'TUoS (t)'!H31,'JSO (t)'!H31)</f>
        <v>0.15009999999999998</v>
      </c>
      <c r="I31" s="471">
        <f>SUM('DUoS (t)'!I31,'TUoS (t)'!I31,'JSO (t)'!I31)</f>
        <v>0</v>
      </c>
      <c r="J31" s="471">
        <f>SUM('DUoS (t)'!J31,'TUoS (t)'!J31,'JSO (t)'!J31)</f>
        <v>0</v>
      </c>
      <c r="K31" s="472">
        <f>SUM('DUoS (t)'!K31,'TUoS (t)'!K31,'JSO (t)'!K31)</f>
        <v>0</v>
      </c>
      <c r="L31" s="471">
        <f>SUM('DUoS (t)'!L31,'TUoS (t)'!L31,'JSO (t)'!L31)</f>
        <v>0</v>
      </c>
      <c r="M31" s="471">
        <f>SUM('DUoS (t)'!M31,'TUoS (t)'!M31,'JSO (t)'!M31)</f>
        <v>0</v>
      </c>
      <c r="N31" s="471">
        <f>SUM('DUoS (t)'!N31,'TUoS (t)'!N31,'JSO (t)'!N31)</f>
        <v>0</v>
      </c>
      <c r="O31" s="472">
        <f>SUM('DUoS (t)'!O31,'TUoS (t)'!O31,'JSO (t)'!O31)</f>
        <v>0</v>
      </c>
      <c r="P31" s="471">
        <f>SUM('DUoS (t)'!P31,'TUoS (t)'!P31,'JSO (t)'!P31)</f>
        <v>0</v>
      </c>
      <c r="Q31" s="471">
        <f>SUM('DUoS (t)'!Q31,'TUoS (t)'!Q31,'JSO (t)'!Q31)</f>
        <v>0</v>
      </c>
      <c r="R31" s="472">
        <f>SUM('DUoS (t)'!R31,'TUoS (t)'!R31,'JSO (t)'!R31)</f>
        <v>0</v>
      </c>
      <c r="S31" s="490">
        <f>SUM('DUoS (t)'!S31,'TUoS (t)'!S31,'JSO (t)'!S31)</f>
        <v>0</v>
      </c>
      <c r="T31" s="471">
        <f>SUM('DUoS (t)'!T31,'TUoS (t)'!T31,'JSO (t)'!T31)</f>
        <v>0</v>
      </c>
      <c r="U31" s="491">
        <f>SUM('DUoS (t)'!U31,'TUoS (t)'!U31,'JSO (t)'!U31)</f>
        <v>0</v>
      </c>
      <c r="V31" s="492">
        <f>SUM('DUoS (t)'!V31,'TUoS (t)'!V31,'JSO (t)'!V31)</f>
        <v>0</v>
      </c>
      <c r="X31" s="183">
        <f>'Q (t)'!G31</f>
        <v>17076160</v>
      </c>
      <c r="Y31" s="184">
        <f>'Q (t)'!H31</f>
        <v>339500</v>
      </c>
      <c r="Z31" s="178">
        <f>'Q (t)'!I31</f>
        <v>0</v>
      </c>
      <c r="AA31" s="178">
        <f>'Q (t)'!J31</f>
        <v>0</v>
      </c>
      <c r="AB31" s="179">
        <f>'Q (t)'!K31</f>
        <v>0</v>
      </c>
      <c r="AC31" s="178">
        <f>'Q (t)'!L31</f>
        <v>0</v>
      </c>
      <c r="AD31" s="178">
        <f>'Q (t)'!M31</f>
        <v>0</v>
      </c>
      <c r="AE31" s="178">
        <f>'Q (t)'!N31</f>
        <v>0</v>
      </c>
      <c r="AF31" s="179">
        <f>'Q (t)'!O31</f>
        <v>0</v>
      </c>
      <c r="AG31" s="178">
        <f>'Q (t)'!P31</f>
        <v>0</v>
      </c>
      <c r="AH31" s="178">
        <f>'Q (t)'!Q31</f>
        <v>0</v>
      </c>
      <c r="AI31" s="179">
        <f>'Q (t)'!R31</f>
        <v>0</v>
      </c>
      <c r="AJ31" s="184">
        <f>'Q (t)'!S31</f>
        <v>0</v>
      </c>
      <c r="AK31" s="178">
        <f>'Q (t)'!T31</f>
        <v>0</v>
      </c>
      <c r="AL31" s="184">
        <f>'Q (t)'!U31</f>
        <v>0</v>
      </c>
      <c r="AM31" s="179">
        <f>'Q (t)'!V31</f>
        <v>0</v>
      </c>
      <c r="AO31" s="183">
        <f t="shared" si="2"/>
        <v>8654.1978880000006</v>
      </c>
      <c r="AP31" s="184">
        <f t="shared" si="0"/>
        <v>50958.95</v>
      </c>
      <c r="AQ31" s="178">
        <f t="shared" si="0"/>
        <v>0</v>
      </c>
      <c r="AR31" s="178">
        <f t="shared" si="0"/>
        <v>0</v>
      </c>
      <c r="AS31" s="179">
        <f t="shared" si="0"/>
        <v>0</v>
      </c>
      <c r="AT31" s="178">
        <f t="shared" si="0"/>
        <v>0</v>
      </c>
      <c r="AU31" s="178">
        <f t="shared" si="0"/>
        <v>0</v>
      </c>
      <c r="AV31" s="178">
        <f t="shared" si="0"/>
        <v>0</v>
      </c>
      <c r="AW31" s="179">
        <f t="shared" si="0"/>
        <v>0</v>
      </c>
      <c r="AX31" s="178">
        <f t="shared" si="1"/>
        <v>0</v>
      </c>
      <c r="AY31" s="178">
        <f t="shared" si="1"/>
        <v>0</v>
      </c>
      <c r="AZ31" s="179">
        <f t="shared" si="1"/>
        <v>0</v>
      </c>
      <c r="BA31" s="184">
        <f t="shared" si="1"/>
        <v>0</v>
      </c>
      <c r="BB31" s="178">
        <f t="shared" si="1"/>
        <v>0</v>
      </c>
      <c r="BC31" s="184">
        <f t="shared" si="1"/>
        <v>0</v>
      </c>
      <c r="BD31" s="178">
        <f t="shared" si="1"/>
        <v>0</v>
      </c>
      <c r="BE31" s="251">
        <f t="shared" si="3"/>
        <v>46784</v>
      </c>
      <c r="BF31" s="252">
        <f t="shared" si="4"/>
        <v>339500</v>
      </c>
      <c r="BH31" s="262">
        <f>SUM(AO31)</f>
        <v>8654.1978880000006</v>
      </c>
      <c r="BI31" s="262">
        <f>SUM(AP31:AS31)</f>
        <v>50958.95</v>
      </c>
      <c r="BJ31" s="262">
        <f>SUM(AT31:AW31)</f>
        <v>0</v>
      </c>
      <c r="BK31" s="263">
        <f>SUM(AX31:BB31)</f>
        <v>0</v>
      </c>
      <c r="BL31" s="269">
        <f>SUM(BC31:BD31)</f>
        <v>0</v>
      </c>
      <c r="BM31" s="264">
        <f t="shared" si="5"/>
        <v>59613.147888</v>
      </c>
      <c r="BO31" s="732">
        <f t="shared" si="6"/>
        <v>175.59100997938143</v>
      </c>
    </row>
    <row r="32" spans="2:67" ht="15" customHeight="1" x14ac:dyDescent="0.25">
      <c r="B32" s="156">
        <f t="shared" si="26"/>
        <v>4</v>
      </c>
      <c r="C32" s="180" t="s">
        <v>67</v>
      </c>
      <c r="D32" s="181" t="str">
        <f t="shared" si="28"/>
        <v>BSRCL</v>
      </c>
      <c r="E32" s="200" t="s">
        <v>68</v>
      </c>
      <c r="G32" s="488">
        <f>SUM('DUoS (t)'!G32,'TUoS (t)'!G32,'JSO (t)'!G32)</f>
        <v>0.50680000000000003</v>
      </c>
      <c r="H32" s="489">
        <f>SUM('DUoS (t)'!H32,'TUoS (t)'!H32,'JSO (t)'!H32)</f>
        <v>0.15009999999999998</v>
      </c>
      <c r="I32" s="471">
        <f>SUM('DUoS (t)'!I32,'TUoS (t)'!I32,'JSO (t)'!I32)</f>
        <v>0</v>
      </c>
      <c r="J32" s="471">
        <f>SUM('DUoS (t)'!J32,'TUoS (t)'!J32,'JSO (t)'!J32)</f>
        <v>0</v>
      </c>
      <c r="K32" s="472">
        <f>SUM('DUoS (t)'!K32,'TUoS (t)'!K32,'JSO (t)'!K32)</f>
        <v>0</v>
      </c>
      <c r="L32" s="494">
        <f>SUM('DUoS (t)'!L32,'TUoS (t)'!L32,'JSO (t)'!L32)</f>
        <v>7.1500000000000008E-2</v>
      </c>
      <c r="M32" s="471">
        <f>SUM('DUoS (t)'!M32,'TUoS (t)'!M32,'JSO (t)'!M32)</f>
        <v>0</v>
      </c>
      <c r="N32" s="471">
        <f>SUM('DUoS (t)'!N32,'TUoS (t)'!N32,'JSO (t)'!N32)</f>
        <v>0</v>
      </c>
      <c r="O32" s="472">
        <f>SUM('DUoS (t)'!O32,'TUoS (t)'!O32,'JSO (t)'!O32)</f>
        <v>0</v>
      </c>
      <c r="P32" s="471">
        <f>SUM('DUoS (t)'!P32,'TUoS (t)'!P32,'JSO (t)'!P32)</f>
        <v>0</v>
      </c>
      <c r="Q32" s="471">
        <f>SUM('DUoS (t)'!Q32,'TUoS (t)'!Q32,'JSO (t)'!Q32)</f>
        <v>0</v>
      </c>
      <c r="R32" s="472">
        <f>SUM('DUoS (t)'!R32,'TUoS (t)'!R32,'JSO (t)'!R32)</f>
        <v>0</v>
      </c>
      <c r="S32" s="490">
        <f>SUM('DUoS (t)'!S32,'TUoS (t)'!S32,'JSO (t)'!S32)</f>
        <v>0</v>
      </c>
      <c r="T32" s="471">
        <f>SUM('DUoS (t)'!T32,'TUoS (t)'!T32,'JSO (t)'!T32)</f>
        <v>0</v>
      </c>
      <c r="U32" s="491">
        <f>SUM('DUoS (t)'!U32,'TUoS (t)'!U32,'JSO (t)'!U32)</f>
        <v>0</v>
      </c>
      <c r="V32" s="492">
        <f>SUM('DUoS (t)'!V32,'TUoS (t)'!V32,'JSO (t)'!V32)</f>
        <v>0</v>
      </c>
      <c r="X32" s="183">
        <f>'Q (t)'!G32</f>
        <v>0</v>
      </c>
      <c r="Y32" s="184">
        <f>'Q (t)'!H32</f>
        <v>0</v>
      </c>
      <c r="Z32" s="178">
        <f>'Q (t)'!I32</f>
        <v>0</v>
      </c>
      <c r="AA32" s="178">
        <f>'Q (t)'!J32</f>
        <v>0</v>
      </c>
      <c r="AB32" s="179">
        <f>'Q (t)'!K32</f>
        <v>0</v>
      </c>
      <c r="AC32" s="178">
        <f>'Q (t)'!L32</f>
        <v>3000</v>
      </c>
      <c r="AD32" s="178">
        <f>'Q (t)'!M32</f>
        <v>0</v>
      </c>
      <c r="AE32" s="178">
        <f>'Q (t)'!N32</f>
        <v>0</v>
      </c>
      <c r="AF32" s="179">
        <f>'Q (t)'!O32</f>
        <v>0</v>
      </c>
      <c r="AG32" s="178">
        <f>'Q (t)'!P32</f>
        <v>0</v>
      </c>
      <c r="AH32" s="178">
        <f>'Q (t)'!Q32</f>
        <v>0</v>
      </c>
      <c r="AI32" s="179">
        <f>'Q (t)'!R32</f>
        <v>0</v>
      </c>
      <c r="AJ32" s="184">
        <f>'Q (t)'!S32</f>
        <v>0</v>
      </c>
      <c r="AK32" s="178">
        <f>'Q (t)'!T32</f>
        <v>0</v>
      </c>
      <c r="AL32" s="184">
        <f>'Q (t)'!U32</f>
        <v>0</v>
      </c>
      <c r="AM32" s="179">
        <f>'Q (t)'!V32</f>
        <v>0</v>
      </c>
      <c r="AO32" s="183">
        <f t="shared" si="2"/>
        <v>0</v>
      </c>
      <c r="AP32" s="184">
        <f t="shared" si="0"/>
        <v>0</v>
      </c>
      <c r="AQ32" s="178">
        <f t="shared" si="0"/>
        <v>0</v>
      </c>
      <c r="AR32" s="178">
        <f t="shared" si="0"/>
        <v>0</v>
      </c>
      <c r="AS32" s="179">
        <f t="shared" si="0"/>
        <v>0</v>
      </c>
      <c r="AT32" s="178">
        <f t="shared" si="0"/>
        <v>214.50000000000003</v>
      </c>
      <c r="AU32" s="178">
        <f t="shared" si="0"/>
        <v>0</v>
      </c>
      <c r="AV32" s="178">
        <f t="shared" si="0"/>
        <v>0</v>
      </c>
      <c r="AW32" s="179">
        <f t="shared" si="0"/>
        <v>0</v>
      </c>
      <c r="AX32" s="178">
        <f t="shared" si="1"/>
        <v>0</v>
      </c>
      <c r="AY32" s="178">
        <f t="shared" si="1"/>
        <v>0</v>
      </c>
      <c r="AZ32" s="179">
        <f t="shared" si="1"/>
        <v>0</v>
      </c>
      <c r="BA32" s="184">
        <f t="shared" si="1"/>
        <v>0</v>
      </c>
      <c r="BB32" s="178">
        <f t="shared" si="1"/>
        <v>0</v>
      </c>
      <c r="BC32" s="184">
        <f t="shared" si="1"/>
        <v>0</v>
      </c>
      <c r="BD32" s="178">
        <f t="shared" si="1"/>
        <v>0</v>
      </c>
      <c r="BE32" s="251">
        <f t="shared" si="3"/>
        <v>0</v>
      </c>
      <c r="BF32" s="252">
        <f t="shared" si="4"/>
        <v>3000</v>
      </c>
      <c r="BH32" s="262">
        <f>SUM(AO32)</f>
        <v>0</v>
      </c>
      <c r="BI32" s="262">
        <f>SUM(AP32:AS32)</f>
        <v>0</v>
      </c>
      <c r="BJ32" s="262">
        <f>SUM(AT32:AW32)</f>
        <v>214.50000000000003</v>
      </c>
      <c r="BK32" s="263">
        <f>SUM(AX32:BB32)</f>
        <v>0</v>
      </c>
      <c r="BL32" s="269">
        <f>SUM(BC32:BD32)</f>
        <v>0</v>
      </c>
      <c r="BM32" s="264">
        <f t="shared" si="5"/>
        <v>214.50000000000003</v>
      </c>
      <c r="BO32" s="732">
        <f t="shared" si="6"/>
        <v>71.500000000000014</v>
      </c>
    </row>
    <row r="33" spans="2:67" ht="15" customHeight="1" x14ac:dyDescent="0.25">
      <c r="B33" s="156">
        <f t="shared" si="26"/>
        <v>5</v>
      </c>
      <c r="C33" s="180" t="s">
        <v>69</v>
      </c>
      <c r="D33" s="181" t="str">
        <f t="shared" si="28"/>
        <v>B2R</v>
      </c>
      <c r="E33" s="200" t="s">
        <v>70</v>
      </c>
      <c r="G33" s="488">
        <f>SUM('DUoS (t)'!G33,'TUoS (t)'!G33,'JSO (t)'!G33)</f>
        <v>0.50680000000000003</v>
      </c>
      <c r="H33" s="490">
        <f>SUM('DUoS (t)'!H33,'TUoS (t)'!H33,'JSO (t)'!H33)</f>
        <v>0</v>
      </c>
      <c r="I33" s="475">
        <f>SUM('DUoS (t)'!I33,'TUoS (t)'!I33,'JSO (t)'!I33)</f>
        <v>0.16930000000000001</v>
      </c>
      <c r="J33" s="471">
        <f>SUM('DUoS (t)'!J33,'TUoS (t)'!J33,'JSO (t)'!J33)</f>
        <v>0</v>
      </c>
      <c r="K33" s="476">
        <f>SUM('DUoS (t)'!K33,'TUoS (t)'!K33,'JSO (t)'!K33)</f>
        <v>8.4599999999999995E-2</v>
      </c>
      <c r="L33" s="471">
        <f>SUM('DUoS (t)'!L33,'TUoS (t)'!L33,'JSO (t)'!L33)</f>
        <v>0</v>
      </c>
      <c r="M33" s="471">
        <f>SUM('DUoS (t)'!M33,'TUoS (t)'!M33,'JSO (t)'!M33)</f>
        <v>0</v>
      </c>
      <c r="N33" s="471">
        <f>SUM('DUoS (t)'!N33,'TUoS (t)'!N33,'JSO (t)'!N33)</f>
        <v>0</v>
      </c>
      <c r="O33" s="472">
        <f>SUM('DUoS (t)'!O33,'TUoS (t)'!O33,'JSO (t)'!O33)</f>
        <v>0</v>
      </c>
      <c r="P33" s="471">
        <f>SUM('DUoS (t)'!P33,'TUoS (t)'!P33,'JSO (t)'!P33)</f>
        <v>0</v>
      </c>
      <c r="Q33" s="471">
        <f>SUM('DUoS (t)'!Q33,'TUoS (t)'!Q33,'JSO (t)'!Q33)</f>
        <v>0</v>
      </c>
      <c r="R33" s="472">
        <f>SUM('DUoS (t)'!R33,'TUoS (t)'!R33,'JSO (t)'!R33)</f>
        <v>0</v>
      </c>
      <c r="S33" s="490">
        <f>SUM('DUoS (t)'!S33,'TUoS (t)'!S33,'JSO (t)'!S33)</f>
        <v>0</v>
      </c>
      <c r="T33" s="471">
        <f>SUM('DUoS (t)'!T33,'TUoS (t)'!T33,'JSO (t)'!T33)</f>
        <v>0</v>
      </c>
      <c r="U33" s="491">
        <f>SUM('DUoS (t)'!U33,'TUoS (t)'!U33,'JSO (t)'!U33)</f>
        <v>0</v>
      </c>
      <c r="V33" s="492">
        <f>SUM('DUoS (t)'!V33,'TUoS (t)'!V33,'JSO (t)'!V33)</f>
        <v>0</v>
      </c>
      <c r="X33" s="183">
        <f>'Q (t)'!G33</f>
        <v>8568740</v>
      </c>
      <c r="Y33" s="184">
        <f>'Q (t)'!H33</f>
        <v>0</v>
      </c>
      <c r="Z33" s="178">
        <f>'Q (t)'!I33</f>
        <v>171600</v>
      </c>
      <c r="AA33" s="178">
        <f>'Q (t)'!J33</f>
        <v>0</v>
      </c>
      <c r="AB33" s="179">
        <f>'Q (t)'!K33</f>
        <v>154600</v>
      </c>
      <c r="AC33" s="178">
        <f>'Q (t)'!L33</f>
        <v>0</v>
      </c>
      <c r="AD33" s="178">
        <f>'Q (t)'!M33</f>
        <v>0</v>
      </c>
      <c r="AE33" s="178">
        <f>'Q (t)'!N33</f>
        <v>0</v>
      </c>
      <c r="AF33" s="179">
        <f>'Q (t)'!O33</f>
        <v>0</v>
      </c>
      <c r="AG33" s="178">
        <f>'Q (t)'!P33</f>
        <v>0</v>
      </c>
      <c r="AH33" s="178">
        <f>'Q (t)'!Q33</f>
        <v>0</v>
      </c>
      <c r="AI33" s="179">
        <f>'Q (t)'!R33</f>
        <v>0</v>
      </c>
      <c r="AJ33" s="184">
        <f>'Q (t)'!S33</f>
        <v>0</v>
      </c>
      <c r="AK33" s="178">
        <f>'Q (t)'!T33</f>
        <v>0</v>
      </c>
      <c r="AL33" s="184">
        <f>'Q (t)'!U33</f>
        <v>0</v>
      </c>
      <c r="AM33" s="179">
        <f>'Q (t)'!V33</f>
        <v>0</v>
      </c>
      <c r="AO33" s="183">
        <f t="shared" si="2"/>
        <v>4342.6374320000004</v>
      </c>
      <c r="AP33" s="184">
        <f t="shared" si="0"/>
        <v>0</v>
      </c>
      <c r="AQ33" s="178">
        <f t="shared" si="0"/>
        <v>29051.88</v>
      </c>
      <c r="AR33" s="178">
        <f t="shared" si="0"/>
        <v>0</v>
      </c>
      <c r="AS33" s="179">
        <f t="shared" si="0"/>
        <v>13079.16</v>
      </c>
      <c r="AT33" s="178">
        <f t="shared" si="0"/>
        <v>0</v>
      </c>
      <c r="AU33" s="178">
        <f t="shared" si="0"/>
        <v>0</v>
      </c>
      <c r="AV33" s="178">
        <f t="shared" si="0"/>
        <v>0</v>
      </c>
      <c r="AW33" s="179">
        <f t="shared" si="0"/>
        <v>0</v>
      </c>
      <c r="AX33" s="178">
        <f t="shared" si="1"/>
        <v>0</v>
      </c>
      <c r="AY33" s="178">
        <f t="shared" si="1"/>
        <v>0</v>
      </c>
      <c r="AZ33" s="179">
        <f t="shared" si="1"/>
        <v>0</v>
      </c>
      <c r="BA33" s="184">
        <f t="shared" si="1"/>
        <v>0</v>
      </c>
      <c r="BB33" s="178">
        <f t="shared" si="1"/>
        <v>0</v>
      </c>
      <c r="BC33" s="184">
        <f t="shared" si="1"/>
        <v>0</v>
      </c>
      <c r="BD33" s="178">
        <f t="shared" si="1"/>
        <v>0</v>
      </c>
      <c r="BE33" s="251">
        <f t="shared" si="3"/>
        <v>23476</v>
      </c>
      <c r="BF33" s="252">
        <f t="shared" si="4"/>
        <v>326200</v>
      </c>
      <c r="BH33" s="262">
        <f>SUM(AO33)</f>
        <v>4342.6374320000004</v>
      </c>
      <c r="BI33" s="262">
        <f>SUM(AP33:AS33)</f>
        <v>42131.040000000001</v>
      </c>
      <c r="BJ33" s="262">
        <f>SUM(AT33:AW33)</f>
        <v>0</v>
      </c>
      <c r="BK33" s="263">
        <f>SUM(AX33:BB33)</f>
        <v>0</v>
      </c>
      <c r="BL33" s="269">
        <f>SUM(BC33:BD33)</f>
        <v>0</v>
      </c>
      <c r="BM33" s="264">
        <f t="shared" si="5"/>
        <v>46473.677432000004</v>
      </c>
      <c r="BO33" s="732">
        <f t="shared" si="6"/>
        <v>142.46988789699571</v>
      </c>
    </row>
    <row r="34" spans="2:67" ht="15" customHeight="1" x14ac:dyDescent="0.25">
      <c r="B34" s="156">
        <f t="shared" si="26"/>
        <v>6</v>
      </c>
      <c r="C34" s="180" t="s">
        <v>71</v>
      </c>
      <c r="D34" s="181" t="str">
        <f t="shared" si="28"/>
        <v>B2RCL</v>
      </c>
      <c r="E34" s="200" t="s">
        <v>72</v>
      </c>
      <c r="G34" s="488">
        <f>SUM('DUoS (t)'!G34,'TUoS (t)'!G34,'JSO (t)'!G34)</f>
        <v>0.50680000000000003</v>
      </c>
      <c r="H34" s="490">
        <f>SUM('DUoS (t)'!H34,'TUoS (t)'!H34,'JSO (t)'!H34)</f>
        <v>0</v>
      </c>
      <c r="I34" s="475">
        <f>SUM('DUoS (t)'!I34,'TUoS (t)'!I34,'JSO (t)'!I34)</f>
        <v>0.16930000000000001</v>
      </c>
      <c r="J34" s="471">
        <f>SUM('DUoS (t)'!J34,'TUoS (t)'!J34,'JSO (t)'!J34)</f>
        <v>0</v>
      </c>
      <c r="K34" s="476">
        <f>SUM('DUoS (t)'!K34,'TUoS (t)'!K34,'JSO (t)'!K34)</f>
        <v>8.4599999999999995E-2</v>
      </c>
      <c r="L34" s="494">
        <f>SUM('DUoS (t)'!L34,'TUoS (t)'!L34,'JSO (t)'!L34)</f>
        <v>7.1500000000000008E-2</v>
      </c>
      <c r="M34" s="471">
        <f>SUM('DUoS (t)'!M34,'TUoS (t)'!M34,'JSO (t)'!M34)</f>
        <v>0</v>
      </c>
      <c r="N34" s="471">
        <f>SUM('DUoS (t)'!N34,'TUoS (t)'!N34,'JSO (t)'!N34)</f>
        <v>0</v>
      </c>
      <c r="O34" s="472">
        <f>SUM('DUoS (t)'!O34,'TUoS (t)'!O34,'JSO (t)'!O34)</f>
        <v>0</v>
      </c>
      <c r="P34" s="471">
        <f>SUM('DUoS (t)'!P34,'TUoS (t)'!P34,'JSO (t)'!P34)</f>
        <v>0</v>
      </c>
      <c r="Q34" s="471">
        <f>SUM('DUoS (t)'!Q34,'TUoS (t)'!Q34,'JSO (t)'!Q34)</f>
        <v>0</v>
      </c>
      <c r="R34" s="472">
        <f>SUM('DUoS (t)'!R34,'TUoS (t)'!R34,'JSO (t)'!R34)</f>
        <v>0</v>
      </c>
      <c r="S34" s="490">
        <f>SUM('DUoS (t)'!S34,'TUoS (t)'!S34,'JSO (t)'!S34)</f>
        <v>0</v>
      </c>
      <c r="T34" s="471">
        <f>SUM('DUoS (t)'!T34,'TUoS (t)'!T34,'JSO (t)'!T34)</f>
        <v>0</v>
      </c>
      <c r="U34" s="491">
        <f>SUM('DUoS (t)'!U34,'TUoS (t)'!U34,'JSO (t)'!U34)</f>
        <v>0</v>
      </c>
      <c r="V34" s="492">
        <f>SUM('DUoS (t)'!V34,'TUoS (t)'!V34,'JSO (t)'!V34)</f>
        <v>0</v>
      </c>
      <c r="X34" s="183">
        <f>'Q (t)'!G34</f>
        <v>0</v>
      </c>
      <c r="Y34" s="184">
        <f>'Q (t)'!H34</f>
        <v>0</v>
      </c>
      <c r="Z34" s="178">
        <f>'Q (t)'!I34</f>
        <v>0</v>
      </c>
      <c r="AA34" s="178">
        <f>'Q (t)'!J34</f>
        <v>0</v>
      </c>
      <c r="AB34" s="179">
        <f>'Q (t)'!K34</f>
        <v>0</v>
      </c>
      <c r="AC34" s="178">
        <f>'Q (t)'!L34</f>
        <v>2900</v>
      </c>
      <c r="AD34" s="178">
        <f>'Q (t)'!M34</f>
        <v>0</v>
      </c>
      <c r="AE34" s="178">
        <f>'Q (t)'!N34</f>
        <v>0</v>
      </c>
      <c r="AF34" s="179">
        <f>'Q (t)'!O34</f>
        <v>0</v>
      </c>
      <c r="AG34" s="178">
        <f>'Q (t)'!P34</f>
        <v>0</v>
      </c>
      <c r="AH34" s="178">
        <f>'Q (t)'!Q34</f>
        <v>0</v>
      </c>
      <c r="AI34" s="179">
        <f>'Q (t)'!R34</f>
        <v>0</v>
      </c>
      <c r="AJ34" s="184">
        <f>'Q (t)'!S34</f>
        <v>0</v>
      </c>
      <c r="AK34" s="178">
        <f>'Q (t)'!T34</f>
        <v>0</v>
      </c>
      <c r="AL34" s="184">
        <f>'Q (t)'!U34</f>
        <v>0</v>
      </c>
      <c r="AM34" s="179">
        <f>'Q (t)'!V34</f>
        <v>0</v>
      </c>
      <c r="AO34" s="183">
        <f t="shared" si="2"/>
        <v>0</v>
      </c>
      <c r="AP34" s="184">
        <f t="shared" ref="AP34:AW62" si="29">H34*Y34</f>
        <v>0</v>
      </c>
      <c r="AQ34" s="178">
        <f t="shared" si="29"/>
        <v>0</v>
      </c>
      <c r="AR34" s="178">
        <f t="shared" si="29"/>
        <v>0</v>
      </c>
      <c r="AS34" s="179">
        <f t="shared" si="29"/>
        <v>0</v>
      </c>
      <c r="AT34" s="178">
        <f t="shared" si="29"/>
        <v>207.35000000000002</v>
      </c>
      <c r="AU34" s="178">
        <f t="shared" si="29"/>
        <v>0</v>
      </c>
      <c r="AV34" s="178">
        <f t="shared" si="29"/>
        <v>0</v>
      </c>
      <c r="AW34" s="179">
        <f t="shared" si="29"/>
        <v>0</v>
      </c>
      <c r="AX34" s="178">
        <f t="shared" si="1"/>
        <v>0</v>
      </c>
      <c r="AY34" s="178">
        <f t="shared" si="1"/>
        <v>0</v>
      </c>
      <c r="AZ34" s="179">
        <f t="shared" si="1"/>
        <v>0</v>
      </c>
      <c r="BA34" s="184">
        <f t="shared" si="1"/>
        <v>0</v>
      </c>
      <c r="BB34" s="178">
        <f t="shared" si="1"/>
        <v>0</v>
      </c>
      <c r="BC34" s="184">
        <f t="shared" si="1"/>
        <v>0</v>
      </c>
      <c r="BD34" s="178">
        <f t="shared" si="1"/>
        <v>0</v>
      </c>
      <c r="BE34" s="251">
        <f t="shared" si="3"/>
        <v>0</v>
      </c>
      <c r="BF34" s="252">
        <f t="shared" si="4"/>
        <v>2900</v>
      </c>
      <c r="BH34" s="262">
        <f>SUM(AO34)</f>
        <v>0</v>
      </c>
      <c r="BI34" s="262">
        <f>SUM(AP34:AS34)</f>
        <v>0</v>
      </c>
      <c r="BJ34" s="262">
        <f>SUM(AT34:AW34)</f>
        <v>207.35000000000002</v>
      </c>
      <c r="BK34" s="263">
        <f>SUM(AX34:BB34)</f>
        <v>0</v>
      </c>
      <c r="BL34" s="269">
        <f>SUM(BC34:BD34)</f>
        <v>0</v>
      </c>
      <c r="BM34" s="264">
        <f t="shared" si="5"/>
        <v>207.35000000000002</v>
      </c>
      <c r="BO34" s="732">
        <f t="shared" si="6"/>
        <v>71.500000000000014</v>
      </c>
    </row>
    <row r="35" spans="2:67" ht="15" customHeight="1" x14ac:dyDescent="0.25">
      <c r="B35" s="156">
        <f t="shared" si="26"/>
        <v>7</v>
      </c>
      <c r="C35" s="180" t="s">
        <v>73</v>
      </c>
      <c r="D35" s="181" t="str">
        <f t="shared" si="28"/>
        <v>BCL</v>
      </c>
      <c r="E35" s="200" t="s">
        <v>74</v>
      </c>
      <c r="G35" s="488">
        <f>SUM('DUoS (t)'!G35,'TUoS (t)'!G35,'JSO (t)'!G35)</f>
        <v>0</v>
      </c>
      <c r="H35" s="490">
        <f>SUM('DUoS (t)'!H35,'TUoS (t)'!H35,'JSO (t)'!H35)</f>
        <v>0</v>
      </c>
      <c r="I35" s="471">
        <f>SUM('DUoS (t)'!I35,'TUoS (t)'!I35,'JSO (t)'!I35)</f>
        <v>0</v>
      </c>
      <c r="J35" s="471">
        <f>SUM('DUoS (t)'!J35,'TUoS (t)'!J35,'JSO (t)'!J35)</f>
        <v>0</v>
      </c>
      <c r="K35" s="472">
        <f>SUM('DUoS (t)'!K35,'TUoS (t)'!K35,'JSO (t)'!K35)</f>
        <v>0</v>
      </c>
      <c r="L35" s="494">
        <f>SUM('DUoS (t)'!L35,'TUoS (t)'!L35,'JSO (t)'!L35)</f>
        <v>7.1500000000000008E-2</v>
      </c>
      <c r="M35" s="471">
        <f>SUM('DUoS (t)'!M35,'TUoS (t)'!M35,'JSO (t)'!M35)</f>
        <v>0</v>
      </c>
      <c r="N35" s="471">
        <f>SUM('DUoS (t)'!N35,'TUoS (t)'!N35,'JSO (t)'!N35)</f>
        <v>0</v>
      </c>
      <c r="O35" s="472">
        <f>SUM('DUoS (t)'!O35,'TUoS (t)'!O35,'JSO (t)'!O35)</f>
        <v>0</v>
      </c>
      <c r="P35" s="471">
        <f>SUM('DUoS (t)'!P35,'TUoS (t)'!P35,'JSO (t)'!P35)</f>
        <v>0</v>
      </c>
      <c r="Q35" s="471">
        <f>SUM('DUoS (t)'!Q35,'TUoS (t)'!Q35,'JSO (t)'!Q35)</f>
        <v>0</v>
      </c>
      <c r="R35" s="472">
        <f>SUM('DUoS (t)'!R35,'TUoS (t)'!R35,'JSO (t)'!R35)</f>
        <v>0</v>
      </c>
      <c r="S35" s="490">
        <f>SUM('DUoS (t)'!S35,'TUoS (t)'!S35,'JSO (t)'!S35)</f>
        <v>0</v>
      </c>
      <c r="T35" s="471">
        <f>SUM('DUoS (t)'!T35,'TUoS (t)'!T35,'JSO (t)'!T35)</f>
        <v>0</v>
      </c>
      <c r="U35" s="491">
        <f>SUM('DUoS (t)'!U35,'TUoS (t)'!U35,'JSO (t)'!U35)</f>
        <v>0</v>
      </c>
      <c r="V35" s="492">
        <f>SUM('DUoS (t)'!V35,'TUoS (t)'!V35,'JSO (t)'!V35)</f>
        <v>0</v>
      </c>
      <c r="X35" s="183">
        <f>'Q (t)'!G35</f>
        <v>0</v>
      </c>
      <c r="Y35" s="184">
        <f>'Q (t)'!H35</f>
        <v>0</v>
      </c>
      <c r="Z35" s="178">
        <f>'Q (t)'!I35</f>
        <v>0</v>
      </c>
      <c r="AA35" s="178">
        <f>'Q (t)'!J35</f>
        <v>0</v>
      </c>
      <c r="AB35" s="179">
        <f>'Q (t)'!K35</f>
        <v>0</v>
      </c>
      <c r="AC35" s="178">
        <f>'Q (t)'!L35</f>
        <v>100</v>
      </c>
      <c r="AD35" s="178">
        <f>'Q (t)'!M35</f>
        <v>0</v>
      </c>
      <c r="AE35" s="178">
        <f>'Q (t)'!N35</f>
        <v>0</v>
      </c>
      <c r="AF35" s="179">
        <f>'Q (t)'!O35</f>
        <v>0</v>
      </c>
      <c r="AG35" s="178">
        <f>'Q (t)'!P35</f>
        <v>0</v>
      </c>
      <c r="AH35" s="178">
        <f>'Q (t)'!Q35</f>
        <v>0</v>
      </c>
      <c r="AI35" s="179">
        <f>'Q (t)'!R35</f>
        <v>0</v>
      </c>
      <c r="AJ35" s="184">
        <f>'Q (t)'!S35</f>
        <v>0</v>
      </c>
      <c r="AK35" s="178">
        <f>'Q (t)'!T35</f>
        <v>0</v>
      </c>
      <c r="AL35" s="184">
        <f>'Q (t)'!U35</f>
        <v>0</v>
      </c>
      <c r="AM35" s="179">
        <f>'Q (t)'!V35</f>
        <v>0</v>
      </c>
      <c r="AO35" s="183">
        <f t="shared" si="2"/>
        <v>0</v>
      </c>
      <c r="AP35" s="184">
        <f t="shared" si="29"/>
        <v>0</v>
      </c>
      <c r="AQ35" s="178">
        <f t="shared" si="29"/>
        <v>0</v>
      </c>
      <c r="AR35" s="178">
        <f t="shared" si="29"/>
        <v>0</v>
      </c>
      <c r="AS35" s="179">
        <f t="shared" si="29"/>
        <v>0</v>
      </c>
      <c r="AT35" s="178">
        <f t="shared" si="29"/>
        <v>7.15</v>
      </c>
      <c r="AU35" s="178">
        <f t="shared" si="29"/>
        <v>0</v>
      </c>
      <c r="AV35" s="178">
        <f t="shared" si="29"/>
        <v>0</v>
      </c>
      <c r="AW35" s="179">
        <f t="shared" si="29"/>
        <v>0</v>
      </c>
      <c r="AX35" s="178">
        <f t="shared" si="1"/>
        <v>0</v>
      </c>
      <c r="AY35" s="178">
        <f t="shared" si="1"/>
        <v>0</v>
      </c>
      <c r="AZ35" s="179">
        <f t="shared" si="1"/>
        <v>0</v>
      </c>
      <c r="BA35" s="184">
        <f t="shared" si="1"/>
        <v>0</v>
      </c>
      <c r="BB35" s="178">
        <f t="shared" si="1"/>
        <v>0</v>
      </c>
      <c r="BC35" s="184">
        <f t="shared" si="1"/>
        <v>0</v>
      </c>
      <c r="BD35" s="178">
        <f t="shared" si="1"/>
        <v>0</v>
      </c>
      <c r="BE35" s="251">
        <f t="shared" si="3"/>
        <v>0</v>
      </c>
      <c r="BF35" s="252">
        <f t="shared" si="4"/>
        <v>100</v>
      </c>
      <c r="BH35" s="262">
        <f>SUM(AO35)</f>
        <v>0</v>
      </c>
      <c r="BI35" s="262">
        <f>SUM(AP35:AS35)</f>
        <v>0</v>
      </c>
      <c r="BJ35" s="262">
        <f>SUM(AT35:AW35)</f>
        <v>7.15</v>
      </c>
      <c r="BK35" s="263">
        <f>SUM(AX35:BB35)</f>
        <v>0</v>
      </c>
      <c r="BL35" s="269">
        <f>SUM(BC35:BD35)</f>
        <v>0</v>
      </c>
      <c r="BM35" s="264">
        <f t="shared" si="5"/>
        <v>7.15</v>
      </c>
      <c r="BO35" s="732">
        <f t="shared" si="6"/>
        <v>71.5</v>
      </c>
    </row>
    <row r="36" spans="2:67" ht="15" customHeight="1" x14ac:dyDescent="0.25">
      <c r="B36" s="156"/>
      <c r="C36" s="201" t="s">
        <v>75</v>
      </c>
      <c r="D36" s="202"/>
      <c r="E36" s="202"/>
      <c r="G36" s="493">
        <f>SUM('DUoS (t)'!G36,'TUoS (t)'!G36,'JSO (t)'!G36)</f>
        <v>0</v>
      </c>
      <c r="H36" s="490">
        <f>SUM('DUoS (t)'!H36,'TUoS (t)'!H36,'JSO (t)'!H36)</f>
        <v>0</v>
      </c>
      <c r="I36" s="471">
        <f>SUM('DUoS (t)'!I36,'TUoS (t)'!I36,'JSO (t)'!I36)</f>
        <v>0</v>
      </c>
      <c r="J36" s="471">
        <f>SUM('DUoS (t)'!J36,'TUoS (t)'!J36,'JSO (t)'!J36)</f>
        <v>0</v>
      </c>
      <c r="K36" s="472">
        <f>SUM('DUoS (t)'!K36,'TUoS (t)'!K36,'JSO (t)'!K36)</f>
        <v>0</v>
      </c>
      <c r="L36" s="471">
        <f>SUM('DUoS (t)'!L36,'TUoS (t)'!L36,'JSO (t)'!L36)</f>
        <v>0</v>
      </c>
      <c r="M36" s="471">
        <f>SUM('DUoS (t)'!M36,'TUoS (t)'!M36,'JSO (t)'!M36)</f>
        <v>0</v>
      </c>
      <c r="N36" s="471">
        <f>SUM('DUoS (t)'!N36,'TUoS (t)'!N36,'JSO (t)'!N36)</f>
        <v>0</v>
      </c>
      <c r="O36" s="472">
        <f>SUM('DUoS (t)'!O36,'TUoS (t)'!O36,'JSO (t)'!O36)</f>
        <v>0</v>
      </c>
      <c r="P36" s="471">
        <f>SUM('DUoS (t)'!P36,'TUoS (t)'!P36,'JSO (t)'!P36)</f>
        <v>0</v>
      </c>
      <c r="Q36" s="471">
        <f>SUM('DUoS (t)'!Q36,'TUoS (t)'!Q36,'JSO (t)'!Q36)</f>
        <v>0</v>
      </c>
      <c r="R36" s="472">
        <f>SUM('DUoS (t)'!R36,'TUoS (t)'!R36,'JSO (t)'!R36)</f>
        <v>0</v>
      </c>
      <c r="S36" s="490">
        <f>SUM('DUoS (t)'!S36,'TUoS (t)'!S36,'JSO (t)'!S36)</f>
        <v>0</v>
      </c>
      <c r="T36" s="471">
        <f>SUM('DUoS (t)'!T36,'TUoS (t)'!T36,'JSO (t)'!T36)</f>
        <v>0</v>
      </c>
      <c r="U36" s="490">
        <f>SUM('DUoS (t)'!U36,'TUoS (t)'!U36,'JSO (t)'!U36)</f>
        <v>0</v>
      </c>
      <c r="V36" s="472">
        <f>SUM('DUoS (t)'!V36,'TUoS (t)'!V36,'JSO (t)'!V36)</f>
        <v>0</v>
      </c>
      <c r="X36" s="183">
        <f>'Q (t)'!G36</f>
        <v>0</v>
      </c>
      <c r="Y36" s="184">
        <f>'Q (t)'!H36</f>
        <v>0</v>
      </c>
      <c r="Z36" s="178">
        <f>'Q (t)'!I36</f>
        <v>0</v>
      </c>
      <c r="AA36" s="178">
        <f>'Q (t)'!J36</f>
        <v>0</v>
      </c>
      <c r="AB36" s="179">
        <f>'Q (t)'!K36</f>
        <v>0</v>
      </c>
      <c r="AC36" s="178">
        <f>'Q (t)'!L36</f>
        <v>0</v>
      </c>
      <c r="AD36" s="178">
        <f>'Q (t)'!M36</f>
        <v>0</v>
      </c>
      <c r="AE36" s="178">
        <f>'Q (t)'!N36</f>
        <v>0</v>
      </c>
      <c r="AF36" s="179">
        <f>'Q (t)'!O36</f>
        <v>0</v>
      </c>
      <c r="AG36" s="178">
        <f>'Q (t)'!P36</f>
        <v>0</v>
      </c>
      <c r="AH36" s="178">
        <f>'Q (t)'!Q36</f>
        <v>0</v>
      </c>
      <c r="AI36" s="179">
        <f>'Q (t)'!R36</f>
        <v>0</v>
      </c>
      <c r="AJ36" s="184">
        <f>'Q (t)'!S36</f>
        <v>0</v>
      </c>
      <c r="AK36" s="178">
        <f>'Q (t)'!T36</f>
        <v>0</v>
      </c>
      <c r="AL36" s="184">
        <f>'Q (t)'!U36</f>
        <v>0</v>
      </c>
      <c r="AM36" s="179">
        <f>'Q (t)'!V36</f>
        <v>0</v>
      </c>
      <c r="AO36" s="183">
        <f t="shared" si="2"/>
        <v>0</v>
      </c>
      <c r="AP36" s="184">
        <f t="shared" si="29"/>
        <v>0</v>
      </c>
      <c r="AQ36" s="178">
        <f t="shared" si="29"/>
        <v>0</v>
      </c>
      <c r="AR36" s="178">
        <f t="shared" si="29"/>
        <v>0</v>
      </c>
      <c r="AS36" s="179">
        <f t="shared" si="29"/>
        <v>0</v>
      </c>
      <c r="AT36" s="178">
        <f t="shared" si="29"/>
        <v>0</v>
      </c>
      <c r="AU36" s="178">
        <f t="shared" si="29"/>
        <v>0</v>
      </c>
      <c r="AV36" s="178">
        <f t="shared" si="29"/>
        <v>0</v>
      </c>
      <c r="AW36" s="179">
        <f t="shared" si="29"/>
        <v>0</v>
      </c>
      <c r="AX36" s="178">
        <f t="shared" si="1"/>
        <v>0</v>
      </c>
      <c r="AY36" s="178">
        <f t="shared" si="1"/>
        <v>0</v>
      </c>
      <c r="AZ36" s="179">
        <f t="shared" si="1"/>
        <v>0</v>
      </c>
      <c r="BA36" s="184">
        <f t="shared" si="1"/>
        <v>0</v>
      </c>
      <c r="BB36" s="178">
        <f t="shared" si="1"/>
        <v>0</v>
      </c>
      <c r="BC36" s="184">
        <f t="shared" si="1"/>
        <v>0</v>
      </c>
      <c r="BD36" s="178">
        <f t="shared" si="1"/>
        <v>0</v>
      </c>
      <c r="BE36" s="251">
        <f t="shared" si="3"/>
        <v>0</v>
      </c>
      <c r="BF36" s="252">
        <f t="shared" si="4"/>
        <v>0</v>
      </c>
      <c r="BH36" s="259">
        <f>SUBTOTAL(9,BH37:BH39)</f>
        <v>5109.0140620000002</v>
      </c>
      <c r="BI36" s="259">
        <f t="shared" ref="BI36:BL36" si="30">SUBTOTAL(9,BI37:BI39)</f>
        <v>70299.81</v>
      </c>
      <c r="BJ36" s="259">
        <f t="shared" si="30"/>
        <v>0</v>
      </c>
      <c r="BK36" s="259">
        <f t="shared" si="30"/>
        <v>3753.3792824000002</v>
      </c>
      <c r="BL36" s="259">
        <f t="shared" si="30"/>
        <v>0</v>
      </c>
      <c r="BM36" s="264">
        <f t="shared" si="5"/>
        <v>79162.203344399997</v>
      </c>
      <c r="BO36" s="732" t="str">
        <f t="shared" si="6"/>
        <v/>
      </c>
    </row>
    <row r="37" spans="2:67" ht="15" customHeight="1" x14ac:dyDescent="0.25">
      <c r="B37" s="156">
        <f>B35+1</f>
        <v>8</v>
      </c>
      <c r="C37" s="180" t="s">
        <v>76</v>
      </c>
      <c r="D37" s="181" t="str">
        <f t="shared" ref="D37:D39" si="31">C37</f>
        <v>SBTOU</v>
      </c>
      <c r="E37" s="200" t="s">
        <v>77</v>
      </c>
      <c r="G37" s="488">
        <f>SUM('DUoS (t)'!G37,'TUoS (t)'!G37,'JSO (t)'!G37)</f>
        <v>0.50680000000000003</v>
      </c>
      <c r="H37" s="490">
        <f>SUM('DUoS (t)'!H37,'TUoS (t)'!H37,'JSO (t)'!H37)</f>
        <v>0</v>
      </c>
      <c r="I37" s="494">
        <f>SUM('DUoS (t)'!I37,'TUoS (t)'!I37,'JSO (t)'!I37)</f>
        <v>0.2253</v>
      </c>
      <c r="J37" s="494">
        <f>SUM('DUoS (t)'!J37,'TUoS (t)'!J37,'JSO (t)'!J37)</f>
        <v>0.15679999999999999</v>
      </c>
      <c r="K37" s="495">
        <f>SUM('DUoS (t)'!K37,'TUoS (t)'!K37,'JSO (t)'!K37)</f>
        <v>8.4599999999999995E-2</v>
      </c>
      <c r="L37" s="471">
        <f>SUM('DUoS (t)'!L37,'TUoS (t)'!L37,'JSO (t)'!L37)</f>
        <v>0</v>
      </c>
      <c r="M37" s="471">
        <f>SUM('DUoS (t)'!M37,'TUoS (t)'!M37,'JSO (t)'!M37)</f>
        <v>0</v>
      </c>
      <c r="N37" s="471">
        <f>SUM('DUoS (t)'!N37,'TUoS (t)'!N37,'JSO (t)'!N37)</f>
        <v>0</v>
      </c>
      <c r="O37" s="472">
        <f>SUM('DUoS (t)'!O37,'TUoS (t)'!O37,'JSO (t)'!O37)</f>
        <v>0</v>
      </c>
      <c r="P37" s="471">
        <f>SUM('DUoS (t)'!P37,'TUoS (t)'!P37,'JSO (t)'!P37)</f>
        <v>0</v>
      </c>
      <c r="Q37" s="471">
        <f>SUM('DUoS (t)'!Q37,'TUoS (t)'!Q37,'JSO (t)'!Q37)</f>
        <v>0</v>
      </c>
      <c r="R37" s="472">
        <f>SUM('DUoS (t)'!R37,'TUoS (t)'!R37,'JSO (t)'!R37)</f>
        <v>0</v>
      </c>
      <c r="S37" s="490">
        <f>SUM('DUoS (t)'!S37,'TUoS (t)'!S37,'JSO (t)'!S37)</f>
        <v>0</v>
      </c>
      <c r="T37" s="471">
        <f>SUM('DUoS (t)'!T37,'TUoS (t)'!T37,'JSO (t)'!T37)</f>
        <v>0</v>
      </c>
      <c r="U37" s="491">
        <f>SUM('DUoS (t)'!U37,'TUoS (t)'!U37,'JSO (t)'!U37)</f>
        <v>0</v>
      </c>
      <c r="V37" s="492">
        <f>SUM('DUoS (t)'!V37,'TUoS (t)'!V37,'JSO (t)'!V37)</f>
        <v>0</v>
      </c>
      <c r="X37" s="183">
        <f>'Q (t)'!G37</f>
        <v>7314600</v>
      </c>
      <c r="Y37" s="184">
        <f>'Q (t)'!H37</f>
        <v>0</v>
      </c>
      <c r="Z37" s="178">
        <f>'Q (t)'!I37</f>
        <v>32600</v>
      </c>
      <c r="AA37" s="178">
        <f>'Q (t)'!J37</f>
        <v>229600</v>
      </c>
      <c r="AB37" s="179">
        <f>'Q (t)'!K37</f>
        <v>205100</v>
      </c>
      <c r="AC37" s="178">
        <f>'Q (t)'!L37</f>
        <v>0</v>
      </c>
      <c r="AD37" s="178">
        <f>'Q (t)'!M37</f>
        <v>0</v>
      </c>
      <c r="AE37" s="178">
        <f>'Q (t)'!N37</f>
        <v>0</v>
      </c>
      <c r="AF37" s="179">
        <f>'Q (t)'!O37</f>
        <v>0</v>
      </c>
      <c r="AG37" s="178">
        <f>'Q (t)'!P37</f>
        <v>0</v>
      </c>
      <c r="AH37" s="178">
        <f>'Q (t)'!Q37</f>
        <v>0</v>
      </c>
      <c r="AI37" s="179">
        <f>'Q (t)'!R37</f>
        <v>0</v>
      </c>
      <c r="AJ37" s="184">
        <f>'Q (t)'!S37</f>
        <v>0</v>
      </c>
      <c r="AK37" s="178">
        <f>'Q (t)'!T37</f>
        <v>0</v>
      </c>
      <c r="AL37" s="184">
        <f>'Q (t)'!U37</f>
        <v>0</v>
      </c>
      <c r="AM37" s="179">
        <f>'Q (t)'!V37</f>
        <v>0</v>
      </c>
      <c r="AO37" s="183">
        <f t="shared" si="2"/>
        <v>3707.0392800000004</v>
      </c>
      <c r="AP37" s="184">
        <f t="shared" si="29"/>
        <v>0</v>
      </c>
      <c r="AQ37" s="178">
        <f t="shared" si="29"/>
        <v>7344.78</v>
      </c>
      <c r="AR37" s="178">
        <f t="shared" si="29"/>
        <v>36001.279999999999</v>
      </c>
      <c r="AS37" s="179">
        <f t="shared" si="29"/>
        <v>17351.46</v>
      </c>
      <c r="AT37" s="178">
        <f t="shared" si="29"/>
        <v>0</v>
      </c>
      <c r="AU37" s="178">
        <f t="shared" si="29"/>
        <v>0</v>
      </c>
      <c r="AV37" s="178">
        <f t="shared" si="29"/>
        <v>0</v>
      </c>
      <c r="AW37" s="179">
        <f t="shared" si="29"/>
        <v>0</v>
      </c>
      <c r="AX37" s="178">
        <f t="shared" si="1"/>
        <v>0</v>
      </c>
      <c r="AY37" s="178">
        <f t="shared" si="1"/>
        <v>0</v>
      </c>
      <c r="AZ37" s="179">
        <f t="shared" si="1"/>
        <v>0</v>
      </c>
      <c r="BA37" s="184">
        <f t="shared" si="1"/>
        <v>0</v>
      </c>
      <c r="BB37" s="178">
        <f t="shared" si="1"/>
        <v>0</v>
      </c>
      <c r="BC37" s="184">
        <f t="shared" si="1"/>
        <v>0</v>
      </c>
      <c r="BD37" s="178">
        <f t="shared" si="1"/>
        <v>0</v>
      </c>
      <c r="BE37" s="251">
        <f t="shared" si="3"/>
        <v>20040</v>
      </c>
      <c r="BF37" s="252">
        <f t="shared" si="4"/>
        <v>467300</v>
      </c>
      <c r="BH37" s="262">
        <f>SUM(AO37)</f>
        <v>3707.0392800000004</v>
      </c>
      <c r="BI37" s="262">
        <f>SUM(AP37:AS37)</f>
        <v>60697.52</v>
      </c>
      <c r="BJ37" s="262">
        <f>SUM(AT37:AW37)</f>
        <v>0</v>
      </c>
      <c r="BK37" s="263">
        <f>SUM(AX37:BB37)</f>
        <v>0</v>
      </c>
      <c r="BL37" s="269">
        <f>SUM(BC37:BD37)</f>
        <v>0</v>
      </c>
      <c r="BM37" s="264">
        <f t="shared" si="5"/>
        <v>64404.559279999994</v>
      </c>
      <c r="BO37" s="732">
        <f t="shared" si="6"/>
        <v>137.82272475925529</v>
      </c>
    </row>
    <row r="38" spans="2:67" ht="15" customHeight="1" x14ac:dyDescent="0.25">
      <c r="B38" s="156">
        <f t="shared" si="26"/>
        <v>9</v>
      </c>
      <c r="C38" s="180" t="s">
        <v>78</v>
      </c>
      <c r="D38" s="181" t="str">
        <f t="shared" si="31"/>
        <v>SBTOUD</v>
      </c>
      <c r="E38" s="200" t="s">
        <v>79</v>
      </c>
      <c r="G38" s="488">
        <f>SUM('DUoS (t)'!G38,'TUoS (t)'!G38,'JSO (t)'!G38)</f>
        <v>0.50680000000000003</v>
      </c>
      <c r="H38" s="490">
        <f>SUM('DUoS (t)'!H38,'TUoS (t)'!H38,'JSO (t)'!H38)</f>
        <v>0</v>
      </c>
      <c r="I38" s="494">
        <f>SUM('DUoS (t)'!I38,'TUoS (t)'!I38,'JSO (t)'!I38)</f>
        <v>0.18029999999999999</v>
      </c>
      <c r="J38" s="494">
        <f>SUM('DUoS (t)'!J38,'TUoS (t)'!J38,'JSO (t)'!J38)</f>
        <v>0.12540000000000001</v>
      </c>
      <c r="K38" s="495">
        <f>SUM('DUoS (t)'!K38,'TUoS (t)'!K38,'JSO (t)'!K38)</f>
        <v>6.7699999999999996E-2</v>
      </c>
      <c r="L38" s="471">
        <f>SUM('DUoS (t)'!L38,'TUoS (t)'!L38,'JSO (t)'!L38)</f>
        <v>0</v>
      </c>
      <c r="M38" s="471">
        <f>SUM('DUoS (t)'!M38,'TUoS (t)'!M38,'JSO (t)'!M38)</f>
        <v>0</v>
      </c>
      <c r="N38" s="471">
        <f>SUM('DUoS (t)'!N38,'TUoS (t)'!N38,'JSO (t)'!N38)</f>
        <v>0</v>
      </c>
      <c r="O38" s="472">
        <f>SUM('DUoS (t)'!O38,'TUoS (t)'!O38,'JSO (t)'!O38)</f>
        <v>0</v>
      </c>
      <c r="P38" s="471">
        <f>SUM('DUoS (t)'!P38,'TUoS (t)'!P38,'JSO (t)'!P38)</f>
        <v>0</v>
      </c>
      <c r="Q38" s="471">
        <f>SUM('DUoS (t)'!Q38,'TUoS (t)'!Q38,'JSO (t)'!Q38)</f>
        <v>0</v>
      </c>
      <c r="R38" s="472">
        <f>SUM('DUoS (t)'!R38,'TUoS (t)'!R38,'JSO (t)'!R38)</f>
        <v>0</v>
      </c>
      <c r="S38" s="490">
        <f>SUM('DUoS (t)'!S38,'TUoS (t)'!S38,'JSO (t)'!S38)</f>
        <v>0</v>
      </c>
      <c r="T38" s="494">
        <f>SUM('DUoS (t)'!T38,'TUoS (t)'!T38,'JSO (t)'!T38)</f>
        <v>8.14E-2</v>
      </c>
      <c r="U38" s="491">
        <f>SUM('DUoS (t)'!U38,'TUoS (t)'!U38,'JSO (t)'!U38)</f>
        <v>0</v>
      </c>
      <c r="V38" s="492">
        <f>SUM('DUoS (t)'!V38,'TUoS (t)'!V38,'JSO (t)'!V38)</f>
        <v>0</v>
      </c>
      <c r="X38" s="183">
        <f>'Q (t)'!G38</f>
        <v>533265</v>
      </c>
      <c r="Y38" s="184">
        <f>'Q (t)'!H38</f>
        <v>0</v>
      </c>
      <c r="Z38" s="178">
        <f>'Q (t)'!I38</f>
        <v>4400</v>
      </c>
      <c r="AA38" s="178">
        <f>'Q (t)'!J38</f>
        <v>38000</v>
      </c>
      <c r="AB38" s="179">
        <f>'Q (t)'!K38</f>
        <v>25700</v>
      </c>
      <c r="AC38" s="178">
        <f>'Q (t)'!L38</f>
        <v>0</v>
      </c>
      <c r="AD38" s="178">
        <f>'Q (t)'!M38</f>
        <v>0</v>
      </c>
      <c r="AE38" s="178">
        <f>'Q (t)'!N38</f>
        <v>0</v>
      </c>
      <c r="AF38" s="179">
        <f>'Q (t)'!O38</f>
        <v>0</v>
      </c>
      <c r="AG38" s="178">
        <f>'Q (t)'!P38</f>
        <v>0</v>
      </c>
      <c r="AH38" s="178">
        <f>'Q (t)'!Q38</f>
        <v>0</v>
      </c>
      <c r="AI38" s="179">
        <f>'Q (t)'!R38</f>
        <v>0</v>
      </c>
      <c r="AJ38" s="184">
        <f>'Q (t)'!S38</f>
        <v>0</v>
      </c>
      <c r="AK38" s="178">
        <f>'Q (t)'!T38</f>
        <v>26073045</v>
      </c>
      <c r="AL38" s="184">
        <f>'Q (t)'!U38</f>
        <v>0</v>
      </c>
      <c r="AM38" s="179">
        <f>'Q (t)'!V38</f>
        <v>0</v>
      </c>
      <c r="AO38" s="183">
        <f t="shared" si="2"/>
        <v>270.25870199999997</v>
      </c>
      <c r="AP38" s="184">
        <f t="shared" si="29"/>
        <v>0</v>
      </c>
      <c r="AQ38" s="178">
        <f t="shared" si="29"/>
        <v>793.31999999999994</v>
      </c>
      <c r="AR38" s="178">
        <f t="shared" si="29"/>
        <v>4765.2000000000007</v>
      </c>
      <c r="AS38" s="179">
        <f t="shared" si="29"/>
        <v>1739.8899999999999</v>
      </c>
      <c r="AT38" s="178">
        <f t="shared" si="29"/>
        <v>0</v>
      </c>
      <c r="AU38" s="178">
        <f t="shared" si="29"/>
        <v>0</v>
      </c>
      <c r="AV38" s="178">
        <f t="shared" si="29"/>
        <v>0</v>
      </c>
      <c r="AW38" s="179">
        <f t="shared" si="29"/>
        <v>0</v>
      </c>
      <c r="AX38" s="178">
        <f t="shared" si="1"/>
        <v>0</v>
      </c>
      <c r="AY38" s="178">
        <f t="shared" si="1"/>
        <v>0</v>
      </c>
      <c r="AZ38" s="179">
        <f t="shared" si="1"/>
        <v>0</v>
      </c>
      <c r="BA38" s="184">
        <f t="shared" si="1"/>
        <v>0</v>
      </c>
      <c r="BB38" s="178">
        <f t="shared" si="1"/>
        <v>2122.345863</v>
      </c>
      <c r="BC38" s="184">
        <f t="shared" si="1"/>
        <v>0</v>
      </c>
      <c r="BD38" s="178">
        <f t="shared" si="1"/>
        <v>0</v>
      </c>
      <c r="BE38" s="251">
        <f t="shared" si="3"/>
        <v>1461</v>
      </c>
      <c r="BF38" s="252">
        <f t="shared" si="4"/>
        <v>68100</v>
      </c>
      <c r="BH38" s="262">
        <f>SUM(AO38)</f>
        <v>270.25870199999997</v>
      </c>
      <c r="BI38" s="262">
        <f>SUM(AP38:AS38)</f>
        <v>7298.41</v>
      </c>
      <c r="BJ38" s="262">
        <f>SUM(AT38:AW38)</f>
        <v>0</v>
      </c>
      <c r="BK38" s="263">
        <f>SUM(AX38:BB38)</f>
        <v>2122.345863</v>
      </c>
      <c r="BL38" s="269">
        <f>SUM(BC38:BD38)</f>
        <v>0</v>
      </c>
      <c r="BM38" s="264">
        <f t="shared" si="5"/>
        <v>9691.0145649999995</v>
      </c>
      <c r="BO38" s="732">
        <f t="shared" si="6"/>
        <v>142.30564706314243</v>
      </c>
    </row>
    <row r="39" spans="2:67" ht="15" customHeight="1" x14ac:dyDescent="0.25">
      <c r="B39" s="162">
        <f t="shared" si="26"/>
        <v>10</v>
      </c>
      <c r="C39" s="187" t="s">
        <v>80</v>
      </c>
      <c r="D39" s="188" t="str">
        <f t="shared" si="31"/>
        <v>SBD</v>
      </c>
      <c r="E39" s="203" t="s">
        <v>81</v>
      </c>
      <c r="G39" s="496">
        <f>SUM('DUoS (t)'!G39,'TUoS (t)'!G39,'JSO (t)'!G39)</f>
        <v>2.7808000000000002</v>
      </c>
      <c r="H39" s="497">
        <f>SUM('DUoS (t)'!H39,'TUoS (t)'!H39,'JSO (t)'!H39)</f>
        <v>7.8899999999999998E-2</v>
      </c>
      <c r="I39" s="498">
        <f>SUM('DUoS (t)'!I39,'TUoS (t)'!I39,'JSO (t)'!I39)</f>
        <v>0</v>
      </c>
      <c r="J39" s="498">
        <f>SUM('DUoS (t)'!J39,'TUoS (t)'!J39,'JSO (t)'!J39)</f>
        <v>0</v>
      </c>
      <c r="K39" s="499">
        <f>SUM('DUoS (t)'!K39,'TUoS (t)'!K39,'JSO (t)'!K39)</f>
        <v>0</v>
      </c>
      <c r="L39" s="498">
        <f>SUM('DUoS (t)'!L39,'TUoS (t)'!L39,'JSO (t)'!L39)</f>
        <v>0</v>
      </c>
      <c r="M39" s="498">
        <f>SUM('DUoS (t)'!M39,'TUoS (t)'!M39,'JSO (t)'!M39)</f>
        <v>0</v>
      </c>
      <c r="N39" s="498">
        <f>SUM('DUoS (t)'!N39,'TUoS (t)'!N39,'JSO (t)'!N39)</f>
        <v>0</v>
      </c>
      <c r="O39" s="499">
        <f>SUM('DUoS (t)'!O39,'TUoS (t)'!O39,'JSO (t)'!O39)</f>
        <v>0</v>
      </c>
      <c r="P39" s="498">
        <f>SUM('DUoS (t)'!P39,'TUoS (t)'!P39,'JSO (t)'!P39)</f>
        <v>0</v>
      </c>
      <c r="Q39" s="500">
        <f>SUM('DUoS (t)'!Q39,'TUoS (t)'!Q39,'JSO (t)'!Q39)</f>
        <v>0.3962</v>
      </c>
      <c r="R39" s="501">
        <f>SUM('DUoS (t)'!R39,'TUoS (t)'!R39,'JSO (t)'!R39)</f>
        <v>0.19600000000000001</v>
      </c>
      <c r="S39" s="502">
        <f>SUM('DUoS (t)'!S39,'TUoS (t)'!S39,'JSO (t)'!S39)</f>
        <v>0</v>
      </c>
      <c r="T39" s="498">
        <f>SUM('DUoS (t)'!T39,'TUoS (t)'!T39,'JSO (t)'!T39)</f>
        <v>0</v>
      </c>
      <c r="U39" s="503">
        <f>SUM('DUoS (t)'!U39,'TUoS (t)'!U39,'JSO (t)'!U39)</f>
        <v>0</v>
      </c>
      <c r="V39" s="504">
        <f>SUM('DUoS (t)'!V39,'TUoS (t)'!V39,'JSO (t)'!V39)</f>
        <v>0</v>
      </c>
      <c r="X39" s="190">
        <f>'Q (t)'!G39</f>
        <v>406975</v>
      </c>
      <c r="Y39" s="197">
        <f>'Q (t)'!H39</f>
        <v>29200</v>
      </c>
      <c r="Z39" s="192">
        <f>'Q (t)'!I39</f>
        <v>0</v>
      </c>
      <c r="AA39" s="192">
        <f>'Q (t)'!J39</f>
        <v>0</v>
      </c>
      <c r="AB39" s="193">
        <f>'Q (t)'!K39</f>
        <v>0</v>
      </c>
      <c r="AC39" s="192">
        <f>'Q (t)'!L39</f>
        <v>0</v>
      </c>
      <c r="AD39" s="192">
        <f>'Q (t)'!M39</f>
        <v>0</v>
      </c>
      <c r="AE39" s="192">
        <f>'Q (t)'!N39</f>
        <v>0</v>
      </c>
      <c r="AF39" s="193">
        <f>'Q (t)'!O39</f>
        <v>0</v>
      </c>
      <c r="AG39" s="192">
        <f>'Q (t)'!P39</f>
        <v>0</v>
      </c>
      <c r="AH39" s="192">
        <f>'Q (t)'!Q39</f>
        <v>1825137</v>
      </c>
      <c r="AI39" s="193">
        <f>'Q (t)'!R39</f>
        <v>4632215</v>
      </c>
      <c r="AJ39" s="197">
        <f>'Q (t)'!S39</f>
        <v>0</v>
      </c>
      <c r="AK39" s="192">
        <f>'Q (t)'!T39</f>
        <v>0</v>
      </c>
      <c r="AL39" s="197">
        <f>'Q (t)'!U39</f>
        <v>0</v>
      </c>
      <c r="AM39" s="193">
        <f>'Q (t)'!V39</f>
        <v>0</v>
      </c>
      <c r="AO39" s="190">
        <f t="shared" si="2"/>
        <v>1131.7160800000001</v>
      </c>
      <c r="AP39" s="197">
        <f t="shared" si="29"/>
        <v>2303.88</v>
      </c>
      <c r="AQ39" s="192">
        <f t="shared" si="29"/>
        <v>0</v>
      </c>
      <c r="AR39" s="192">
        <f t="shared" si="29"/>
        <v>0</v>
      </c>
      <c r="AS39" s="193">
        <f t="shared" si="29"/>
        <v>0</v>
      </c>
      <c r="AT39" s="192">
        <f t="shared" si="29"/>
        <v>0</v>
      </c>
      <c r="AU39" s="192">
        <f t="shared" si="29"/>
        <v>0</v>
      </c>
      <c r="AV39" s="192">
        <f t="shared" si="29"/>
        <v>0</v>
      </c>
      <c r="AW39" s="193">
        <f t="shared" si="29"/>
        <v>0</v>
      </c>
      <c r="AX39" s="192">
        <f t="shared" si="1"/>
        <v>0</v>
      </c>
      <c r="AY39" s="192">
        <f t="shared" si="1"/>
        <v>723.11927939999998</v>
      </c>
      <c r="AZ39" s="193">
        <f t="shared" si="1"/>
        <v>907.91413999999997</v>
      </c>
      <c r="BA39" s="197">
        <f t="shared" si="1"/>
        <v>0</v>
      </c>
      <c r="BB39" s="192">
        <f t="shared" si="1"/>
        <v>0</v>
      </c>
      <c r="BC39" s="197">
        <f t="shared" si="1"/>
        <v>0</v>
      </c>
      <c r="BD39" s="192">
        <f t="shared" si="1"/>
        <v>0</v>
      </c>
      <c r="BE39" s="253">
        <f t="shared" si="3"/>
        <v>1115</v>
      </c>
      <c r="BF39" s="254">
        <f t="shared" si="4"/>
        <v>29200</v>
      </c>
      <c r="BH39" s="262">
        <f>SUM(AO39)</f>
        <v>1131.7160800000001</v>
      </c>
      <c r="BI39" s="262">
        <f>SUM(AP39:AS39)</f>
        <v>2303.88</v>
      </c>
      <c r="BJ39" s="262">
        <f>SUM(AT39:AW39)</f>
        <v>0</v>
      </c>
      <c r="BK39" s="263">
        <f>SUM(AX39:BB39)</f>
        <v>1631.0334194</v>
      </c>
      <c r="BL39" s="269">
        <f>SUM(BC39:BD39)</f>
        <v>0</v>
      </c>
      <c r="BM39" s="264">
        <f t="shared" si="5"/>
        <v>5066.6294994</v>
      </c>
      <c r="BO39" s="732">
        <f t="shared" si="6"/>
        <v>173.51470888356164</v>
      </c>
    </row>
    <row r="40" spans="2:67" ht="15" customHeight="1" x14ac:dyDescent="0.25">
      <c r="B40" s="167" t="s">
        <v>82</v>
      </c>
      <c r="C40" s="151" t="s">
        <v>83</v>
      </c>
      <c r="D40" s="151"/>
      <c r="E40" s="204"/>
      <c r="G40" s="505">
        <f>SUM('DUoS (t)'!G40,'TUoS (t)'!G40,'JSO (t)'!G40)</f>
        <v>0</v>
      </c>
      <c r="H40" s="506">
        <f>SUM('DUoS (t)'!H40,'TUoS (t)'!H40,'JSO (t)'!H40)</f>
        <v>0</v>
      </c>
      <c r="I40" s="507">
        <f>SUM('DUoS (t)'!I40,'TUoS (t)'!I40,'JSO (t)'!I40)</f>
        <v>0</v>
      </c>
      <c r="J40" s="507">
        <f>SUM('DUoS (t)'!J40,'TUoS (t)'!J40,'JSO (t)'!J40)</f>
        <v>0</v>
      </c>
      <c r="K40" s="508">
        <f>SUM('DUoS (t)'!K40,'TUoS (t)'!K40,'JSO (t)'!K40)</f>
        <v>0</v>
      </c>
      <c r="L40" s="507">
        <f>SUM('DUoS (t)'!L40,'TUoS (t)'!L40,'JSO (t)'!L40)</f>
        <v>0</v>
      </c>
      <c r="M40" s="507">
        <f>SUM('DUoS (t)'!M40,'TUoS (t)'!M40,'JSO (t)'!M40)</f>
        <v>0</v>
      </c>
      <c r="N40" s="507">
        <f>SUM('DUoS (t)'!N40,'TUoS (t)'!N40,'JSO (t)'!N40)</f>
        <v>0</v>
      </c>
      <c r="O40" s="508">
        <f>SUM('DUoS (t)'!O40,'TUoS (t)'!O40,'JSO (t)'!O40)</f>
        <v>0</v>
      </c>
      <c r="P40" s="507">
        <f>SUM('DUoS (t)'!P40,'TUoS (t)'!P40,'JSO (t)'!P40)</f>
        <v>0</v>
      </c>
      <c r="Q40" s="507">
        <f>SUM('DUoS (t)'!Q40,'TUoS (t)'!Q40,'JSO (t)'!Q40)</f>
        <v>0</v>
      </c>
      <c r="R40" s="508">
        <f>SUM('DUoS (t)'!R40,'TUoS (t)'!R40,'JSO (t)'!R40)</f>
        <v>0</v>
      </c>
      <c r="S40" s="506">
        <f>SUM('DUoS (t)'!S40,'TUoS (t)'!S40,'JSO (t)'!S40)</f>
        <v>0</v>
      </c>
      <c r="T40" s="507">
        <f>SUM('DUoS (t)'!T40,'TUoS (t)'!T40,'JSO (t)'!T40)</f>
        <v>0</v>
      </c>
      <c r="U40" s="506">
        <f>SUM('DUoS (t)'!U40,'TUoS (t)'!U40,'JSO (t)'!U40)</f>
        <v>0</v>
      </c>
      <c r="V40" s="508">
        <f>SUM('DUoS (t)'!V40,'TUoS (t)'!V40,'JSO (t)'!V40)</f>
        <v>0</v>
      </c>
      <c r="X40" s="205">
        <f>'Q (t)'!G40</f>
        <v>0</v>
      </c>
      <c r="Y40" s="206">
        <f>'Q (t)'!H40</f>
        <v>0</v>
      </c>
      <c r="Z40" s="207">
        <f>'Q (t)'!I40</f>
        <v>0</v>
      </c>
      <c r="AA40" s="207">
        <f>'Q (t)'!J40</f>
        <v>0</v>
      </c>
      <c r="AB40" s="208">
        <f>'Q (t)'!K40</f>
        <v>0</v>
      </c>
      <c r="AC40" s="207">
        <f>'Q (t)'!L40</f>
        <v>0</v>
      </c>
      <c r="AD40" s="207">
        <f>'Q (t)'!M40</f>
        <v>0</v>
      </c>
      <c r="AE40" s="207">
        <f>'Q (t)'!N40</f>
        <v>0</v>
      </c>
      <c r="AF40" s="208">
        <f>'Q (t)'!O40</f>
        <v>0</v>
      </c>
      <c r="AG40" s="207">
        <f>'Q (t)'!P40</f>
        <v>0</v>
      </c>
      <c r="AH40" s="207">
        <f>'Q (t)'!Q40</f>
        <v>0</v>
      </c>
      <c r="AI40" s="208">
        <f>'Q (t)'!R40</f>
        <v>0</v>
      </c>
      <c r="AJ40" s="206">
        <f>'Q (t)'!S40</f>
        <v>0</v>
      </c>
      <c r="AK40" s="207">
        <f>'Q (t)'!T40</f>
        <v>0</v>
      </c>
      <c r="AL40" s="206">
        <f>'Q (t)'!U40</f>
        <v>0</v>
      </c>
      <c r="AM40" s="208">
        <f>'Q (t)'!V40</f>
        <v>0</v>
      </c>
      <c r="AO40" s="205">
        <f t="shared" si="2"/>
        <v>0</v>
      </c>
      <c r="AP40" s="206">
        <f t="shared" si="29"/>
        <v>0</v>
      </c>
      <c r="AQ40" s="207">
        <f t="shared" si="29"/>
        <v>0</v>
      </c>
      <c r="AR40" s="207">
        <f t="shared" si="29"/>
        <v>0</v>
      </c>
      <c r="AS40" s="208">
        <f t="shared" si="29"/>
        <v>0</v>
      </c>
      <c r="AT40" s="207">
        <f t="shared" si="29"/>
        <v>0</v>
      </c>
      <c r="AU40" s="207">
        <f t="shared" si="29"/>
        <v>0</v>
      </c>
      <c r="AV40" s="207">
        <f t="shared" si="29"/>
        <v>0</v>
      </c>
      <c r="AW40" s="208">
        <f t="shared" si="29"/>
        <v>0</v>
      </c>
      <c r="AX40" s="207">
        <f t="shared" si="1"/>
        <v>0</v>
      </c>
      <c r="AY40" s="207">
        <f t="shared" si="1"/>
        <v>0</v>
      </c>
      <c r="AZ40" s="208">
        <f t="shared" si="1"/>
        <v>0</v>
      </c>
      <c r="BA40" s="206">
        <f t="shared" si="1"/>
        <v>0</v>
      </c>
      <c r="BB40" s="207">
        <f t="shared" si="1"/>
        <v>0</v>
      </c>
      <c r="BC40" s="206">
        <f t="shared" si="1"/>
        <v>0</v>
      </c>
      <c r="BD40" s="207">
        <f t="shared" si="1"/>
        <v>0</v>
      </c>
      <c r="BE40" s="249">
        <f t="shared" si="3"/>
        <v>0</v>
      </c>
      <c r="BF40" s="250">
        <f t="shared" si="4"/>
        <v>0</v>
      </c>
      <c r="BH40" s="260">
        <f>SUBTOTAL(9,BH41:BH67)</f>
        <v>10552.279281499999</v>
      </c>
      <c r="BI40" s="260">
        <f>SUBTOTAL(9,BI41:BI67)</f>
        <v>150580.71000000002</v>
      </c>
      <c r="BJ40" s="260">
        <f>SUBTOTAL(9,BJ41:BJ67)</f>
        <v>0</v>
      </c>
      <c r="BK40" s="260">
        <f>SUBTOTAL(9,BK41:BK67)</f>
        <v>105402.84607389999</v>
      </c>
      <c r="BL40" s="260">
        <f>SUBTOTAL(9,BL41:BL67)</f>
        <v>0</v>
      </c>
      <c r="BM40" s="264">
        <f t="shared" si="5"/>
        <v>266535.83535539999</v>
      </c>
      <c r="BO40" s="732" t="str">
        <f t="shared" si="6"/>
        <v/>
      </c>
    </row>
    <row r="41" spans="2:67" ht="15" customHeight="1" x14ac:dyDescent="0.25">
      <c r="B41" s="156"/>
      <c r="C41" s="126" t="s">
        <v>84</v>
      </c>
      <c r="D41" s="173"/>
      <c r="E41" s="202"/>
      <c r="G41" s="493">
        <f>SUM('DUoS (t)'!G41,'TUoS (t)'!G41,'JSO (t)'!G41)</f>
        <v>0</v>
      </c>
      <c r="H41" s="490">
        <f>SUM('DUoS (t)'!H41,'TUoS (t)'!H41,'JSO (t)'!H41)</f>
        <v>0</v>
      </c>
      <c r="I41" s="471">
        <f>SUM('DUoS (t)'!I41,'TUoS (t)'!I41,'JSO (t)'!I41)</f>
        <v>0</v>
      </c>
      <c r="J41" s="471">
        <f>SUM('DUoS (t)'!J41,'TUoS (t)'!J41,'JSO (t)'!J41)</f>
        <v>0</v>
      </c>
      <c r="K41" s="472">
        <f>SUM('DUoS (t)'!K41,'TUoS (t)'!K41,'JSO (t)'!K41)</f>
        <v>0</v>
      </c>
      <c r="L41" s="471">
        <f>SUM('DUoS (t)'!L41,'TUoS (t)'!L41,'JSO (t)'!L41)</f>
        <v>0</v>
      </c>
      <c r="M41" s="471">
        <f>SUM('DUoS (t)'!M41,'TUoS (t)'!M41,'JSO (t)'!M41)</f>
        <v>0</v>
      </c>
      <c r="N41" s="471">
        <f>SUM('DUoS (t)'!N41,'TUoS (t)'!N41,'JSO (t)'!N41)</f>
        <v>0</v>
      </c>
      <c r="O41" s="472">
        <f>SUM('DUoS (t)'!O41,'TUoS (t)'!O41,'JSO (t)'!O41)</f>
        <v>0</v>
      </c>
      <c r="P41" s="471">
        <f>SUM('DUoS (t)'!P41,'TUoS (t)'!P41,'JSO (t)'!P41)</f>
        <v>0</v>
      </c>
      <c r="Q41" s="471">
        <f>SUM('DUoS (t)'!Q41,'TUoS (t)'!Q41,'JSO (t)'!Q41)</f>
        <v>0</v>
      </c>
      <c r="R41" s="472">
        <f>SUM('DUoS (t)'!R41,'TUoS (t)'!R41,'JSO (t)'!R41)</f>
        <v>0</v>
      </c>
      <c r="S41" s="490">
        <f>SUM('DUoS (t)'!S41,'TUoS (t)'!S41,'JSO (t)'!S41)</f>
        <v>0</v>
      </c>
      <c r="T41" s="471">
        <f>SUM('DUoS (t)'!T41,'TUoS (t)'!T41,'JSO (t)'!T41)</f>
        <v>0</v>
      </c>
      <c r="U41" s="490">
        <f>SUM('DUoS (t)'!U41,'TUoS (t)'!U41,'JSO (t)'!U41)</f>
        <v>0</v>
      </c>
      <c r="V41" s="472">
        <f>SUM('DUoS (t)'!V41,'TUoS (t)'!V41,'JSO (t)'!V41)</f>
        <v>0</v>
      </c>
      <c r="X41" s="183">
        <f>'Q (t)'!G41</f>
        <v>0</v>
      </c>
      <c r="Y41" s="184">
        <f>'Q (t)'!H41</f>
        <v>0</v>
      </c>
      <c r="Z41" s="178">
        <f>'Q (t)'!I41</f>
        <v>0</v>
      </c>
      <c r="AA41" s="178">
        <f>'Q (t)'!J41</f>
        <v>0</v>
      </c>
      <c r="AB41" s="179">
        <f>'Q (t)'!K41</f>
        <v>0</v>
      </c>
      <c r="AC41" s="178">
        <f>'Q (t)'!L41</f>
        <v>0</v>
      </c>
      <c r="AD41" s="178">
        <f>'Q (t)'!M41</f>
        <v>0</v>
      </c>
      <c r="AE41" s="178">
        <f>'Q (t)'!N41</f>
        <v>0</v>
      </c>
      <c r="AF41" s="179">
        <f>'Q (t)'!O41</f>
        <v>0</v>
      </c>
      <c r="AG41" s="178">
        <f>'Q (t)'!P41</f>
        <v>0</v>
      </c>
      <c r="AH41" s="178">
        <f>'Q (t)'!Q41</f>
        <v>0</v>
      </c>
      <c r="AI41" s="179">
        <f>'Q (t)'!R41</f>
        <v>0</v>
      </c>
      <c r="AJ41" s="184">
        <f>'Q (t)'!S41</f>
        <v>0</v>
      </c>
      <c r="AK41" s="178">
        <f>'Q (t)'!T41</f>
        <v>0</v>
      </c>
      <c r="AL41" s="184">
        <f>'Q (t)'!U41</f>
        <v>0</v>
      </c>
      <c r="AM41" s="179">
        <f>'Q (t)'!V41</f>
        <v>0</v>
      </c>
      <c r="AO41" s="183">
        <f t="shared" si="2"/>
        <v>0</v>
      </c>
      <c r="AP41" s="184">
        <f t="shared" si="29"/>
        <v>0</v>
      </c>
      <c r="AQ41" s="178">
        <f t="shared" si="29"/>
        <v>0</v>
      </c>
      <c r="AR41" s="178">
        <f t="shared" si="29"/>
        <v>0</v>
      </c>
      <c r="AS41" s="179">
        <f t="shared" si="29"/>
        <v>0</v>
      </c>
      <c r="AT41" s="178">
        <f t="shared" si="29"/>
        <v>0</v>
      </c>
      <c r="AU41" s="178">
        <f t="shared" si="29"/>
        <v>0</v>
      </c>
      <c r="AV41" s="178">
        <f t="shared" si="29"/>
        <v>0</v>
      </c>
      <c r="AW41" s="179">
        <f t="shared" si="29"/>
        <v>0</v>
      </c>
      <c r="AX41" s="178">
        <f t="shared" si="1"/>
        <v>0</v>
      </c>
      <c r="AY41" s="178">
        <f t="shared" si="1"/>
        <v>0</v>
      </c>
      <c r="AZ41" s="179">
        <f t="shared" si="1"/>
        <v>0</v>
      </c>
      <c r="BA41" s="184">
        <f t="shared" si="1"/>
        <v>0</v>
      </c>
      <c r="BB41" s="178">
        <f t="shared" si="1"/>
        <v>0</v>
      </c>
      <c r="BC41" s="184">
        <f t="shared" si="1"/>
        <v>0</v>
      </c>
      <c r="BD41" s="178">
        <f t="shared" si="1"/>
        <v>0</v>
      </c>
      <c r="BE41" s="251">
        <f t="shared" si="3"/>
        <v>0</v>
      </c>
      <c r="BF41" s="252">
        <f t="shared" si="4"/>
        <v>0</v>
      </c>
      <c r="BH41" s="259">
        <f>SUBTOTAL(9,BH42:BH45)</f>
        <v>0.30408000000000002</v>
      </c>
      <c r="BI41" s="259">
        <f t="shared" ref="BI41:BL41" si="32">SUBTOTAL(9,BI42:BI45)</f>
        <v>48.51</v>
      </c>
      <c r="BJ41" s="259">
        <f t="shared" si="32"/>
        <v>0</v>
      </c>
      <c r="BK41" s="259">
        <f t="shared" si="32"/>
        <v>0</v>
      </c>
      <c r="BL41" s="259">
        <f t="shared" si="32"/>
        <v>0</v>
      </c>
      <c r="BM41" s="264">
        <f t="shared" si="5"/>
        <v>48.814079999999997</v>
      </c>
      <c r="BO41" s="732" t="str">
        <f t="shared" si="6"/>
        <v/>
      </c>
    </row>
    <row r="42" spans="2:67" ht="15" customHeight="1" x14ac:dyDescent="0.25">
      <c r="B42" s="156">
        <f t="shared" si="26"/>
        <v>1</v>
      </c>
      <c r="C42" s="180" t="s">
        <v>85</v>
      </c>
      <c r="D42" s="181" t="str">
        <f t="shared" ref="D42:D45" si="33">C42</f>
        <v>LBSR</v>
      </c>
      <c r="E42" s="200" t="s">
        <v>86</v>
      </c>
      <c r="G42" s="488">
        <f>SUM('DUoS (t)'!G42,'TUoS (t)'!G42,'JSO (t)'!G42)</f>
        <v>0.50680000000000003</v>
      </c>
      <c r="H42" s="489">
        <f>SUM('DUoS (t)'!H42,'TUoS (t)'!H42,'JSO (t)'!H42)</f>
        <v>0.18029999999999999</v>
      </c>
      <c r="I42" s="471">
        <f>SUM('DUoS (t)'!I42,'TUoS (t)'!I42,'JSO (t)'!I42)</f>
        <v>0</v>
      </c>
      <c r="J42" s="471">
        <f>SUM('DUoS (t)'!J42,'TUoS (t)'!J42,'JSO (t)'!J42)</f>
        <v>0</v>
      </c>
      <c r="K42" s="472">
        <f>SUM('DUoS (t)'!K42,'TUoS (t)'!K42,'JSO (t)'!K42)</f>
        <v>0</v>
      </c>
      <c r="L42" s="471">
        <f>SUM('DUoS (t)'!L42,'TUoS (t)'!L42,'JSO (t)'!L42)</f>
        <v>0</v>
      </c>
      <c r="M42" s="471">
        <f>SUM('DUoS (t)'!M42,'TUoS (t)'!M42,'JSO (t)'!M42)</f>
        <v>0</v>
      </c>
      <c r="N42" s="471">
        <f>SUM('DUoS (t)'!N42,'TUoS (t)'!N42,'JSO (t)'!N42)</f>
        <v>0</v>
      </c>
      <c r="O42" s="472">
        <f>SUM('DUoS (t)'!O42,'TUoS (t)'!O42,'JSO (t)'!O42)</f>
        <v>0</v>
      </c>
      <c r="P42" s="471">
        <f>SUM('DUoS (t)'!P42,'TUoS (t)'!P42,'JSO (t)'!P42)</f>
        <v>0</v>
      </c>
      <c r="Q42" s="471">
        <f>SUM('DUoS (t)'!Q42,'TUoS (t)'!Q42,'JSO (t)'!Q42)</f>
        <v>0</v>
      </c>
      <c r="R42" s="472">
        <f>SUM('DUoS (t)'!R42,'TUoS (t)'!R42,'JSO (t)'!R42)</f>
        <v>0</v>
      </c>
      <c r="S42" s="490">
        <f>SUM('DUoS (t)'!S42,'TUoS (t)'!S42,'JSO (t)'!S42)</f>
        <v>0</v>
      </c>
      <c r="T42" s="471">
        <f>SUM('DUoS (t)'!T42,'TUoS (t)'!T42,'JSO (t)'!T42)</f>
        <v>0</v>
      </c>
      <c r="U42" s="491">
        <f>SUM('DUoS (t)'!U42,'TUoS (t)'!U42,'JSO (t)'!U42)</f>
        <v>0</v>
      </c>
      <c r="V42" s="492">
        <f>SUM('DUoS (t)'!V42,'TUoS (t)'!V42,'JSO (t)'!V42)</f>
        <v>0</v>
      </c>
      <c r="X42" s="183">
        <f>'Q (t)'!G42</f>
        <v>200</v>
      </c>
      <c r="Y42" s="184">
        <f>'Q (t)'!H42</f>
        <v>100</v>
      </c>
      <c r="Z42" s="178">
        <f>'Q (t)'!I42</f>
        <v>0</v>
      </c>
      <c r="AA42" s="178">
        <f>'Q (t)'!J42</f>
        <v>0</v>
      </c>
      <c r="AB42" s="179">
        <f>'Q (t)'!K42</f>
        <v>0</v>
      </c>
      <c r="AC42" s="178">
        <f>'Q (t)'!L42</f>
        <v>0</v>
      </c>
      <c r="AD42" s="178">
        <f>'Q (t)'!M42</f>
        <v>0</v>
      </c>
      <c r="AE42" s="178">
        <f>'Q (t)'!N42</f>
        <v>0</v>
      </c>
      <c r="AF42" s="179">
        <f>'Q (t)'!O42</f>
        <v>0</v>
      </c>
      <c r="AG42" s="178">
        <f>'Q (t)'!P42</f>
        <v>0</v>
      </c>
      <c r="AH42" s="178">
        <f>'Q (t)'!Q42</f>
        <v>0</v>
      </c>
      <c r="AI42" s="179">
        <f>'Q (t)'!R42</f>
        <v>0</v>
      </c>
      <c r="AJ42" s="184">
        <f>'Q (t)'!S42</f>
        <v>0</v>
      </c>
      <c r="AK42" s="178">
        <f>'Q (t)'!T42</f>
        <v>0</v>
      </c>
      <c r="AL42" s="184">
        <f>'Q (t)'!U42</f>
        <v>0</v>
      </c>
      <c r="AM42" s="179">
        <f>'Q (t)'!V42</f>
        <v>0</v>
      </c>
      <c r="AO42" s="183">
        <f t="shared" si="2"/>
        <v>0.10136000000000001</v>
      </c>
      <c r="AP42" s="184">
        <f t="shared" si="29"/>
        <v>18.029999999999998</v>
      </c>
      <c r="AQ42" s="178">
        <f t="shared" si="29"/>
        <v>0</v>
      </c>
      <c r="AR42" s="178">
        <f t="shared" si="29"/>
        <v>0</v>
      </c>
      <c r="AS42" s="179">
        <f t="shared" si="29"/>
        <v>0</v>
      </c>
      <c r="AT42" s="178">
        <f t="shared" si="29"/>
        <v>0</v>
      </c>
      <c r="AU42" s="178">
        <f t="shared" si="29"/>
        <v>0</v>
      </c>
      <c r="AV42" s="178">
        <f t="shared" si="29"/>
        <v>0</v>
      </c>
      <c r="AW42" s="179">
        <f t="shared" si="29"/>
        <v>0</v>
      </c>
      <c r="AX42" s="178">
        <f t="shared" si="1"/>
        <v>0</v>
      </c>
      <c r="AY42" s="178">
        <f t="shared" si="1"/>
        <v>0</v>
      </c>
      <c r="AZ42" s="179">
        <f t="shared" si="1"/>
        <v>0</v>
      </c>
      <c r="BA42" s="184">
        <f t="shared" si="1"/>
        <v>0</v>
      </c>
      <c r="BB42" s="178">
        <f t="shared" si="1"/>
        <v>0</v>
      </c>
      <c r="BC42" s="184">
        <f t="shared" si="1"/>
        <v>0</v>
      </c>
      <c r="BD42" s="178">
        <f t="shared" si="1"/>
        <v>0</v>
      </c>
      <c r="BE42" s="251">
        <f t="shared" si="3"/>
        <v>0.54794520547945202</v>
      </c>
      <c r="BF42" s="252">
        <f t="shared" si="4"/>
        <v>100</v>
      </c>
      <c r="BH42" s="262">
        <f>SUM(AO42)</f>
        <v>0.10136000000000001</v>
      </c>
      <c r="BI42" s="262">
        <f>SUM(AP42:AS42)</f>
        <v>18.029999999999998</v>
      </c>
      <c r="BJ42" s="262">
        <f>SUM(AT42:AW42)</f>
        <v>0</v>
      </c>
      <c r="BK42" s="263">
        <f>SUM(AX42:BB42)</f>
        <v>0</v>
      </c>
      <c r="BL42" s="269">
        <f>SUM(BC42:BD42)</f>
        <v>0</v>
      </c>
      <c r="BM42" s="264">
        <f t="shared" si="5"/>
        <v>18.131359999999997</v>
      </c>
      <c r="BO42" s="732">
        <f t="shared" si="6"/>
        <v>181.31359999999998</v>
      </c>
    </row>
    <row r="43" spans="2:67" ht="15" customHeight="1" x14ac:dyDescent="0.25">
      <c r="B43" s="156">
        <f t="shared" si="26"/>
        <v>2</v>
      </c>
      <c r="C43" s="180" t="s">
        <v>87</v>
      </c>
      <c r="D43" s="181" t="str">
        <f t="shared" si="33"/>
        <v>LBSRCL</v>
      </c>
      <c r="E43" s="200" t="s">
        <v>88</v>
      </c>
      <c r="G43" s="488">
        <f>SUM('DUoS (t)'!G43,'TUoS (t)'!G43,'JSO (t)'!G43)</f>
        <v>0.50680000000000003</v>
      </c>
      <c r="H43" s="489">
        <f>SUM('DUoS (t)'!H43,'TUoS (t)'!H43,'JSO (t)'!H43)</f>
        <v>0.18029999999999999</v>
      </c>
      <c r="I43" s="471">
        <f>SUM('DUoS (t)'!I43,'TUoS (t)'!I43,'JSO (t)'!I43)</f>
        <v>0</v>
      </c>
      <c r="J43" s="471">
        <f>SUM('DUoS (t)'!J43,'TUoS (t)'!J43,'JSO (t)'!J43)</f>
        <v>0</v>
      </c>
      <c r="K43" s="472">
        <f>SUM('DUoS (t)'!K43,'TUoS (t)'!K43,'JSO (t)'!K43)</f>
        <v>0</v>
      </c>
      <c r="L43" s="494">
        <f>SUM('DUoS (t)'!L43,'TUoS (t)'!L43,'JSO (t)'!L43)</f>
        <v>7.1500000000000008E-2</v>
      </c>
      <c r="M43" s="471">
        <f>SUM('DUoS (t)'!M43,'TUoS (t)'!M43,'JSO (t)'!M43)</f>
        <v>0</v>
      </c>
      <c r="N43" s="471">
        <f>SUM('DUoS (t)'!N43,'TUoS (t)'!N43,'JSO (t)'!N43)</f>
        <v>0</v>
      </c>
      <c r="O43" s="472">
        <f>SUM('DUoS (t)'!O43,'TUoS (t)'!O43,'JSO (t)'!O43)</f>
        <v>0</v>
      </c>
      <c r="P43" s="471">
        <f>SUM('DUoS (t)'!P43,'TUoS (t)'!P43,'JSO (t)'!P43)</f>
        <v>0</v>
      </c>
      <c r="Q43" s="471">
        <f>SUM('DUoS (t)'!Q43,'TUoS (t)'!Q43,'JSO (t)'!Q43)</f>
        <v>0</v>
      </c>
      <c r="R43" s="472">
        <f>SUM('DUoS (t)'!R43,'TUoS (t)'!R43,'JSO (t)'!R43)</f>
        <v>0</v>
      </c>
      <c r="S43" s="490">
        <f>SUM('DUoS (t)'!S43,'TUoS (t)'!S43,'JSO (t)'!S43)</f>
        <v>0</v>
      </c>
      <c r="T43" s="471">
        <f>SUM('DUoS (t)'!T43,'TUoS (t)'!T43,'JSO (t)'!T43)</f>
        <v>0</v>
      </c>
      <c r="U43" s="491">
        <f>SUM('DUoS (t)'!U43,'TUoS (t)'!U43,'JSO (t)'!U43)</f>
        <v>0</v>
      </c>
      <c r="V43" s="492">
        <f>SUM('DUoS (t)'!V43,'TUoS (t)'!V43,'JSO (t)'!V43)</f>
        <v>0</v>
      </c>
      <c r="X43" s="183">
        <f>'Q (t)'!G43</f>
        <v>0</v>
      </c>
      <c r="Y43" s="184">
        <f>'Q (t)'!H43</f>
        <v>0</v>
      </c>
      <c r="Z43" s="178">
        <f>'Q (t)'!I43</f>
        <v>0</v>
      </c>
      <c r="AA43" s="178">
        <f>'Q (t)'!J43</f>
        <v>0</v>
      </c>
      <c r="AB43" s="179">
        <f>'Q (t)'!K43</f>
        <v>0</v>
      </c>
      <c r="AC43" s="178">
        <f>'Q (t)'!L43</f>
        <v>0</v>
      </c>
      <c r="AD43" s="178">
        <f>'Q (t)'!M43</f>
        <v>0</v>
      </c>
      <c r="AE43" s="178">
        <f>'Q (t)'!N43</f>
        <v>0</v>
      </c>
      <c r="AF43" s="179">
        <f>'Q (t)'!O43</f>
        <v>0</v>
      </c>
      <c r="AG43" s="178">
        <f>'Q (t)'!P43</f>
        <v>0</v>
      </c>
      <c r="AH43" s="178">
        <f>'Q (t)'!Q43</f>
        <v>0</v>
      </c>
      <c r="AI43" s="179">
        <f>'Q (t)'!R43</f>
        <v>0</v>
      </c>
      <c r="AJ43" s="184">
        <f>'Q (t)'!S43</f>
        <v>0</v>
      </c>
      <c r="AK43" s="178">
        <f>'Q (t)'!T43</f>
        <v>0</v>
      </c>
      <c r="AL43" s="184">
        <f>'Q (t)'!U43</f>
        <v>0</v>
      </c>
      <c r="AM43" s="179">
        <f>'Q (t)'!V43</f>
        <v>0</v>
      </c>
      <c r="AO43" s="183">
        <f t="shared" si="2"/>
        <v>0</v>
      </c>
      <c r="AP43" s="184">
        <f t="shared" si="29"/>
        <v>0</v>
      </c>
      <c r="AQ43" s="178">
        <f t="shared" si="29"/>
        <v>0</v>
      </c>
      <c r="AR43" s="178">
        <f t="shared" si="29"/>
        <v>0</v>
      </c>
      <c r="AS43" s="179">
        <f t="shared" si="29"/>
        <v>0</v>
      </c>
      <c r="AT43" s="178">
        <f t="shared" si="29"/>
        <v>0</v>
      </c>
      <c r="AU43" s="178">
        <f t="shared" si="29"/>
        <v>0</v>
      </c>
      <c r="AV43" s="178">
        <f t="shared" si="29"/>
        <v>0</v>
      </c>
      <c r="AW43" s="179">
        <f t="shared" si="29"/>
        <v>0</v>
      </c>
      <c r="AX43" s="178">
        <f t="shared" si="1"/>
        <v>0</v>
      </c>
      <c r="AY43" s="178">
        <f t="shared" si="1"/>
        <v>0</v>
      </c>
      <c r="AZ43" s="179">
        <f t="shared" si="1"/>
        <v>0</v>
      </c>
      <c r="BA43" s="184">
        <f t="shared" si="1"/>
        <v>0</v>
      </c>
      <c r="BB43" s="178">
        <f t="shared" si="1"/>
        <v>0</v>
      </c>
      <c r="BC43" s="184">
        <f t="shared" si="1"/>
        <v>0</v>
      </c>
      <c r="BD43" s="178">
        <f t="shared" si="1"/>
        <v>0</v>
      </c>
      <c r="BE43" s="251">
        <f t="shared" si="3"/>
        <v>0</v>
      </c>
      <c r="BF43" s="252">
        <f t="shared" si="4"/>
        <v>0</v>
      </c>
      <c r="BH43" s="262">
        <f>SUM(AO43)</f>
        <v>0</v>
      </c>
      <c r="BI43" s="262">
        <f>SUM(AP43:AS43)</f>
        <v>0</v>
      </c>
      <c r="BJ43" s="262">
        <f>SUM(AT43:AW43)</f>
        <v>0</v>
      </c>
      <c r="BK43" s="263">
        <f>SUM(AX43:BB43)</f>
        <v>0</v>
      </c>
      <c r="BL43" s="269">
        <f>SUM(BC43:BD43)</f>
        <v>0</v>
      </c>
      <c r="BM43" s="264">
        <f t="shared" si="5"/>
        <v>0</v>
      </c>
      <c r="BO43" s="732" t="str">
        <f t="shared" si="6"/>
        <v/>
      </c>
    </row>
    <row r="44" spans="2:67" ht="15" customHeight="1" x14ac:dyDescent="0.25">
      <c r="B44" s="156">
        <f t="shared" si="26"/>
        <v>3</v>
      </c>
      <c r="C44" s="180" t="s">
        <v>89</v>
      </c>
      <c r="D44" s="181" t="str">
        <f t="shared" si="33"/>
        <v>LB2R</v>
      </c>
      <c r="E44" s="200" t="s">
        <v>90</v>
      </c>
      <c r="G44" s="488">
        <f>SUM('DUoS (t)'!G44,'TUoS (t)'!G44,'JSO (t)'!G44)</f>
        <v>0.50680000000000003</v>
      </c>
      <c r="H44" s="490">
        <f>SUM('DUoS (t)'!H44,'TUoS (t)'!H44,'JSO (t)'!H44)</f>
        <v>0</v>
      </c>
      <c r="I44" s="494">
        <f>SUM('DUoS (t)'!I44,'TUoS (t)'!I44,'JSO (t)'!I44)</f>
        <v>0.20319999999999999</v>
      </c>
      <c r="J44" s="471">
        <f>SUM('DUoS (t)'!J44,'TUoS (t)'!J44,'JSO (t)'!J44)</f>
        <v>0</v>
      </c>
      <c r="K44" s="495">
        <f>SUM('DUoS (t)'!K44,'TUoS (t)'!K44,'JSO (t)'!K44)</f>
        <v>0.1016</v>
      </c>
      <c r="L44" s="471">
        <f>SUM('DUoS (t)'!L44,'TUoS (t)'!L44,'JSO (t)'!L44)</f>
        <v>0</v>
      </c>
      <c r="M44" s="471">
        <f>SUM('DUoS (t)'!M44,'TUoS (t)'!M44,'JSO (t)'!M44)</f>
        <v>0</v>
      </c>
      <c r="N44" s="471">
        <f>SUM('DUoS (t)'!N44,'TUoS (t)'!N44,'JSO (t)'!N44)</f>
        <v>0</v>
      </c>
      <c r="O44" s="472">
        <f>SUM('DUoS (t)'!O44,'TUoS (t)'!O44,'JSO (t)'!O44)</f>
        <v>0</v>
      </c>
      <c r="P44" s="471">
        <f>SUM('DUoS (t)'!P44,'TUoS (t)'!P44,'JSO (t)'!P44)</f>
        <v>0</v>
      </c>
      <c r="Q44" s="471">
        <f>SUM('DUoS (t)'!Q44,'TUoS (t)'!Q44,'JSO (t)'!Q44)</f>
        <v>0</v>
      </c>
      <c r="R44" s="472">
        <f>SUM('DUoS (t)'!R44,'TUoS (t)'!R44,'JSO (t)'!R44)</f>
        <v>0</v>
      </c>
      <c r="S44" s="490">
        <f>SUM('DUoS (t)'!S44,'TUoS (t)'!S44,'JSO (t)'!S44)</f>
        <v>0</v>
      </c>
      <c r="T44" s="471">
        <f>SUM('DUoS (t)'!T44,'TUoS (t)'!T44,'JSO (t)'!T44)</f>
        <v>0</v>
      </c>
      <c r="U44" s="491">
        <f>SUM('DUoS (t)'!U44,'TUoS (t)'!U44,'JSO (t)'!U44)</f>
        <v>0</v>
      </c>
      <c r="V44" s="492">
        <f>SUM('DUoS (t)'!V44,'TUoS (t)'!V44,'JSO (t)'!V44)</f>
        <v>0</v>
      </c>
      <c r="X44" s="183">
        <f>'Q (t)'!G44</f>
        <v>400</v>
      </c>
      <c r="Y44" s="184">
        <f>'Q (t)'!H44</f>
        <v>0</v>
      </c>
      <c r="Z44" s="178">
        <f>'Q (t)'!I44</f>
        <v>100</v>
      </c>
      <c r="AA44" s="178">
        <f>'Q (t)'!J44</f>
        <v>0</v>
      </c>
      <c r="AB44" s="179">
        <f>'Q (t)'!K44</f>
        <v>100</v>
      </c>
      <c r="AC44" s="178">
        <f>'Q (t)'!L44</f>
        <v>0</v>
      </c>
      <c r="AD44" s="178">
        <f>'Q (t)'!M44</f>
        <v>0</v>
      </c>
      <c r="AE44" s="178">
        <f>'Q (t)'!N44</f>
        <v>0</v>
      </c>
      <c r="AF44" s="179">
        <f>'Q (t)'!O44</f>
        <v>0</v>
      </c>
      <c r="AG44" s="178">
        <f>'Q (t)'!P44</f>
        <v>0</v>
      </c>
      <c r="AH44" s="178">
        <f>'Q (t)'!Q44</f>
        <v>0</v>
      </c>
      <c r="AI44" s="179">
        <f>'Q (t)'!R44</f>
        <v>0</v>
      </c>
      <c r="AJ44" s="184">
        <f>'Q (t)'!S44</f>
        <v>0</v>
      </c>
      <c r="AK44" s="178">
        <f>'Q (t)'!T44</f>
        <v>0</v>
      </c>
      <c r="AL44" s="184">
        <f>'Q (t)'!U44</f>
        <v>0</v>
      </c>
      <c r="AM44" s="179">
        <f>'Q (t)'!V44</f>
        <v>0</v>
      </c>
      <c r="AO44" s="183">
        <f t="shared" si="2"/>
        <v>0.20272000000000001</v>
      </c>
      <c r="AP44" s="184">
        <f t="shared" si="29"/>
        <v>0</v>
      </c>
      <c r="AQ44" s="178">
        <f t="shared" si="29"/>
        <v>20.32</v>
      </c>
      <c r="AR44" s="178">
        <f t="shared" si="29"/>
        <v>0</v>
      </c>
      <c r="AS44" s="179">
        <f t="shared" si="29"/>
        <v>10.16</v>
      </c>
      <c r="AT44" s="178">
        <f t="shared" si="29"/>
        <v>0</v>
      </c>
      <c r="AU44" s="178">
        <f t="shared" si="29"/>
        <v>0</v>
      </c>
      <c r="AV44" s="178">
        <f t="shared" si="29"/>
        <v>0</v>
      </c>
      <c r="AW44" s="179">
        <f t="shared" si="29"/>
        <v>0</v>
      </c>
      <c r="AX44" s="178">
        <f t="shared" si="1"/>
        <v>0</v>
      </c>
      <c r="AY44" s="178">
        <f t="shared" si="1"/>
        <v>0</v>
      </c>
      <c r="AZ44" s="179">
        <f t="shared" si="1"/>
        <v>0</v>
      </c>
      <c r="BA44" s="184">
        <f t="shared" si="1"/>
        <v>0</v>
      </c>
      <c r="BB44" s="178">
        <f t="shared" si="1"/>
        <v>0</v>
      </c>
      <c r="BC44" s="184">
        <f t="shared" si="1"/>
        <v>0</v>
      </c>
      <c r="BD44" s="178">
        <f t="shared" si="1"/>
        <v>0</v>
      </c>
      <c r="BE44" s="251">
        <f t="shared" si="3"/>
        <v>1.095890410958904</v>
      </c>
      <c r="BF44" s="252">
        <f t="shared" si="4"/>
        <v>200</v>
      </c>
      <c r="BH44" s="262">
        <f>SUM(AO44)</f>
        <v>0.20272000000000001</v>
      </c>
      <c r="BI44" s="262">
        <f>SUM(AP44:AS44)</f>
        <v>30.48</v>
      </c>
      <c r="BJ44" s="262">
        <f>SUM(AT44:AW44)</f>
        <v>0</v>
      </c>
      <c r="BK44" s="263">
        <f>SUM(AX44:BB44)</f>
        <v>0</v>
      </c>
      <c r="BL44" s="269">
        <f>SUM(BC44:BD44)</f>
        <v>0</v>
      </c>
      <c r="BM44" s="264">
        <f t="shared" si="5"/>
        <v>30.68272</v>
      </c>
      <c r="BO44" s="732">
        <f t="shared" si="6"/>
        <v>153.4136</v>
      </c>
    </row>
    <row r="45" spans="2:67" ht="15" customHeight="1" x14ac:dyDescent="0.25">
      <c r="B45" s="156">
        <f t="shared" si="26"/>
        <v>4</v>
      </c>
      <c r="C45" s="180" t="s">
        <v>91</v>
      </c>
      <c r="D45" s="181" t="str">
        <f t="shared" si="33"/>
        <v>LB2RCL</v>
      </c>
      <c r="E45" s="209" t="s">
        <v>92</v>
      </c>
      <c r="G45" s="488">
        <f>SUM('DUoS (t)'!G45,'TUoS (t)'!G45,'JSO (t)'!G45)</f>
        <v>0.50680000000000003</v>
      </c>
      <c r="H45" s="490">
        <f>SUM('DUoS (t)'!H45,'TUoS (t)'!H45,'JSO (t)'!H45)</f>
        <v>0</v>
      </c>
      <c r="I45" s="494">
        <f>SUM('DUoS (t)'!I45,'TUoS (t)'!I45,'JSO (t)'!I45)</f>
        <v>0.20319999999999999</v>
      </c>
      <c r="J45" s="471">
        <f>SUM('DUoS (t)'!J45,'TUoS (t)'!J45,'JSO (t)'!J45)</f>
        <v>0</v>
      </c>
      <c r="K45" s="495">
        <f>SUM('DUoS (t)'!K45,'TUoS (t)'!K45,'JSO (t)'!K45)</f>
        <v>0.1016</v>
      </c>
      <c r="L45" s="494">
        <f>SUM('DUoS (t)'!L45,'TUoS (t)'!L45,'JSO (t)'!L45)</f>
        <v>7.1500000000000008E-2</v>
      </c>
      <c r="M45" s="471">
        <f>SUM('DUoS (t)'!M45,'TUoS (t)'!M45,'JSO (t)'!M45)</f>
        <v>0</v>
      </c>
      <c r="N45" s="471">
        <f>SUM('DUoS (t)'!N45,'TUoS (t)'!N45,'JSO (t)'!N45)</f>
        <v>0</v>
      </c>
      <c r="O45" s="472">
        <f>SUM('DUoS (t)'!O45,'TUoS (t)'!O45,'JSO (t)'!O45)</f>
        <v>0</v>
      </c>
      <c r="P45" s="471">
        <f>SUM('DUoS (t)'!P45,'TUoS (t)'!P45,'JSO (t)'!P45)</f>
        <v>0</v>
      </c>
      <c r="Q45" s="471">
        <f>SUM('DUoS (t)'!Q45,'TUoS (t)'!Q45,'JSO (t)'!Q45)</f>
        <v>0</v>
      </c>
      <c r="R45" s="472">
        <f>SUM('DUoS (t)'!R45,'TUoS (t)'!R45,'JSO (t)'!R45)</f>
        <v>0</v>
      </c>
      <c r="S45" s="490">
        <f>SUM('DUoS (t)'!S45,'TUoS (t)'!S45,'JSO (t)'!S45)</f>
        <v>0</v>
      </c>
      <c r="T45" s="471">
        <f>SUM('DUoS (t)'!T45,'TUoS (t)'!T45,'JSO (t)'!T45)</f>
        <v>0</v>
      </c>
      <c r="U45" s="491">
        <f>SUM('DUoS (t)'!U45,'TUoS (t)'!U45,'JSO (t)'!U45)</f>
        <v>0</v>
      </c>
      <c r="V45" s="492">
        <f>SUM('DUoS (t)'!V45,'TUoS (t)'!V45,'JSO (t)'!V45)</f>
        <v>0</v>
      </c>
      <c r="X45" s="183">
        <f>'Q (t)'!G45</f>
        <v>0</v>
      </c>
      <c r="Y45" s="184">
        <f>'Q (t)'!H45</f>
        <v>0</v>
      </c>
      <c r="Z45" s="178">
        <f>'Q (t)'!I45</f>
        <v>0</v>
      </c>
      <c r="AA45" s="178">
        <f>'Q (t)'!J45</f>
        <v>0</v>
      </c>
      <c r="AB45" s="179">
        <f>'Q (t)'!K45</f>
        <v>0</v>
      </c>
      <c r="AC45" s="178">
        <f>'Q (t)'!L45</f>
        <v>0</v>
      </c>
      <c r="AD45" s="178">
        <f>'Q (t)'!M45</f>
        <v>0</v>
      </c>
      <c r="AE45" s="178">
        <f>'Q (t)'!N45</f>
        <v>0</v>
      </c>
      <c r="AF45" s="179">
        <f>'Q (t)'!O45</f>
        <v>0</v>
      </c>
      <c r="AG45" s="178">
        <f>'Q (t)'!P45</f>
        <v>0</v>
      </c>
      <c r="AH45" s="178">
        <f>'Q (t)'!Q45</f>
        <v>0</v>
      </c>
      <c r="AI45" s="179">
        <f>'Q (t)'!R45</f>
        <v>0</v>
      </c>
      <c r="AJ45" s="184">
        <f>'Q (t)'!S45</f>
        <v>0</v>
      </c>
      <c r="AK45" s="178">
        <f>'Q (t)'!T45</f>
        <v>0</v>
      </c>
      <c r="AL45" s="184">
        <f>'Q (t)'!U45</f>
        <v>0</v>
      </c>
      <c r="AM45" s="179">
        <f>'Q (t)'!V45</f>
        <v>0</v>
      </c>
      <c r="AO45" s="183">
        <f t="shared" si="2"/>
        <v>0</v>
      </c>
      <c r="AP45" s="184">
        <f t="shared" si="29"/>
        <v>0</v>
      </c>
      <c r="AQ45" s="178">
        <f t="shared" si="29"/>
        <v>0</v>
      </c>
      <c r="AR45" s="178">
        <f t="shared" si="29"/>
        <v>0</v>
      </c>
      <c r="AS45" s="179">
        <f t="shared" si="29"/>
        <v>0</v>
      </c>
      <c r="AT45" s="178">
        <f t="shared" si="29"/>
        <v>0</v>
      </c>
      <c r="AU45" s="178">
        <f t="shared" si="29"/>
        <v>0</v>
      </c>
      <c r="AV45" s="178">
        <f t="shared" si="29"/>
        <v>0</v>
      </c>
      <c r="AW45" s="179">
        <f t="shared" si="29"/>
        <v>0</v>
      </c>
      <c r="AX45" s="178">
        <f t="shared" si="1"/>
        <v>0</v>
      </c>
      <c r="AY45" s="178">
        <f t="shared" si="1"/>
        <v>0</v>
      </c>
      <c r="AZ45" s="179">
        <f t="shared" si="1"/>
        <v>0</v>
      </c>
      <c r="BA45" s="184">
        <f t="shared" si="1"/>
        <v>0</v>
      </c>
      <c r="BB45" s="178">
        <f t="shared" si="1"/>
        <v>0</v>
      </c>
      <c r="BC45" s="184">
        <f t="shared" si="1"/>
        <v>0</v>
      </c>
      <c r="BD45" s="178">
        <f t="shared" si="1"/>
        <v>0</v>
      </c>
      <c r="BE45" s="251">
        <f t="shared" si="3"/>
        <v>0</v>
      </c>
      <c r="BF45" s="252">
        <f t="shared" si="4"/>
        <v>0</v>
      </c>
      <c r="BH45" s="262">
        <f>SUM(AO45)</f>
        <v>0</v>
      </c>
      <c r="BI45" s="262">
        <f>SUM(AP45:AS45)</f>
        <v>0</v>
      </c>
      <c r="BJ45" s="262">
        <f>SUM(AT45:AW45)</f>
        <v>0</v>
      </c>
      <c r="BK45" s="263">
        <f>SUM(AX45:BB45)</f>
        <v>0</v>
      </c>
      <c r="BL45" s="269">
        <f>SUM(BC45:BD45)</f>
        <v>0</v>
      </c>
      <c r="BM45" s="264">
        <f t="shared" si="5"/>
        <v>0</v>
      </c>
      <c r="BO45" s="732" t="str">
        <f t="shared" si="6"/>
        <v/>
      </c>
    </row>
    <row r="46" spans="2:67" ht="15" customHeight="1" x14ac:dyDescent="0.25">
      <c r="B46" s="156"/>
      <c r="C46" s="126" t="s">
        <v>93</v>
      </c>
      <c r="D46" s="173"/>
      <c r="E46" s="202"/>
      <c r="G46" s="493">
        <f>SUM('DUoS (t)'!G46,'TUoS (t)'!G46,'JSO (t)'!G46)</f>
        <v>0</v>
      </c>
      <c r="H46" s="490">
        <f>SUM('DUoS (t)'!H46,'TUoS (t)'!H46,'JSO (t)'!H46)</f>
        <v>0</v>
      </c>
      <c r="I46" s="471">
        <f>SUM('DUoS (t)'!I46,'TUoS (t)'!I46,'JSO (t)'!I46)</f>
        <v>0</v>
      </c>
      <c r="J46" s="471">
        <f>SUM('DUoS (t)'!J46,'TUoS (t)'!J46,'JSO (t)'!J46)</f>
        <v>0</v>
      </c>
      <c r="K46" s="472">
        <f>SUM('DUoS (t)'!K46,'TUoS (t)'!K46,'JSO (t)'!K46)</f>
        <v>0</v>
      </c>
      <c r="L46" s="471">
        <f>SUM('DUoS (t)'!L46,'TUoS (t)'!L46,'JSO (t)'!L46)</f>
        <v>0</v>
      </c>
      <c r="M46" s="471">
        <f>SUM('DUoS (t)'!M46,'TUoS (t)'!M46,'JSO (t)'!M46)</f>
        <v>0</v>
      </c>
      <c r="N46" s="471">
        <f>SUM('DUoS (t)'!N46,'TUoS (t)'!N46,'JSO (t)'!N46)</f>
        <v>0</v>
      </c>
      <c r="O46" s="472">
        <f>SUM('DUoS (t)'!O46,'TUoS (t)'!O46,'JSO (t)'!O46)</f>
        <v>0</v>
      </c>
      <c r="P46" s="471">
        <f>SUM('DUoS (t)'!P46,'TUoS (t)'!P46,'JSO (t)'!P46)</f>
        <v>0</v>
      </c>
      <c r="Q46" s="471">
        <f>SUM('DUoS (t)'!Q46,'TUoS (t)'!Q46,'JSO (t)'!Q46)</f>
        <v>0</v>
      </c>
      <c r="R46" s="472">
        <f>SUM('DUoS (t)'!R46,'TUoS (t)'!R46,'JSO (t)'!R46)</f>
        <v>0</v>
      </c>
      <c r="S46" s="490">
        <f>SUM('DUoS (t)'!S46,'TUoS (t)'!S46,'JSO (t)'!S46)</f>
        <v>0</v>
      </c>
      <c r="T46" s="471">
        <f>SUM('DUoS (t)'!T46,'TUoS (t)'!T46,'JSO (t)'!T46)</f>
        <v>0</v>
      </c>
      <c r="U46" s="490">
        <f>SUM('DUoS (t)'!U46,'TUoS (t)'!U46,'JSO (t)'!U46)</f>
        <v>0</v>
      </c>
      <c r="V46" s="472">
        <f>SUM('DUoS (t)'!V46,'TUoS (t)'!V46,'JSO (t)'!V46)</f>
        <v>0</v>
      </c>
      <c r="X46" s="183">
        <f>'Q (t)'!G46</f>
        <v>0</v>
      </c>
      <c r="Y46" s="184">
        <f>'Q (t)'!H46</f>
        <v>0</v>
      </c>
      <c r="Z46" s="178">
        <f>'Q (t)'!I46</f>
        <v>0</v>
      </c>
      <c r="AA46" s="178">
        <f>'Q (t)'!J46</f>
        <v>0</v>
      </c>
      <c r="AB46" s="179">
        <f>'Q (t)'!K46</f>
        <v>0</v>
      </c>
      <c r="AC46" s="178">
        <f>'Q (t)'!L46</f>
        <v>0</v>
      </c>
      <c r="AD46" s="178">
        <f>'Q (t)'!M46</f>
        <v>0</v>
      </c>
      <c r="AE46" s="178">
        <f>'Q (t)'!N46</f>
        <v>0</v>
      </c>
      <c r="AF46" s="179">
        <f>'Q (t)'!O46</f>
        <v>0</v>
      </c>
      <c r="AG46" s="178">
        <f>'Q (t)'!P46</f>
        <v>0</v>
      </c>
      <c r="AH46" s="178">
        <f>'Q (t)'!Q46</f>
        <v>0</v>
      </c>
      <c r="AI46" s="179">
        <f>'Q (t)'!R46</f>
        <v>0</v>
      </c>
      <c r="AJ46" s="184">
        <f>'Q (t)'!S46</f>
        <v>0</v>
      </c>
      <c r="AK46" s="178">
        <f>'Q (t)'!T46</f>
        <v>0</v>
      </c>
      <c r="AL46" s="184">
        <f>'Q (t)'!U46</f>
        <v>0</v>
      </c>
      <c r="AM46" s="179">
        <f>'Q (t)'!V46</f>
        <v>0</v>
      </c>
      <c r="AO46" s="183">
        <f t="shared" si="2"/>
        <v>0</v>
      </c>
      <c r="AP46" s="184">
        <f t="shared" si="29"/>
        <v>0</v>
      </c>
      <c r="AQ46" s="178">
        <f t="shared" si="29"/>
        <v>0</v>
      </c>
      <c r="AR46" s="178">
        <f t="shared" si="29"/>
        <v>0</v>
      </c>
      <c r="AS46" s="179">
        <f t="shared" si="29"/>
        <v>0</v>
      </c>
      <c r="AT46" s="178">
        <f t="shared" si="29"/>
        <v>0</v>
      </c>
      <c r="AU46" s="178">
        <f t="shared" si="29"/>
        <v>0</v>
      </c>
      <c r="AV46" s="178">
        <f t="shared" si="29"/>
        <v>0</v>
      </c>
      <c r="AW46" s="179">
        <f t="shared" si="29"/>
        <v>0</v>
      </c>
      <c r="AX46" s="178">
        <f t="shared" si="1"/>
        <v>0</v>
      </c>
      <c r="AY46" s="178">
        <f t="shared" si="1"/>
        <v>0</v>
      </c>
      <c r="AZ46" s="179">
        <f t="shared" si="1"/>
        <v>0</v>
      </c>
      <c r="BA46" s="184">
        <f t="shared" si="1"/>
        <v>0</v>
      </c>
      <c r="BB46" s="178">
        <f t="shared" si="1"/>
        <v>0</v>
      </c>
      <c r="BC46" s="184">
        <f t="shared" si="1"/>
        <v>0</v>
      </c>
      <c r="BD46" s="178">
        <f t="shared" si="1"/>
        <v>0</v>
      </c>
      <c r="BE46" s="251">
        <f t="shared" si="3"/>
        <v>0</v>
      </c>
      <c r="BF46" s="252">
        <f t="shared" si="4"/>
        <v>0</v>
      </c>
      <c r="BH46" s="259">
        <f>SUBTOTAL(9,BH47:BH67)</f>
        <v>10551.975201499999</v>
      </c>
      <c r="BI46" s="259">
        <f>SUBTOTAL(9,BI47:BI67)</f>
        <v>150532.20000000001</v>
      </c>
      <c r="BJ46" s="259">
        <f>SUBTOTAL(9,BJ47:BJ67)</f>
        <v>0</v>
      </c>
      <c r="BK46" s="259">
        <f>SUBTOTAL(9,BK47:BK67)</f>
        <v>105402.84607389999</v>
      </c>
      <c r="BL46" s="259">
        <f>SUBTOTAL(9,BL47:BL67)</f>
        <v>0</v>
      </c>
      <c r="BM46" s="264">
        <f t="shared" si="5"/>
        <v>266487.02127540001</v>
      </c>
      <c r="BO46" s="732" t="str">
        <f t="shared" si="6"/>
        <v/>
      </c>
    </row>
    <row r="47" spans="2:67" ht="15" customHeight="1" x14ac:dyDescent="0.25">
      <c r="B47" s="156">
        <f>B45+1</f>
        <v>5</v>
      </c>
      <c r="C47" s="180" t="s">
        <v>599</v>
      </c>
      <c r="D47" s="181" t="s">
        <v>600</v>
      </c>
      <c r="E47" s="210" t="s">
        <v>94</v>
      </c>
      <c r="G47" s="488">
        <f>SUM('DUoS (t)'!G47,'TUoS (t)'!G47,'JSO (t)'!G47)</f>
        <v>6.8493000000000004</v>
      </c>
      <c r="H47" s="490">
        <f>SUM('DUoS (t)'!H47,'TUoS (t)'!H47,'JSO (t)'!H47)</f>
        <v>0</v>
      </c>
      <c r="I47" s="494">
        <f>SUM('DUoS (t)'!I47,'TUoS (t)'!I47,'JSO (t)'!I47)</f>
        <v>6.6200000000000009E-2</v>
      </c>
      <c r="J47" s="471">
        <f>SUM('DUoS (t)'!J47,'TUoS (t)'!J47,'JSO (t)'!J47)</f>
        <v>0</v>
      </c>
      <c r="K47" s="495">
        <f>SUM('DUoS (t)'!K47,'TUoS (t)'!K47,'JSO (t)'!K47)</f>
        <v>4.1399999999999999E-2</v>
      </c>
      <c r="L47" s="471">
        <f>SUM('DUoS (t)'!L47,'TUoS (t)'!L47,'JSO (t)'!L47)</f>
        <v>0</v>
      </c>
      <c r="M47" s="471">
        <f>SUM('DUoS (t)'!M47,'TUoS (t)'!M47,'JSO (t)'!M47)</f>
        <v>0</v>
      </c>
      <c r="N47" s="471">
        <f>SUM('DUoS (t)'!N47,'TUoS (t)'!N47,'JSO (t)'!N47)</f>
        <v>0</v>
      </c>
      <c r="O47" s="472">
        <f>SUM('DUoS (t)'!O47,'TUoS (t)'!O47,'JSO (t)'!O47)</f>
        <v>0</v>
      </c>
      <c r="P47" s="471">
        <f>SUM('DUoS (t)'!P47,'TUoS (t)'!P47,'JSO (t)'!P47)</f>
        <v>0</v>
      </c>
      <c r="Q47" s="471">
        <f>SUM('DUoS (t)'!Q47,'TUoS (t)'!Q47,'JSO (t)'!Q47)</f>
        <v>0</v>
      </c>
      <c r="R47" s="472">
        <f>SUM('DUoS (t)'!R47,'TUoS (t)'!R47,'JSO (t)'!R47)</f>
        <v>0</v>
      </c>
      <c r="S47" s="489">
        <f>SUM('DUoS (t)'!S47,'TUoS (t)'!S47,'JSO (t)'!S47)</f>
        <v>0.25329999999999997</v>
      </c>
      <c r="T47" s="494">
        <f>SUM('DUoS (t)'!T47,'TUoS (t)'!T47,'JSO (t)'!T47)</f>
        <v>0.1036</v>
      </c>
      <c r="U47" s="491">
        <f>SUM('DUoS (t)'!U47,'TUoS (t)'!U47,'JSO (t)'!U47)</f>
        <v>0</v>
      </c>
      <c r="V47" s="492">
        <f>SUM('DUoS (t)'!V47,'TUoS (t)'!V47,'JSO (t)'!V47)</f>
        <v>0</v>
      </c>
      <c r="X47" s="183">
        <f>'Q (t)'!G47</f>
        <v>1389555</v>
      </c>
      <c r="Y47" s="184">
        <f>'Q (t)'!H47</f>
        <v>0</v>
      </c>
      <c r="Z47" s="178">
        <f>'Q (t)'!I47</f>
        <v>1286940</v>
      </c>
      <c r="AA47" s="178">
        <f>'Q (t)'!J47</f>
        <v>0</v>
      </c>
      <c r="AB47" s="179">
        <f>'Q (t)'!K47</f>
        <v>1235550</v>
      </c>
      <c r="AC47" s="178">
        <f>'Q (t)'!L47</f>
        <v>0</v>
      </c>
      <c r="AD47" s="178">
        <f>'Q (t)'!M47</f>
        <v>0</v>
      </c>
      <c r="AE47" s="178">
        <f>'Q (t)'!N47</f>
        <v>0</v>
      </c>
      <c r="AF47" s="179">
        <f>'Q (t)'!O47</f>
        <v>0</v>
      </c>
      <c r="AG47" s="178">
        <f>'Q (t)'!P47</f>
        <v>0</v>
      </c>
      <c r="AH47" s="178">
        <f>'Q (t)'!Q47</f>
        <v>0</v>
      </c>
      <c r="AI47" s="179">
        <f>'Q (t)'!R47</f>
        <v>0</v>
      </c>
      <c r="AJ47" s="184">
        <f>'Q (t)'!S47</f>
        <v>236666000</v>
      </c>
      <c r="AK47" s="178">
        <f>'Q (t)'!T47</f>
        <v>323704630</v>
      </c>
      <c r="AL47" s="184">
        <f>'Q (t)'!U47</f>
        <v>0</v>
      </c>
      <c r="AM47" s="179">
        <f>'Q (t)'!V47</f>
        <v>0</v>
      </c>
      <c r="AO47" s="183">
        <f t="shared" si="2"/>
        <v>9517.4790615000002</v>
      </c>
      <c r="AP47" s="184">
        <f t="shared" si="29"/>
        <v>0</v>
      </c>
      <c r="AQ47" s="178">
        <f t="shared" si="29"/>
        <v>85195.428000000014</v>
      </c>
      <c r="AR47" s="178">
        <f t="shared" si="29"/>
        <v>0</v>
      </c>
      <c r="AS47" s="179">
        <f t="shared" si="29"/>
        <v>51151.77</v>
      </c>
      <c r="AT47" s="178">
        <f t="shared" si="29"/>
        <v>0</v>
      </c>
      <c r="AU47" s="178">
        <f t="shared" si="29"/>
        <v>0</v>
      </c>
      <c r="AV47" s="178">
        <f t="shared" si="29"/>
        <v>0</v>
      </c>
      <c r="AW47" s="179">
        <f t="shared" si="29"/>
        <v>0</v>
      </c>
      <c r="AX47" s="178">
        <f t="shared" si="1"/>
        <v>0</v>
      </c>
      <c r="AY47" s="178">
        <f t="shared" si="1"/>
        <v>0</v>
      </c>
      <c r="AZ47" s="179">
        <f t="shared" si="1"/>
        <v>0</v>
      </c>
      <c r="BA47" s="184">
        <f t="shared" si="1"/>
        <v>59947.49779999999</v>
      </c>
      <c r="BB47" s="178">
        <f t="shared" si="1"/>
        <v>33535.799668</v>
      </c>
      <c r="BC47" s="184">
        <f t="shared" si="1"/>
        <v>0</v>
      </c>
      <c r="BD47" s="178">
        <f t="shared" si="1"/>
        <v>0</v>
      </c>
      <c r="BE47" s="251">
        <f t="shared" si="3"/>
        <v>3807</v>
      </c>
      <c r="BF47" s="252">
        <f t="shared" si="4"/>
        <v>2522490</v>
      </c>
      <c r="BH47" s="262">
        <f t="shared" ref="BH47:BH67" si="34">SUM(AO47)</f>
        <v>9517.4790615000002</v>
      </c>
      <c r="BI47" s="262">
        <f t="shared" ref="BI47:BI67" si="35">SUM(AP47:AS47)</f>
        <v>136347.198</v>
      </c>
      <c r="BJ47" s="262">
        <f t="shared" ref="BJ47:BJ67" si="36">SUM(AT47:AW47)</f>
        <v>0</v>
      </c>
      <c r="BK47" s="263">
        <f t="shared" ref="BK47:BK67" si="37">SUM(AX47:BB47)</f>
        <v>93483.29746799999</v>
      </c>
      <c r="BL47" s="269">
        <f t="shared" ref="BL47:BL67" si="38">SUM(BC47:BD47)</f>
        <v>0</v>
      </c>
      <c r="BM47" s="264">
        <f t="shared" si="5"/>
        <v>239347.9745295</v>
      </c>
      <c r="BO47" s="732">
        <f t="shared" si="6"/>
        <v>94.885598963524146</v>
      </c>
    </row>
    <row r="48" spans="2:67" ht="15" customHeight="1" x14ac:dyDescent="0.25">
      <c r="B48" s="156">
        <f t="shared" si="26"/>
        <v>6</v>
      </c>
      <c r="C48" s="180" t="s">
        <v>597</v>
      </c>
      <c r="D48" s="181" t="s">
        <v>601</v>
      </c>
      <c r="E48" s="210" t="s">
        <v>95</v>
      </c>
      <c r="G48" s="488">
        <f>SUM('DUoS (t)'!G48,'TUoS (t)'!G48,'JSO (t)'!G48)</f>
        <v>6.8493000000000004</v>
      </c>
      <c r="H48" s="490">
        <f>SUM('DUoS (t)'!H48,'TUoS (t)'!H48,'JSO (t)'!H48)</f>
        <v>0</v>
      </c>
      <c r="I48" s="494">
        <f>SUM('DUoS (t)'!I48,'TUoS (t)'!I48,'JSO (t)'!I48)</f>
        <v>6.6200000000000009E-2</v>
      </c>
      <c r="J48" s="471">
        <f>SUM('DUoS (t)'!J48,'TUoS (t)'!J48,'JSO (t)'!J48)</f>
        <v>0</v>
      </c>
      <c r="K48" s="495">
        <f>SUM('DUoS (t)'!K48,'TUoS (t)'!K48,'JSO (t)'!K48)</f>
        <v>4.1399999999999999E-2</v>
      </c>
      <c r="L48" s="471">
        <f>SUM('DUoS (t)'!L48,'TUoS (t)'!L48,'JSO (t)'!L48)</f>
        <v>0</v>
      </c>
      <c r="M48" s="471">
        <f>SUM('DUoS (t)'!M48,'TUoS (t)'!M48,'JSO (t)'!M48)</f>
        <v>0</v>
      </c>
      <c r="N48" s="471">
        <f>SUM('DUoS (t)'!N48,'TUoS (t)'!N48,'JSO (t)'!N48)</f>
        <v>0</v>
      </c>
      <c r="O48" s="472">
        <f>SUM('DUoS (t)'!O48,'TUoS (t)'!O48,'JSO (t)'!O48)</f>
        <v>0</v>
      </c>
      <c r="P48" s="494">
        <f>SUM('DUoS (t)'!P48,'TUoS (t)'!P48,'JSO (t)'!P48)</f>
        <v>0.91829999999999989</v>
      </c>
      <c r="Q48" s="471">
        <f>SUM('DUoS (t)'!Q48,'TUoS (t)'!Q48,'JSO (t)'!Q48)</f>
        <v>0</v>
      </c>
      <c r="R48" s="472">
        <f>SUM('DUoS (t)'!R48,'TUoS (t)'!R48,'JSO (t)'!R48)</f>
        <v>0</v>
      </c>
      <c r="S48" s="490">
        <f>SUM('DUoS (t)'!S48,'TUoS (t)'!S48,'JSO (t)'!S48)</f>
        <v>0</v>
      </c>
      <c r="T48" s="494">
        <f>SUM('DUoS (t)'!T48,'TUoS (t)'!T48,'JSO (t)'!T48)</f>
        <v>0.1036</v>
      </c>
      <c r="U48" s="490">
        <f>SUM('DUoS (t)'!U48,'TUoS (t)'!U48,'JSO (t)'!U48)</f>
        <v>0</v>
      </c>
      <c r="V48" s="472">
        <f>SUM('DUoS (t)'!V48,'TUoS (t)'!V48,'JSO (t)'!V48)</f>
        <v>0</v>
      </c>
      <c r="X48" s="183">
        <f>'Q (t)'!G48</f>
        <v>109865</v>
      </c>
      <c r="Y48" s="184">
        <f>'Q (t)'!H48</f>
        <v>0</v>
      </c>
      <c r="Z48" s="178">
        <f>'Q (t)'!I48</f>
        <v>79500</v>
      </c>
      <c r="AA48" s="178">
        <f>'Q (t)'!J48</f>
        <v>0</v>
      </c>
      <c r="AB48" s="179">
        <f>'Q (t)'!K48</f>
        <v>54000</v>
      </c>
      <c r="AC48" s="178">
        <f>'Q (t)'!L48</f>
        <v>0</v>
      </c>
      <c r="AD48" s="178">
        <f>'Q (t)'!M48</f>
        <v>0</v>
      </c>
      <c r="AE48" s="178">
        <f>'Q (t)'!N48</f>
        <v>0</v>
      </c>
      <c r="AF48" s="179">
        <f>'Q (t)'!O48</f>
        <v>0</v>
      </c>
      <c r="AG48" s="178">
        <f>'Q (t)'!P48</f>
        <v>3651331</v>
      </c>
      <c r="AH48" s="178">
        <f>'Q (t)'!Q48</f>
        <v>0</v>
      </c>
      <c r="AI48" s="179">
        <f>'Q (t)'!R48</f>
        <v>0</v>
      </c>
      <c r="AJ48" s="184">
        <f>'Q (t)'!S48</f>
        <v>0</v>
      </c>
      <c r="AK48" s="178">
        <f>'Q (t)'!T48</f>
        <v>30277845</v>
      </c>
      <c r="AL48" s="184">
        <f>'Q (t)'!U48</f>
        <v>0</v>
      </c>
      <c r="AM48" s="179">
        <f>'Q (t)'!V48</f>
        <v>0</v>
      </c>
      <c r="AO48" s="183">
        <f t="shared" si="2"/>
        <v>752.49834450000003</v>
      </c>
      <c r="AP48" s="184">
        <f t="shared" si="29"/>
        <v>0</v>
      </c>
      <c r="AQ48" s="178">
        <f>I48*Z48</f>
        <v>5262.9000000000005</v>
      </c>
      <c r="AR48" s="178">
        <f t="shared" si="29"/>
        <v>0</v>
      </c>
      <c r="AS48" s="179">
        <f t="shared" si="29"/>
        <v>2235.6</v>
      </c>
      <c r="AT48" s="178">
        <f t="shared" si="29"/>
        <v>0</v>
      </c>
      <c r="AU48" s="178">
        <f t="shared" si="29"/>
        <v>0</v>
      </c>
      <c r="AV48" s="178">
        <f t="shared" si="29"/>
        <v>0</v>
      </c>
      <c r="AW48" s="179">
        <f t="shared" si="29"/>
        <v>0</v>
      </c>
      <c r="AX48" s="178">
        <f t="shared" si="1"/>
        <v>3353.0172572999995</v>
      </c>
      <c r="AY48" s="178">
        <f t="shared" si="1"/>
        <v>0</v>
      </c>
      <c r="AZ48" s="179">
        <f t="shared" si="1"/>
        <v>0</v>
      </c>
      <c r="BA48" s="184">
        <f t="shared" si="1"/>
        <v>0</v>
      </c>
      <c r="BB48" s="178">
        <f t="shared" si="1"/>
        <v>3136.7847420000003</v>
      </c>
      <c r="BC48" s="184">
        <f t="shared" si="1"/>
        <v>0</v>
      </c>
      <c r="BD48" s="178">
        <f t="shared" si="1"/>
        <v>0</v>
      </c>
      <c r="BE48" s="251">
        <f t="shared" si="3"/>
        <v>301</v>
      </c>
      <c r="BF48" s="252">
        <f t="shared" si="4"/>
        <v>133500</v>
      </c>
      <c r="BH48" s="262">
        <f t="shared" si="34"/>
        <v>752.49834450000003</v>
      </c>
      <c r="BI48" s="262">
        <f t="shared" si="35"/>
        <v>7498.5</v>
      </c>
      <c r="BJ48" s="262">
        <f t="shared" si="36"/>
        <v>0</v>
      </c>
      <c r="BK48" s="263">
        <f t="shared" si="37"/>
        <v>6489.8019992999998</v>
      </c>
      <c r="BL48" s="269">
        <f t="shared" si="38"/>
        <v>0</v>
      </c>
      <c r="BM48" s="264">
        <f t="shared" si="5"/>
        <v>14740.8003438</v>
      </c>
      <c r="BO48" s="732">
        <f t="shared" si="6"/>
        <v>110.41798010337078</v>
      </c>
    </row>
    <row r="49" spans="2:67" ht="15" customHeight="1" x14ac:dyDescent="0.25">
      <c r="B49" s="156">
        <f t="shared" si="26"/>
        <v>7</v>
      </c>
      <c r="C49" s="180" t="s">
        <v>598</v>
      </c>
      <c r="D49" s="181" t="s">
        <v>602</v>
      </c>
      <c r="E49" s="210" t="s">
        <v>96</v>
      </c>
      <c r="G49" s="488">
        <f>SUM('DUoS (t)'!G49,'TUoS (t)'!G49,'JSO (t)'!G49)</f>
        <v>0</v>
      </c>
      <c r="H49" s="490">
        <f>SUM('DUoS (t)'!H49,'TUoS (t)'!H49,'JSO (t)'!H49)</f>
        <v>0</v>
      </c>
      <c r="I49" s="494">
        <f>SUM('DUoS (t)'!I49,'TUoS (t)'!I49,'JSO (t)'!I49)</f>
        <v>0</v>
      </c>
      <c r="J49" s="471">
        <f>SUM('DUoS (t)'!J49,'TUoS (t)'!J49,'JSO (t)'!J49)</f>
        <v>0</v>
      </c>
      <c r="K49" s="495">
        <f>SUM('DUoS (t)'!K49,'TUoS (t)'!K49,'JSO (t)'!K49)</f>
        <v>0</v>
      </c>
      <c r="L49" s="471">
        <f>SUM('DUoS (t)'!L49,'TUoS (t)'!L49,'JSO (t)'!L49)</f>
        <v>0</v>
      </c>
      <c r="M49" s="471">
        <f>SUM('DUoS (t)'!M49,'TUoS (t)'!M49,'JSO (t)'!M49)</f>
        <v>0</v>
      </c>
      <c r="N49" s="471">
        <f>SUM('DUoS (t)'!N49,'TUoS (t)'!N49,'JSO (t)'!N49)</f>
        <v>0</v>
      </c>
      <c r="O49" s="472">
        <f>SUM('DUoS (t)'!O49,'TUoS (t)'!O49,'JSO (t)'!O49)</f>
        <v>0</v>
      </c>
      <c r="P49" s="471">
        <f>SUM('DUoS (t)'!P49,'TUoS (t)'!P49,'JSO (t)'!P49)</f>
        <v>0</v>
      </c>
      <c r="Q49" s="471">
        <f>SUM('DUoS (t)'!Q49,'TUoS (t)'!Q49,'JSO (t)'!Q49)</f>
        <v>0</v>
      </c>
      <c r="R49" s="472">
        <f>SUM('DUoS (t)'!R49,'TUoS (t)'!R49,'JSO (t)'!R49)</f>
        <v>0</v>
      </c>
      <c r="S49" s="490">
        <f>SUM('DUoS (t)'!S49,'TUoS (t)'!S49,'JSO (t)'!S49)</f>
        <v>0</v>
      </c>
      <c r="T49" s="471">
        <f>SUM('DUoS (t)'!T49,'TUoS (t)'!T49,'JSO (t)'!T49)</f>
        <v>0</v>
      </c>
      <c r="U49" s="490">
        <f>SUM('DUoS (t)'!U49,'TUoS (t)'!U49,'JSO (t)'!U49)</f>
        <v>0</v>
      </c>
      <c r="V49" s="472">
        <f>SUM('DUoS (t)'!V49,'TUoS (t)'!V49,'JSO (t)'!V49)</f>
        <v>0</v>
      </c>
      <c r="X49" s="183">
        <f>'Q (t)'!G49</f>
        <v>0</v>
      </c>
      <c r="Y49" s="184">
        <f>'Q (t)'!H49</f>
        <v>0</v>
      </c>
      <c r="Z49" s="178">
        <f>'Q (t)'!I49</f>
        <v>0</v>
      </c>
      <c r="AA49" s="178">
        <f>'Q (t)'!J49</f>
        <v>0</v>
      </c>
      <c r="AB49" s="179">
        <f>'Q (t)'!K49</f>
        <v>0</v>
      </c>
      <c r="AC49" s="178">
        <f>'Q (t)'!L49</f>
        <v>0</v>
      </c>
      <c r="AD49" s="178">
        <f>'Q (t)'!M49</f>
        <v>0</v>
      </c>
      <c r="AE49" s="178">
        <f>'Q (t)'!N49</f>
        <v>0</v>
      </c>
      <c r="AF49" s="179">
        <f>'Q (t)'!O49</f>
        <v>0</v>
      </c>
      <c r="AG49" s="178">
        <f>'Q (t)'!P49</f>
        <v>0</v>
      </c>
      <c r="AH49" s="178">
        <f>'Q (t)'!Q49</f>
        <v>0</v>
      </c>
      <c r="AI49" s="179">
        <f>'Q (t)'!R49</f>
        <v>0</v>
      </c>
      <c r="AJ49" s="184">
        <f>'Q (t)'!S49</f>
        <v>0</v>
      </c>
      <c r="AK49" s="178">
        <f>'Q (t)'!T49</f>
        <v>0</v>
      </c>
      <c r="AL49" s="184">
        <f>'Q (t)'!U49</f>
        <v>0</v>
      </c>
      <c r="AM49" s="179">
        <f>'Q (t)'!V49</f>
        <v>0</v>
      </c>
      <c r="AO49" s="183">
        <f t="shared" si="2"/>
        <v>0</v>
      </c>
      <c r="AP49" s="184">
        <f t="shared" si="29"/>
        <v>0</v>
      </c>
      <c r="AQ49" s="178">
        <f t="shared" si="29"/>
        <v>0</v>
      </c>
      <c r="AR49" s="178">
        <f t="shared" si="29"/>
        <v>0</v>
      </c>
      <c r="AS49" s="179">
        <f t="shared" si="29"/>
        <v>0</v>
      </c>
      <c r="AT49" s="178">
        <f t="shared" si="29"/>
        <v>0</v>
      </c>
      <c r="AU49" s="178">
        <f t="shared" si="29"/>
        <v>0</v>
      </c>
      <c r="AV49" s="178">
        <f t="shared" si="29"/>
        <v>0</v>
      </c>
      <c r="AW49" s="179">
        <f t="shared" si="29"/>
        <v>0</v>
      </c>
      <c r="AX49" s="178">
        <f t="shared" si="1"/>
        <v>0</v>
      </c>
      <c r="AY49" s="178">
        <f t="shared" si="1"/>
        <v>0</v>
      </c>
      <c r="AZ49" s="179">
        <f t="shared" si="1"/>
        <v>0</v>
      </c>
      <c r="BA49" s="184">
        <f t="shared" si="1"/>
        <v>0</v>
      </c>
      <c r="BB49" s="178">
        <f t="shared" si="1"/>
        <v>0</v>
      </c>
      <c r="BC49" s="184">
        <f t="shared" si="1"/>
        <v>0</v>
      </c>
      <c r="BD49" s="178">
        <f t="shared" si="1"/>
        <v>0</v>
      </c>
      <c r="BE49" s="251">
        <f t="shared" si="3"/>
        <v>0</v>
      </c>
      <c r="BF49" s="252">
        <f t="shared" si="4"/>
        <v>0</v>
      </c>
      <c r="BH49" s="262">
        <f t="shared" si="34"/>
        <v>0</v>
      </c>
      <c r="BI49" s="262">
        <f t="shared" si="35"/>
        <v>0</v>
      </c>
      <c r="BJ49" s="262">
        <f t="shared" si="36"/>
        <v>0</v>
      </c>
      <c r="BK49" s="263">
        <f t="shared" si="37"/>
        <v>0</v>
      </c>
      <c r="BL49" s="269">
        <f t="shared" si="38"/>
        <v>0</v>
      </c>
      <c r="BM49" s="264">
        <f t="shared" si="5"/>
        <v>0</v>
      </c>
      <c r="BO49" s="732" t="str">
        <f t="shared" si="6"/>
        <v/>
      </c>
    </row>
    <row r="50" spans="2:67" ht="15" customHeight="1" x14ac:dyDescent="0.25">
      <c r="B50" s="156">
        <f t="shared" si="26"/>
        <v>8</v>
      </c>
      <c r="C50" s="180" t="s">
        <v>97</v>
      </c>
      <c r="D50" s="181" t="s">
        <v>97</v>
      </c>
      <c r="E50" s="210" t="s">
        <v>98</v>
      </c>
      <c r="G50" s="488">
        <f>SUM('DUoS (t)'!G50,'TUoS (t)'!G50,'JSO (t)'!G50)</f>
        <v>2.7397</v>
      </c>
      <c r="H50" s="489">
        <f>SUM('DUoS (t)'!H50,'TUoS (t)'!H50,'JSO (t)'!H50)</f>
        <v>7.6999999999999999E-2</v>
      </c>
      <c r="I50" s="471">
        <f>SUM('DUoS (t)'!I50,'TUoS (t)'!I50,'JSO (t)'!I50)</f>
        <v>0</v>
      </c>
      <c r="J50" s="471">
        <f>SUM('DUoS (t)'!J50,'TUoS (t)'!J50,'JSO (t)'!J50)</f>
        <v>0</v>
      </c>
      <c r="K50" s="472">
        <f>SUM('DUoS (t)'!K50,'TUoS (t)'!K50,'JSO (t)'!K50)</f>
        <v>0</v>
      </c>
      <c r="L50" s="471">
        <f>SUM('DUoS (t)'!L50,'TUoS (t)'!L50,'JSO (t)'!L50)</f>
        <v>0</v>
      </c>
      <c r="M50" s="471">
        <f>SUM('DUoS (t)'!M50,'TUoS (t)'!M50,'JSO (t)'!M50)</f>
        <v>0</v>
      </c>
      <c r="N50" s="471">
        <f>SUM('DUoS (t)'!N50,'TUoS (t)'!N50,'JSO (t)'!N50)</f>
        <v>0</v>
      </c>
      <c r="O50" s="472">
        <f>SUM('DUoS (t)'!O50,'TUoS (t)'!O50,'JSO (t)'!O50)</f>
        <v>0</v>
      </c>
      <c r="P50" s="471">
        <f>SUM('DUoS (t)'!P50,'TUoS (t)'!P50,'JSO (t)'!P50)</f>
        <v>0</v>
      </c>
      <c r="Q50" s="494">
        <f>SUM('DUoS (t)'!Q50,'TUoS (t)'!Q50,'JSO (t)'!Q50)</f>
        <v>0.3962</v>
      </c>
      <c r="R50" s="495">
        <f>SUM('DUoS (t)'!R50,'TUoS (t)'!R50,'JSO (t)'!R50)</f>
        <v>0.19600000000000001</v>
      </c>
      <c r="S50" s="490">
        <f>SUM('DUoS (t)'!S50,'TUoS (t)'!S50,'JSO (t)'!S50)</f>
        <v>0</v>
      </c>
      <c r="T50" s="471">
        <f>SUM('DUoS (t)'!T50,'TUoS (t)'!T50,'JSO (t)'!T50)</f>
        <v>0</v>
      </c>
      <c r="U50" s="490">
        <f>SUM('DUoS (t)'!U50,'TUoS (t)'!U50,'JSO (t)'!U50)</f>
        <v>0</v>
      </c>
      <c r="V50" s="472">
        <f>SUM('DUoS (t)'!V50,'TUoS (t)'!V50,'JSO (t)'!V50)</f>
        <v>0</v>
      </c>
      <c r="X50" s="183">
        <f>'Q (t)'!G50</f>
        <v>79205</v>
      </c>
      <c r="Y50" s="184">
        <f>'Q (t)'!H50</f>
        <v>71000</v>
      </c>
      <c r="Z50" s="178">
        <f>'Q (t)'!I50</f>
        <v>0</v>
      </c>
      <c r="AA50" s="178">
        <f>'Q (t)'!J50</f>
        <v>0</v>
      </c>
      <c r="AB50" s="179">
        <f>'Q (t)'!K50</f>
        <v>0</v>
      </c>
      <c r="AC50" s="178">
        <f>'Q (t)'!L50</f>
        <v>0</v>
      </c>
      <c r="AD50" s="178">
        <f>'Q (t)'!M50</f>
        <v>0</v>
      </c>
      <c r="AE50" s="178">
        <f>'Q (t)'!N50</f>
        <v>0</v>
      </c>
      <c r="AF50" s="179">
        <f>'Q (t)'!O50</f>
        <v>0</v>
      </c>
      <c r="AG50" s="178">
        <f>'Q (t)'!P50</f>
        <v>0</v>
      </c>
      <c r="AH50" s="178">
        <f>'Q (t)'!Q50</f>
        <v>5382848</v>
      </c>
      <c r="AI50" s="179">
        <f>'Q (t)'!R50</f>
        <v>11592765</v>
      </c>
      <c r="AJ50" s="184">
        <f>'Q (t)'!S50</f>
        <v>0</v>
      </c>
      <c r="AK50" s="178">
        <f>'Q (t)'!T50</f>
        <v>0</v>
      </c>
      <c r="AL50" s="184">
        <f>'Q (t)'!U50</f>
        <v>0</v>
      </c>
      <c r="AM50" s="179">
        <f>'Q (t)'!V50</f>
        <v>0</v>
      </c>
      <c r="AO50" s="183">
        <f t="shared" si="2"/>
        <v>216.99793849999998</v>
      </c>
      <c r="AP50" s="184">
        <f t="shared" si="29"/>
        <v>5467</v>
      </c>
      <c r="AQ50" s="178">
        <f t="shared" si="29"/>
        <v>0</v>
      </c>
      <c r="AR50" s="178">
        <f t="shared" si="29"/>
        <v>0</v>
      </c>
      <c r="AS50" s="179">
        <f t="shared" si="29"/>
        <v>0</v>
      </c>
      <c r="AT50" s="178">
        <f t="shared" si="29"/>
        <v>0</v>
      </c>
      <c r="AU50" s="178">
        <f t="shared" si="29"/>
        <v>0</v>
      </c>
      <c r="AV50" s="178">
        <f t="shared" si="29"/>
        <v>0</v>
      </c>
      <c r="AW50" s="179">
        <f t="shared" si="29"/>
        <v>0</v>
      </c>
      <c r="AX50" s="178">
        <f t="shared" si="1"/>
        <v>0</v>
      </c>
      <c r="AY50" s="178">
        <f t="shared" si="1"/>
        <v>2132.6843775999996</v>
      </c>
      <c r="AZ50" s="179">
        <f t="shared" si="1"/>
        <v>2272.1819399999999</v>
      </c>
      <c r="BA50" s="184">
        <f t="shared" si="1"/>
        <v>0</v>
      </c>
      <c r="BB50" s="178">
        <f t="shared" si="1"/>
        <v>0</v>
      </c>
      <c r="BC50" s="184">
        <f t="shared" si="1"/>
        <v>0</v>
      </c>
      <c r="BD50" s="178">
        <f t="shared" si="1"/>
        <v>0</v>
      </c>
      <c r="BE50" s="251">
        <f t="shared" si="3"/>
        <v>217</v>
      </c>
      <c r="BF50" s="252">
        <f t="shared" ref="BF50:BF77" si="39">SUM(Y50:AF50)</f>
        <v>71000</v>
      </c>
      <c r="BH50" s="262">
        <f t="shared" si="34"/>
        <v>216.99793849999998</v>
      </c>
      <c r="BI50" s="262">
        <f t="shared" si="35"/>
        <v>5467</v>
      </c>
      <c r="BJ50" s="262">
        <f t="shared" si="36"/>
        <v>0</v>
      </c>
      <c r="BK50" s="263">
        <f t="shared" si="37"/>
        <v>4404.8663175999991</v>
      </c>
      <c r="BL50" s="269">
        <f t="shared" si="38"/>
        <v>0</v>
      </c>
      <c r="BM50" s="264">
        <f t="shared" si="5"/>
        <v>10088.864256099998</v>
      </c>
      <c r="BO50" s="732">
        <f t="shared" si="6"/>
        <v>142.09667966338023</v>
      </c>
    </row>
    <row r="51" spans="2:67" ht="15" customHeight="1" x14ac:dyDescent="0.25">
      <c r="B51" s="156">
        <f t="shared" si="26"/>
        <v>9</v>
      </c>
      <c r="C51" s="180" t="s">
        <v>603</v>
      </c>
      <c r="D51" s="181" t="s">
        <v>604</v>
      </c>
      <c r="E51" s="210" t="s">
        <v>99</v>
      </c>
      <c r="G51" s="488">
        <f>SUM('DUoS (t)'!G51,'TUoS (t)'!G51,'JSO (t)'!G51)</f>
        <v>6.8493000000000004</v>
      </c>
      <c r="H51" s="490">
        <f>SUM('DUoS (t)'!H51,'TUoS (t)'!H51,'JSO (t)'!H51)</f>
        <v>0</v>
      </c>
      <c r="I51" s="471">
        <f>SUM('DUoS (t)'!I51,'TUoS (t)'!I51,'JSO (t)'!I51)</f>
        <v>0</v>
      </c>
      <c r="J51" s="471">
        <f>SUM('DUoS (t)'!J51,'TUoS (t)'!J51,'JSO (t)'!J51)</f>
        <v>0</v>
      </c>
      <c r="K51" s="472">
        <f>SUM('DUoS (t)'!K51,'TUoS (t)'!K51,'JSO (t)'!K51)</f>
        <v>0</v>
      </c>
      <c r="L51" s="471">
        <f>SUM('DUoS (t)'!L51,'TUoS (t)'!L51,'JSO (t)'!L51)</f>
        <v>0</v>
      </c>
      <c r="M51" s="471">
        <f>SUM('DUoS (t)'!M51,'TUoS (t)'!M51,'JSO (t)'!M51)</f>
        <v>0</v>
      </c>
      <c r="N51" s="471">
        <f>SUM('DUoS (t)'!N51,'TUoS (t)'!N51,'JSO (t)'!N51)</f>
        <v>0</v>
      </c>
      <c r="O51" s="472">
        <f>SUM('DUoS (t)'!O51,'TUoS (t)'!O51,'JSO (t)'!O51)</f>
        <v>0</v>
      </c>
      <c r="P51" s="471">
        <f>SUM('DUoS (t)'!P51,'TUoS (t)'!P51,'JSO (t)'!P51)</f>
        <v>0</v>
      </c>
      <c r="Q51" s="471">
        <f>SUM('DUoS (t)'!Q51,'TUoS (t)'!Q51,'JSO (t)'!Q51)</f>
        <v>0</v>
      </c>
      <c r="R51" s="472">
        <f>SUM('DUoS (t)'!R51,'TUoS (t)'!R51,'JSO (t)'!R51)</f>
        <v>0</v>
      </c>
      <c r="S51" s="489">
        <f>SUM('DUoS (t)'!S51,'TUoS (t)'!S51,'JSO (t)'!S51)</f>
        <v>0.25329999999999997</v>
      </c>
      <c r="T51" s="494">
        <f>SUM('DUoS (t)'!T51,'TUoS (t)'!T51,'JSO (t)'!T51)</f>
        <v>0.1036</v>
      </c>
      <c r="U51" s="490">
        <f>SUM('DUoS (t)'!U51,'TUoS (t)'!U51,'JSO (t)'!U51)</f>
        <v>0</v>
      </c>
      <c r="V51" s="472">
        <f>SUM('DUoS (t)'!V51,'TUoS (t)'!V51,'JSO (t)'!V51)</f>
        <v>0</v>
      </c>
      <c r="X51" s="183">
        <f>'Q (t)'!G51</f>
        <v>365</v>
      </c>
      <c r="Y51" s="184">
        <f>'Q (t)'!H51</f>
        <v>0</v>
      </c>
      <c r="Z51" s="178">
        <f>'Q (t)'!I51</f>
        <v>0</v>
      </c>
      <c r="AA51" s="178">
        <f>'Q (t)'!J51</f>
        <v>0</v>
      </c>
      <c r="AB51" s="179">
        <f>'Q (t)'!K51</f>
        <v>100</v>
      </c>
      <c r="AC51" s="178">
        <f>'Q (t)'!L51</f>
        <v>0</v>
      </c>
      <c r="AD51" s="178">
        <f>'Q (t)'!M51</f>
        <v>0</v>
      </c>
      <c r="AE51" s="178">
        <f>'Q (t)'!N51</f>
        <v>0</v>
      </c>
      <c r="AF51" s="179">
        <f>'Q (t)'!O51</f>
        <v>0</v>
      </c>
      <c r="AG51" s="178">
        <f>'Q (t)'!P51</f>
        <v>0</v>
      </c>
      <c r="AH51" s="178">
        <f>'Q (t)'!Q51</f>
        <v>0</v>
      </c>
      <c r="AI51" s="179">
        <f>'Q (t)'!R51</f>
        <v>0</v>
      </c>
      <c r="AJ51" s="184">
        <f>'Q (t)'!S51</f>
        <v>0</v>
      </c>
      <c r="AK51" s="178">
        <f>'Q (t)'!T51</f>
        <v>0</v>
      </c>
      <c r="AL51" s="184">
        <f>'Q (t)'!U51</f>
        <v>0</v>
      </c>
      <c r="AM51" s="179">
        <f>'Q (t)'!V51</f>
        <v>0</v>
      </c>
      <c r="AO51" s="183">
        <f t="shared" si="2"/>
        <v>2.4999945000000001</v>
      </c>
      <c r="AP51" s="184">
        <f t="shared" si="29"/>
        <v>0</v>
      </c>
      <c r="AQ51" s="178">
        <f t="shared" si="29"/>
        <v>0</v>
      </c>
      <c r="AR51" s="178">
        <f t="shared" si="29"/>
        <v>0</v>
      </c>
      <c r="AS51" s="179">
        <f t="shared" si="29"/>
        <v>0</v>
      </c>
      <c r="AT51" s="178">
        <f t="shared" si="29"/>
        <v>0</v>
      </c>
      <c r="AU51" s="178">
        <f t="shared" si="29"/>
        <v>0</v>
      </c>
      <c r="AV51" s="178">
        <f t="shared" si="29"/>
        <v>0</v>
      </c>
      <c r="AW51" s="179">
        <f t="shared" si="29"/>
        <v>0</v>
      </c>
      <c r="AX51" s="178">
        <f t="shared" si="1"/>
        <v>0</v>
      </c>
      <c r="AY51" s="178">
        <f t="shared" si="1"/>
        <v>0</v>
      </c>
      <c r="AZ51" s="179">
        <f t="shared" si="1"/>
        <v>0</v>
      </c>
      <c r="BA51" s="184">
        <f t="shared" ref="BA51:BD111" si="40">S51*AJ51/1000</f>
        <v>0</v>
      </c>
      <c r="BB51" s="178">
        <f t="shared" si="40"/>
        <v>0</v>
      </c>
      <c r="BC51" s="184">
        <f t="shared" si="40"/>
        <v>0</v>
      </c>
      <c r="BD51" s="178">
        <f t="shared" si="40"/>
        <v>0</v>
      </c>
      <c r="BE51" s="251">
        <f t="shared" si="3"/>
        <v>1</v>
      </c>
      <c r="BF51" s="252">
        <f t="shared" si="39"/>
        <v>100</v>
      </c>
      <c r="BH51" s="262">
        <f t="shared" si="34"/>
        <v>2.4999945000000001</v>
      </c>
      <c r="BI51" s="262">
        <f t="shared" si="35"/>
        <v>0</v>
      </c>
      <c r="BJ51" s="262">
        <f t="shared" si="36"/>
        <v>0</v>
      </c>
      <c r="BK51" s="263">
        <f t="shared" si="37"/>
        <v>0</v>
      </c>
      <c r="BL51" s="269">
        <f t="shared" si="38"/>
        <v>0</v>
      </c>
      <c r="BM51" s="264">
        <f t="shared" si="5"/>
        <v>2.4999945000000001</v>
      </c>
      <c r="BO51" s="732">
        <f t="shared" si="6"/>
        <v>24.999945000000004</v>
      </c>
    </row>
    <row r="52" spans="2:67" ht="15" customHeight="1" x14ac:dyDescent="0.25">
      <c r="B52" s="156">
        <f t="shared" si="26"/>
        <v>10</v>
      </c>
      <c r="C52" s="211"/>
      <c r="D52" s="212"/>
      <c r="E52" s="217" t="s">
        <v>100</v>
      </c>
      <c r="G52" s="493">
        <f>SUM('DUoS (t)'!G52,'TUoS (t)'!G52,'JSO (t)'!G52)</f>
        <v>0</v>
      </c>
      <c r="H52" s="490">
        <f>SUM('DUoS (t)'!H52,'TUoS (t)'!H52,'JSO (t)'!H52)</f>
        <v>0</v>
      </c>
      <c r="I52" s="471">
        <f>SUM('DUoS (t)'!I52,'TUoS (t)'!I52,'JSO (t)'!I52)</f>
        <v>0</v>
      </c>
      <c r="J52" s="471">
        <f>SUM('DUoS (t)'!J52,'TUoS (t)'!J52,'JSO (t)'!J52)</f>
        <v>0</v>
      </c>
      <c r="K52" s="472">
        <f>SUM('DUoS (t)'!K52,'TUoS (t)'!K52,'JSO (t)'!K52)</f>
        <v>0</v>
      </c>
      <c r="L52" s="471">
        <f>SUM('DUoS (t)'!L52,'TUoS (t)'!L52,'JSO (t)'!L52)</f>
        <v>0</v>
      </c>
      <c r="M52" s="471">
        <f>SUM('DUoS (t)'!M52,'TUoS (t)'!M52,'JSO (t)'!M52)</f>
        <v>0</v>
      </c>
      <c r="N52" s="471">
        <f>SUM('DUoS (t)'!N52,'TUoS (t)'!N52,'JSO (t)'!N52)</f>
        <v>0</v>
      </c>
      <c r="O52" s="472">
        <f>SUM('DUoS (t)'!O52,'TUoS (t)'!O52,'JSO (t)'!O52)</f>
        <v>0</v>
      </c>
      <c r="P52" s="471">
        <f>SUM('DUoS (t)'!P52,'TUoS (t)'!P52,'JSO (t)'!P52)</f>
        <v>0</v>
      </c>
      <c r="Q52" s="471">
        <f>SUM('DUoS (t)'!Q52,'TUoS (t)'!Q52,'JSO (t)'!Q52)</f>
        <v>0</v>
      </c>
      <c r="R52" s="472">
        <f>SUM('DUoS (t)'!R52,'TUoS (t)'!R52,'JSO (t)'!R52)</f>
        <v>0</v>
      </c>
      <c r="S52" s="490">
        <f>SUM('DUoS (t)'!S52,'TUoS (t)'!S52,'JSO (t)'!S52)</f>
        <v>0</v>
      </c>
      <c r="T52" s="471">
        <f>SUM('DUoS (t)'!T52,'TUoS (t)'!T52,'JSO (t)'!T52)</f>
        <v>0</v>
      </c>
      <c r="U52" s="490">
        <f>SUM('DUoS (t)'!U52,'TUoS (t)'!U52,'JSO (t)'!U52)</f>
        <v>0</v>
      </c>
      <c r="V52" s="472">
        <f>SUM('DUoS (t)'!V52,'TUoS (t)'!V52,'JSO (t)'!V52)</f>
        <v>0</v>
      </c>
      <c r="X52" s="183">
        <f>'Q (t)'!G52</f>
        <v>0</v>
      </c>
      <c r="Y52" s="184">
        <f>'Q (t)'!H52</f>
        <v>0</v>
      </c>
      <c r="Z52" s="178">
        <f>'Q (t)'!I52</f>
        <v>0</v>
      </c>
      <c r="AA52" s="178">
        <f>'Q (t)'!J52</f>
        <v>0</v>
      </c>
      <c r="AB52" s="179">
        <f>'Q (t)'!K52</f>
        <v>0</v>
      </c>
      <c r="AC52" s="178">
        <f>'Q (t)'!L52</f>
        <v>0</v>
      </c>
      <c r="AD52" s="178">
        <f>'Q (t)'!M52</f>
        <v>0</v>
      </c>
      <c r="AE52" s="178">
        <f>'Q (t)'!N52</f>
        <v>0</v>
      </c>
      <c r="AF52" s="179">
        <f>'Q (t)'!O52</f>
        <v>0</v>
      </c>
      <c r="AG52" s="178">
        <f>'Q (t)'!P52</f>
        <v>0</v>
      </c>
      <c r="AH52" s="178">
        <f>'Q (t)'!Q52</f>
        <v>0</v>
      </c>
      <c r="AI52" s="179">
        <f>'Q (t)'!R52</f>
        <v>0</v>
      </c>
      <c r="AJ52" s="184">
        <f>'Q (t)'!S52</f>
        <v>0</v>
      </c>
      <c r="AK52" s="178">
        <f>'Q (t)'!T52</f>
        <v>0</v>
      </c>
      <c r="AL52" s="184">
        <f>'Q (t)'!U52</f>
        <v>0</v>
      </c>
      <c r="AM52" s="179">
        <f>'Q (t)'!V52</f>
        <v>0</v>
      </c>
      <c r="AO52" s="183">
        <f t="shared" si="2"/>
        <v>0</v>
      </c>
      <c r="AP52" s="184">
        <f t="shared" si="29"/>
        <v>0</v>
      </c>
      <c r="AQ52" s="178">
        <f t="shared" si="29"/>
        <v>0</v>
      </c>
      <c r="AR52" s="178">
        <f t="shared" si="29"/>
        <v>0</v>
      </c>
      <c r="AS52" s="179">
        <f t="shared" si="29"/>
        <v>0</v>
      </c>
      <c r="AT52" s="178">
        <f t="shared" si="29"/>
        <v>0</v>
      </c>
      <c r="AU52" s="178">
        <f t="shared" si="29"/>
        <v>0</v>
      </c>
      <c r="AV52" s="178">
        <f t="shared" si="29"/>
        <v>0</v>
      </c>
      <c r="AW52" s="179">
        <f t="shared" si="29"/>
        <v>0</v>
      </c>
      <c r="AX52" s="178">
        <f t="shared" ref="AX52:BC112" si="41">P52*AG52/1000</f>
        <v>0</v>
      </c>
      <c r="AY52" s="178">
        <f t="shared" si="41"/>
        <v>0</v>
      </c>
      <c r="AZ52" s="179">
        <f t="shared" si="41"/>
        <v>0</v>
      </c>
      <c r="BA52" s="184">
        <f t="shared" si="40"/>
        <v>0</v>
      </c>
      <c r="BB52" s="178">
        <f t="shared" si="40"/>
        <v>0</v>
      </c>
      <c r="BC52" s="184">
        <f t="shared" si="40"/>
        <v>0</v>
      </c>
      <c r="BD52" s="178">
        <f t="shared" si="40"/>
        <v>0</v>
      </c>
      <c r="BE52" s="251">
        <f t="shared" si="3"/>
        <v>0</v>
      </c>
      <c r="BF52" s="252">
        <f t="shared" si="39"/>
        <v>0</v>
      </c>
      <c r="BH52" s="262">
        <f t="shared" si="34"/>
        <v>0</v>
      </c>
      <c r="BI52" s="262">
        <f t="shared" si="35"/>
        <v>0</v>
      </c>
      <c r="BJ52" s="262">
        <f t="shared" si="36"/>
        <v>0</v>
      </c>
      <c r="BK52" s="263">
        <f t="shared" si="37"/>
        <v>0</v>
      </c>
      <c r="BL52" s="269">
        <f t="shared" si="38"/>
        <v>0</v>
      </c>
      <c r="BM52" s="264">
        <f t="shared" si="5"/>
        <v>0</v>
      </c>
      <c r="BO52" s="732" t="str">
        <f t="shared" si="6"/>
        <v/>
      </c>
    </row>
    <row r="53" spans="2:67" ht="15" customHeight="1" x14ac:dyDescent="0.25">
      <c r="B53" s="156">
        <f t="shared" si="26"/>
        <v>11</v>
      </c>
      <c r="C53" s="180" t="s">
        <v>585</v>
      </c>
      <c r="D53" s="181"/>
      <c r="E53" s="210" t="s">
        <v>94</v>
      </c>
      <c r="G53" s="488">
        <f>SUM('DUoS (t)'!G53,'TUoS (t)'!G53,'JSO (t)'!G53)</f>
        <v>41.095800000000004</v>
      </c>
      <c r="H53" s="490">
        <f>SUM('DUoS (t)'!H53,'TUoS (t)'!H53,'JSO (t)'!H53)</f>
        <v>0</v>
      </c>
      <c r="I53" s="494">
        <f>SUM('DUoS (t)'!I53,'TUoS (t)'!I53,'JSO (t)'!I53)</f>
        <v>6.6200000000000009E-2</v>
      </c>
      <c r="J53" s="471">
        <f>SUM('DUoS (t)'!J53,'TUoS (t)'!J53,'JSO (t)'!J53)</f>
        <v>0</v>
      </c>
      <c r="K53" s="495">
        <f>SUM('DUoS (t)'!K53,'TUoS (t)'!K53,'JSO (t)'!K53)</f>
        <v>4.1399999999999999E-2</v>
      </c>
      <c r="L53" s="471">
        <f>SUM('DUoS (t)'!L53,'TUoS (t)'!L53,'JSO (t)'!L53)</f>
        <v>0</v>
      </c>
      <c r="M53" s="471">
        <f>SUM('DUoS (t)'!M53,'TUoS (t)'!M53,'JSO (t)'!M53)</f>
        <v>0</v>
      </c>
      <c r="N53" s="471">
        <f>SUM('DUoS (t)'!N53,'TUoS (t)'!N53,'JSO (t)'!N53)</f>
        <v>0</v>
      </c>
      <c r="O53" s="472">
        <f>SUM('DUoS (t)'!O53,'TUoS (t)'!O53,'JSO (t)'!O53)</f>
        <v>0</v>
      </c>
      <c r="P53" s="471">
        <f>SUM('DUoS (t)'!P53,'TUoS (t)'!P53,'JSO (t)'!P53)</f>
        <v>0</v>
      </c>
      <c r="Q53" s="471">
        <f>SUM('DUoS (t)'!Q53,'TUoS (t)'!Q53,'JSO (t)'!Q53)</f>
        <v>0</v>
      </c>
      <c r="R53" s="472">
        <f>SUM('DUoS (t)'!R53,'TUoS (t)'!R53,'JSO (t)'!R53)</f>
        <v>0</v>
      </c>
      <c r="S53" s="489">
        <f>SUM('DUoS (t)'!S53,'TUoS (t)'!S53,'JSO (t)'!S53)</f>
        <v>0.25329999999999997</v>
      </c>
      <c r="T53" s="494">
        <f>SUM('DUoS (t)'!T53,'TUoS (t)'!T53,'JSO (t)'!T53)</f>
        <v>0.1036</v>
      </c>
      <c r="U53" s="490">
        <f>SUM('DUoS (t)'!U53,'TUoS (t)'!U53,'JSO (t)'!U53)</f>
        <v>0</v>
      </c>
      <c r="V53" s="472">
        <f>SUM('DUoS (t)'!V53,'TUoS (t)'!V53,'JSO (t)'!V53)</f>
        <v>0</v>
      </c>
      <c r="X53" s="183">
        <f>'Q (t)'!G53</f>
        <v>0</v>
      </c>
      <c r="Y53" s="184">
        <f>'Q (t)'!H53</f>
        <v>0</v>
      </c>
      <c r="Z53" s="178">
        <f>'Q (t)'!I53</f>
        <v>0</v>
      </c>
      <c r="AA53" s="178">
        <f>'Q (t)'!J53</f>
        <v>0</v>
      </c>
      <c r="AB53" s="179">
        <f>'Q (t)'!K53</f>
        <v>0</v>
      </c>
      <c r="AC53" s="178">
        <f>'Q (t)'!L53</f>
        <v>0</v>
      </c>
      <c r="AD53" s="178">
        <f>'Q (t)'!M53</f>
        <v>0</v>
      </c>
      <c r="AE53" s="178">
        <f>'Q (t)'!N53</f>
        <v>0</v>
      </c>
      <c r="AF53" s="179">
        <f>'Q (t)'!O53</f>
        <v>0</v>
      </c>
      <c r="AG53" s="178">
        <f>'Q (t)'!P53</f>
        <v>0</v>
      </c>
      <c r="AH53" s="178">
        <f>'Q (t)'!Q53</f>
        <v>0</v>
      </c>
      <c r="AI53" s="179">
        <f>'Q (t)'!R53</f>
        <v>0</v>
      </c>
      <c r="AJ53" s="184">
        <f>'Q (t)'!S53</f>
        <v>0</v>
      </c>
      <c r="AK53" s="178">
        <f>'Q (t)'!T53</f>
        <v>0</v>
      </c>
      <c r="AL53" s="184">
        <f>'Q (t)'!U53</f>
        <v>0</v>
      </c>
      <c r="AM53" s="179">
        <f>'Q (t)'!V53</f>
        <v>0</v>
      </c>
      <c r="AO53" s="183">
        <f t="shared" si="2"/>
        <v>0</v>
      </c>
      <c r="AP53" s="184">
        <f t="shared" si="29"/>
        <v>0</v>
      </c>
      <c r="AQ53" s="178">
        <f t="shared" si="29"/>
        <v>0</v>
      </c>
      <c r="AR53" s="178">
        <f t="shared" si="29"/>
        <v>0</v>
      </c>
      <c r="AS53" s="179">
        <f t="shared" si="29"/>
        <v>0</v>
      </c>
      <c r="AT53" s="178">
        <f t="shared" si="29"/>
        <v>0</v>
      </c>
      <c r="AU53" s="178">
        <f t="shared" si="29"/>
        <v>0</v>
      </c>
      <c r="AV53" s="178">
        <f t="shared" si="29"/>
        <v>0</v>
      </c>
      <c r="AW53" s="179">
        <f t="shared" si="29"/>
        <v>0</v>
      </c>
      <c r="AX53" s="178">
        <f t="shared" si="41"/>
        <v>0</v>
      </c>
      <c r="AY53" s="178">
        <f t="shared" si="41"/>
        <v>0</v>
      </c>
      <c r="AZ53" s="179">
        <f t="shared" si="41"/>
        <v>0</v>
      </c>
      <c r="BA53" s="184">
        <f t="shared" si="40"/>
        <v>0</v>
      </c>
      <c r="BB53" s="178">
        <f t="shared" si="40"/>
        <v>0</v>
      </c>
      <c r="BC53" s="184">
        <f t="shared" si="40"/>
        <v>0</v>
      </c>
      <c r="BD53" s="178">
        <f t="shared" si="40"/>
        <v>0</v>
      </c>
      <c r="BE53" s="251">
        <f t="shared" si="3"/>
        <v>0</v>
      </c>
      <c r="BF53" s="252">
        <f t="shared" si="39"/>
        <v>0</v>
      </c>
      <c r="BH53" s="262">
        <f t="shared" si="34"/>
        <v>0</v>
      </c>
      <c r="BI53" s="262">
        <f t="shared" si="35"/>
        <v>0</v>
      </c>
      <c r="BJ53" s="262">
        <f t="shared" si="36"/>
        <v>0</v>
      </c>
      <c r="BK53" s="263">
        <f t="shared" si="37"/>
        <v>0</v>
      </c>
      <c r="BL53" s="269">
        <f t="shared" si="38"/>
        <v>0</v>
      </c>
      <c r="BM53" s="264">
        <f t="shared" si="5"/>
        <v>0</v>
      </c>
      <c r="BO53" s="732" t="str">
        <f t="shared" si="6"/>
        <v/>
      </c>
    </row>
    <row r="54" spans="2:67" ht="15" customHeight="1" x14ac:dyDescent="0.25">
      <c r="B54" s="156">
        <f t="shared" si="26"/>
        <v>12</v>
      </c>
      <c r="C54" s="180" t="s">
        <v>586</v>
      </c>
      <c r="D54" s="181"/>
      <c r="E54" s="210" t="s">
        <v>94</v>
      </c>
      <c r="G54" s="488">
        <f>SUM('DUoS (t)'!G54,'TUoS (t)'!G54,'JSO (t)'!G54)</f>
        <v>34.246500000000005</v>
      </c>
      <c r="H54" s="490">
        <f>SUM('DUoS (t)'!H54,'TUoS (t)'!H54,'JSO (t)'!H54)</f>
        <v>0</v>
      </c>
      <c r="I54" s="494">
        <f>SUM('DUoS (t)'!I54,'TUoS (t)'!I54,'JSO (t)'!I54)</f>
        <v>6.6200000000000009E-2</v>
      </c>
      <c r="J54" s="471">
        <f>SUM('DUoS (t)'!J54,'TUoS (t)'!J54,'JSO (t)'!J54)</f>
        <v>0</v>
      </c>
      <c r="K54" s="495">
        <f>SUM('DUoS (t)'!K54,'TUoS (t)'!K54,'JSO (t)'!K54)</f>
        <v>4.1399999999999999E-2</v>
      </c>
      <c r="L54" s="471">
        <f>SUM('DUoS (t)'!L54,'TUoS (t)'!L54,'JSO (t)'!L54)</f>
        <v>0</v>
      </c>
      <c r="M54" s="471">
        <f>SUM('DUoS (t)'!M54,'TUoS (t)'!M54,'JSO (t)'!M54)</f>
        <v>0</v>
      </c>
      <c r="N54" s="471">
        <f>SUM('DUoS (t)'!N54,'TUoS (t)'!N54,'JSO (t)'!N54)</f>
        <v>0</v>
      </c>
      <c r="O54" s="472">
        <f>SUM('DUoS (t)'!O54,'TUoS (t)'!O54,'JSO (t)'!O54)</f>
        <v>0</v>
      </c>
      <c r="P54" s="471">
        <f>SUM('DUoS (t)'!P54,'TUoS (t)'!P54,'JSO (t)'!P54)</f>
        <v>0</v>
      </c>
      <c r="Q54" s="471">
        <f>SUM('DUoS (t)'!Q54,'TUoS (t)'!Q54,'JSO (t)'!Q54)</f>
        <v>0</v>
      </c>
      <c r="R54" s="472">
        <f>SUM('DUoS (t)'!R54,'TUoS (t)'!R54,'JSO (t)'!R54)</f>
        <v>0</v>
      </c>
      <c r="S54" s="489">
        <f>SUM('DUoS (t)'!S54,'TUoS (t)'!S54,'JSO (t)'!S54)</f>
        <v>0.25329999999999997</v>
      </c>
      <c r="T54" s="494">
        <f>SUM('DUoS (t)'!T54,'TUoS (t)'!T54,'JSO (t)'!T54)</f>
        <v>0.1036</v>
      </c>
      <c r="U54" s="490">
        <f>SUM('DUoS (t)'!U54,'TUoS (t)'!U54,'JSO (t)'!U54)</f>
        <v>0</v>
      </c>
      <c r="V54" s="472">
        <f>SUM('DUoS (t)'!V54,'TUoS (t)'!V54,'JSO (t)'!V54)</f>
        <v>0</v>
      </c>
      <c r="X54" s="183">
        <f>'Q (t)'!G54</f>
        <v>0</v>
      </c>
      <c r="Y54" s="184">
        <f>'Q (t)'!H54</f>
        <v>0</v>
      </c>
      <c r="Z54" s="178">
        <f>'Q (t)'!I54</f>
        <v>0</v>
      </c>
      <c r="AA54" s="178">
        <f>'Q (t)'!J54</f>
        <v>0</v>
      </c>
      <c r="AB54" s="179">
        <f>'Q (t)'!K54</f>
        <v>0</v>
      </c>
      <c r="AC54" s="178">
        <f>'Q (t)'!L54</f>
        <v>0</v>
      </c>
      <c r="AD54" s="178">
        <f>'Q (t)'!M54</f>
        <v>0</v>
      </c>
      <c r="AE54" s="178">
        <f>'Q (t)'!N54</f>
        <v>0</v>
      </c>
      <c r="AF54" s="179">
        <f>'Q (t)'!O54</f>
        <v>0</v>
      </c>
      <c r="AG54" s="178">
        <f>'Q (t)'!P54</f>
        <v>0</v>
      </c>
      <c r="AH54" s="178">
        <f>'Q (t)'!Q54</f>
        <v>0</v>
      </c>
      <c r="AI54" s="179">
        <f>'Q (t)'!R54</f>
        <v>0</v>
      </c>
      <c r="AJ54" s="184">
        <f>'Q (t)'!S54</f>
        <v>0</v>
      </c>
      <c r="AK54" s="178">
        <f>'Q (t)'!T54</f>
        <v>0</v>
      </c>
      <c r="AL54" s="184">
        <f>'Q (t)'!U54</f>
        <v>0</v>
      </c>
      <c r="AM54" s="179">
        <f>'Q (t)'!V54</f>
        <v>0</v>
      </c>
      <c r="AO54" s="183">
        <f t="shared" si="2"/>
        <v>0</v>
      </c>
      <c r="AP54" s="184">
        <f t="shared" si="29"/>
        <v>0</v>
      </c>
      <c r="AQ54" s="178">
        <f t="shared" si="29"/>
        <v>0</v>
      </c>
      <c r="AR54" s="178">
        <f t="shared" si="29"/>
        <v>0</v>
      </c>
      <c r="AS54" s="179">
        <f t="shared" si="29"/>
        <v>0</v>
      </c>
      <c r="AT54" s="178">
        <f t="shared" si="29"/>
        <v>0</v>
      </c>
      <c r="AU54" s="178">
        <f t="shared" si="29"/>
        <v>0</v>
      </c>
      <c r="AV54" s="178">
        <f t="shared" si="29"/>
        <v>0</v>
      </c>
      <c r="AW54" s="179">
        <f t="shared" si="29"/>
        <v>0</v>
      </c>
      <c r="AX54" s="178">
        <f t="shared" si="41"/>
        <v>0</v>
      </c>
      <c r="AY54" s="178">
        <f t="shared" si="41"/>
        <v>0</v>
      </c>
      <c r="AZ54" s="179">
        <f t="shared" si="41"/>
        <v>0</v>
      </c>
      <c r="BA54" s="184">
        <f t="shared" si="40"/>
        <v>0</v>
      </c>
      <c r="BB54" s="178">
        <f t="shared" si="40"/>
        <v>0</v>
      </c>
      <c r="BC54" s="184">
        <f t="shared" si="40"/>
        <v>0</v>
      </c>
      <c r="BD54" s="178">
        <f t="shared" si="40"/>
        <v>0</v>
      </c>
      <c r="BE54" s="251">
        <f t="shared" si="3"/>
        <v>0</v>
      </c>
      <c r="BF54" s="252">
        <f t="shared" si="39"/>
        <v>0</v>
      </c>
      <c r="BH54" s="262">
        <f t="shared" si="34"/>
        <v>0</v>
      </c>
      <c r="BI54" s="262">
        <f t="shared" si="35"/>
        <v>0</v>
      </c>
      <c r="BJ54" s="262">
        <f t="shared" si="36"/>
        <v>0</v>
      </c>
      <c r="BK54" s="263">
        <f t="shared" si="37"/>
        <v>0</v>
      </c>
      <c r="BL54" s="269">
        <f t="shared" si="38"/>
        <v>0</v>
      </c>
      <c r="BM54" s="264">
        <f t="shared" si="5"/>
        <v>0</v>
      </c>
      <c r="BO54" s="732" t="str">
        <f t="shared" si="6"/>
        <v/>
      </c>
    </row>
    <row r="55" spans="2:67" ht="15" customHeight="1" x14ac:dyDescent="0.25">
      <c r="B55" s="156">
        <f t="shared" si="26"/>
        <v>13</v>
      </c>
      <c r="C55" s="180" t="s">
        <v>587</v>
      </c>
      <c r="D55" s="181"/>
      <c r="E55" s="210" t="s">
        <v>94</v>
      </c>
      <c r="G55" s="488">
        <f>SUM('DUoS (t)'!G55,'TUoS (t)'!G55,'JSO (t)'!G55)</f>
        <v>27.397200000000002</v>
      </c>
      <c r="H55" s="490">
        <f>SUM('DUoS (t)'!H55,'TUoS (t)'!H55,'JSO (t)'!H55)</f>
        <v>0</v>
      </c>
      <c r="I55" s="494">
        <f>SUM('DUoS (t)'!I55,'TUoS (t)'!I55,'JSO (t)'!I55)</f>
        <v>6.6200000000000009E-2</v>
      </c>
      <c r="J55" s="471">
        <f>SUM('DUoS (t)'!J55,'TUoS (t)'!J55,'JSO (t)'!J55)</f>
        <v>0</v>
      </c>
      <c r="K55" s="495">
        <f>SUM('DUoS (t)'!K55,'TUoS (t)'!K55,'JSO (t)'!K55)</f>
        <v>4.1399999999999999E-2</v>
      </c>
      <c r="L55" s="471">
        <f>SUM('DUoS (t)'!L55,'TUoS (t)'!L55,'JSO (t)'!L55)</f>
        <v>0</v>
      </c>
      <c r="M55" s="471">
        <f>SUM('DUoS (t)'!M55,'TUoS (t)'!M55,'JSO (t)'!M55)</f>
        <v>0</v>
      </c>
      <c r="N55" s="471">
        <f>SUM('DUoS (t)'!N55,'TUoS (t)'!N55,'JSO (t)'!N55)</f>
        <v>0</v>
      </c>
      <c r="O55" s="472">
        <f>SUM('DUoS (t)'!O55,'TUoS (t)'!O55,'JSO (t)'!O55)</f>
        <v>0</v>
      </c>
      <c r="P55" s="471">
        <f>SUM('DUoS (t)'!P55,'TUoS (t)'!P55,'JSO (t)'!P55)</f>
        <v>0</v>
      </c>
      <c r="Q55" s="471">
        <f>SUM('DUoS (t)'!Q55,'TUoS (t)'!Q55,'JSO (t)'!Q55)</f>
        <v>0</v>
      </c>
      <c r="R55" s="472">
        <f>SUM('DUoS (t)'!R55,'TUoS (t)'!R55,'JSO (t)'!R55)</f>
        <v>0</v>
      </c>
      <c r="S55" s="489">
        <f>SUM('DUoS (t)'!S55,'TUoS (t)'!S55,'JSO (t)'!S55)</f>
        <v>0.25329999999999997</v>
      </c>
      <c r="T55" s="494">
        <f>SUM('DUoS (t)'!T55,'TUoS (t)'!T55,'JSO (t)'!T55)</f>
        <v>0.1036</v>
      </c>
      <c r="U55" s="490">
        <f>SUM('DUoS (t)'!U55,'TUoS (t)'!U55,'JSO (t)'!U55)</f>
        <v>0</v>
      </c>
      <c r="V55" s="472">
        <f>SUM('DUoS (t)'!V55,'TUoS (t)'!V55,'JSO (t)'!V55)</f>
        <v>0</v>
      </c>
      <c r="X55" s="183">
        <f>'Q (t)'!G55</f>
        <v>0</v>
      </c>
      <c r="Y55" s="184">
        <f>'Q (t)'!H55</f>
        <v>0</v>
      </c>
      <c r="Z55" s="178">
        <f>'Q (t)'!I55</f>
        <v>0</v>
      </c>
      <c r="AA55" s="178">
        <f>'Q (t)'!J55</f>
        <v>0</v>
      </c>
      <c r="AB55" s="179">
        <f>'Q (t)'!K55</f>
        <v>0</v>
      </c>
      <c r="AC55" s="178">
        <f>'Q (t)'!L55</f>
        <v>0</v>
      </c>
      <c r="AD55" s="178">
        <f>'Q (t)'!M55</f>
        <v>0</v>
      </c>
      <c r="AE55" s="178">
        <f>'Q (t)'!N55</f>
        <v>0</v>
      </c>
      <c r="AF55" s="179">
        <f>'Q (t)'!O55</f>
        <v>0</v>
      </c>
      <c r="AG55" s="178">
        <f>'Q (t)'!P55</f>
        <v>0</v>
      </c>
      <c r="AH55" s="178">
        <f>'Q (t)'!Q55</f>
        <v>0</v>
      </c>
      <c r="AI55" s="179">
        <f>'Q (t)'!R55</f>
        <v>0</v>
      </c>
      <c r="AJ55" s="184">
        <f>'Q (t)'!S55</f>
        <v>0</v>
      </c>
      <c r="AK55" s="178">
        <f>'Q (t)'!T55</f>
        <v>0</v>
      </c>
      <c r="AL55" s="184">
        <f>'Q (t)'!U55</f>
        <v>0</v>
      </c>
      <c r="AM55" s="179">
        <f>'Q (t)'!V55</f>
        <v>0</v>
      </c>
      <c r="AO55" s="183">
        <f t="shared" si="2"/>
        <v>0</v>
      </c>
      <c r="AP55" s="184">
        <f t="shared" si="29"/>
        <v>0</v>
      </c>
      <c r="AQ55" s="178">
        <f t="shared" si="29"/>
        <v>0</v>
      </c>
      <c r="AR55" s="178">
        <f t="shared" si="29"/>
        <v>0</v>
      </c>
      <c r="AS55" s="179">
        <f t="shared" si="29"/>
        <v>0</v>
      </c>
      <c r="AT55" s="178">
        <f t="shared" si="29"/>
        <v>0</v>
      </c>
      <c r="AU55" s="178">
        <f t="shared" si="29"/>
        <v>0</v>
      </c>
      <c r="AV55" s="178">
        <f t="shared" si="29"/>
        <v>0</v>
      </c>
      <c r="AW55" s="179">
        <f t="shared" si="29"/>
        <v>0</v>
      </c>
      <c r="AX55" s="178">
        <f t="shared" si="41"/>
        <v>0</v>
      </c>
      <c r="AY55" s="178">
        <f t="shared" si="41"/>
        <v>0</v>
      </c>
      <c r="AZ55" s="179">
        <f t="shared" si="41"/>
        <v>0</v>
      </c>
      <c r="BA55" s="184">
        <f t="shared" si="40"/>
        <v>0</v>
      </c>
      <c r="BB55" s="178">
        <f t="shared" si="40"/>
        <v>0</v>
      </c>
      <c r="BC55" s="184">
        <f t="shared" si="40"/>
        <v>0</v>
      </c>
      <c r="BD55" s="178">
        <f t="shared" si="40"/>
        <v>0</v>
      </c>
      <c r="BE55" s="251">
        <f t="shared" si="3"/>
        <v>0</v>
      </c>
      <c r="BF55" s="252">
        <f t="shared" si="39"/>
        <v>0</v>
      </c>
      <c r="BH55" s="262">
        <f t="shared" si="34"/>
        <v>0</v>
      </c>
      <c r="BI55" s="262">
        <f t="shared" si="35"/>
        <v>0</v>
      </c>
      <c r="BJ55" s="262">
        <f t="shared" si="36"/>
        <v>0</v>
      </c>
      <c r="BK55" s="263">
        <f t="shared" si="37"/>
        <v>0</v>
      </c>
      <c r="BL55" s="269">
        <f t="shared" si="38"/>
        <v>0</v>
      </c>
      <c r="BM55" s="264">
        <f t="shared" si="5"/>
        <v>0</v>
      </c>
      <c r="BO55" s="732" t="str">
        <f t="shared" si="6"/>
        <v/>
      </c>
    </row>
    <row r="56" spans="2:67" ht="15" customHeight="1" x14ac:dyDescent="0.25">
      <c r="B56" s="156">
        <f t="shared" si="26"/>
        <v>14</v>
      </c>
      <c r="C56" s="180" t="s">
        <v>589</v>
      </c>
      <c r="D56" s="181"/>
      <c r="E56" s="210" t="s">
        <v>94</v>
      </c>
      <c r="G56" s="488">
        <f>SUM('DUoS (t)'!G56,'TUoS (t)'!G56,'JSO (t)'!G56)</f>
        <v>13.698600000000001</v>
      </c>
      <c r="H56" s="490">
        <f>SUM('DUoS (t)'!H56,'TUoS (t)'!H56,'JSO (t)'!H56)</f>
        <v>0</v>
      </c>
      <c r="I56" s="494">
        <f>SUM('DUoS (t)'!I56,'TUoS (t)'!I56,'JSO (t)'!I56)</f>
        <v>6.6200000000000009E-2</v>
      </c>
      <c r="J56" s="471">
        <f>SUM('DUoS (t)'!J56,'TUoS (t)'!J56,'JSO (t)'!J56)</f>
        <v>0</v>
      </c>
      <c r="K56" s="495">
        <f>SUM('DUoS (t)'!K56,'TUoS (t)'!K56,'JSO (t)'!K56)</f>
        <v>4.1399999999999999E-2</v>
      </c>
      <c r="L56" s="471">
        <f>SUM('DUoS (t)'!L56,'TUoS (t)'!L56,'JSO (t)'!L56)</f>
        <v>0</v>
      </c>
      <c r="M56" s="471">
        <f>SUM('DUoS (t)'!M56,'TUoS (t)'!M56,'JSO (t)'!M56)</f>
        <v>0</v>
      </c>
      <c r="N56" s="471">
        <f>SUM('DUoS (t)'!N56,'TUoS (t)'!N56,'JSO (t)'!N56)</f>
        <v>0</v>
      </c>
      <c r="O56" s="472">
        <f>SUM('DUoS (t)'!O56,'TUoS (t)'!O56,'JSO (t)'!O56)</f>
        <v>0</v>
      </c>
      <c r="P56" s="471">
        <f>SUM('DUoS (t)'!P56,'TUoS (t)'!P56,'JSO (t)'!P56)</f>
        <v>0</v>
      </c>
      <c r="Q56" s="471">
        <f>SUM('DUoS (t)'!Q56,'TUoS (t)'!Q56,'JSO (t)'!Q56)</f>
        <v>0</v>
      </c>
      <c r="R56" s="472">
        <f>SUM('DUoS (t)'!R56,'TUoS (t)'!R56,'JSO (t)'!R56)</f>
        <v>0</v>
      </c>
      <c r="S56" s="489">
        <f>SUM('DUoS (t)'!S56,'TUoS (t)'!S56,'JSO (t)'!S56)</f>
        <v>0.25329999999999997</v>
      </c>
      <c r="T56" s="494">
        <f>SUM('DUoS (t)'!T56,'TUoS (t)'!T56,'JSO (t)'!T56)</f>
        <v>0.1036</v>
      </c>
      <c r="U56" s="490">
        <f>SUM('DUoS (t)'!U56,'TUoS (t)'!U56,'JSO (t)'!U56)</f>
        <v>0</v>
      </c>
      <c r="V56" s="472">
        <f>SUM('DUoS (t)'!V56,'TUoS (t)'!V56,'JSO (t)'!V56)</f>
        <v>0</v>
      </c>
      <c r="X56" s="183">
        <f>'Q (t)'!G56</f>
        <v>0</v>
      </c>
      <c r="Y56" s="184">
        <f>'Q (t)'!H56</f>
        <v>0</v>
      </c>
      <c r="Z56" s="178">
        <f>'Q (t)'!I56</f>
        <v>0</v>
      </c>
      <c r="AA56" s="178">
        <f>'Q (t)'!J56</f>
        <v>0</v>
      </c>
      <c r="AB56" s="179">
        <f>'Q (t)'!K56</f>
        <v>0</v>
      </c>
      <c r="AC56" s="178">
        <f>'Q (t)'!L56</f>
        <v>0</v>
      </c>
      <c r="AD56" s="178">
        <f>'Q (t)'!M56</f>
        <v>0</v>
      </c>
      <c r="AE56" s="178">
        <f>'Q (t)'!N56</f>
        <v>0</v>
      </c>
      <c r="AF56" s="179">
        <f>'Q (t)'!O56</f>
        <v>0</v>
      </c>
      <c r="AG56" s="178">
        <f>'Q (t)'!P56</f>
        <v>0</v>
      </c>
      <c r="AH56" s="178">
        <f>'Q (t)'!Q56</f>
        <v>0</v>
      </c>
      <c r="AI56" s="179">
        <f>'Q (t)'!R56</f>
        <v>0</v>
      </c>
      <c r="AJ56" s="184">
        <f>'Q (t)'!S56</f>
        <v>0</v>
      </c>
      <c r="AK56" s="178">
        <f>'Q (t)'!T56</f>
        <v>0</v>
      </c>
      <c r="AL56" s="184">
        <f>'Q (t)'!U56</f>
        <v>0</v>
      </c>
      <c r="AM56" s="179">
        <f>'Q (t)'!V56</f>
        <v>0</v>
      </c>
      <c r="AO56" s="183">
        <f t="shared" si="2"/>
        <v>0</v>
      </c>
      <c r="AP56" s="184">
        <f t="shared" si="29"/>
        <v>0</v>
      </c>
      <c r="AQ56" s="178">
        <f t="shared" si="29"/>
        <v>0</v>
      </c>
      <c r="AR56" s="178">
        <f t="shared" si="29"/>
        <v>0</v>
      </c>
      <c r="AS56" s="179">
        <f t="shared" si="29"/>
        <v>0</v>
      </c>
      <c r="AT56" s="178">
        <f t="shared" si="29"/>
        <v>0</v>
      </c>
      <c r="AU56" s="178">
        <f t="shared" si="29"/>
        <v>0</v>
      </c>
      <c r="AV56" s="178">
        <f t="shared" si="29"/>
        <v>0</v>
      </c>
      <c r="AW56" s="179">
        <f t="shared" si="29"/>
        <v>0</v>
      </c>
      <c r="AX56" s="178">
        <f t="shared" si="41"/>
        <v>0</v>
      </c>
      <c r="AY56" s="178">
        <f t="shared" si="41"/>
        <v>0</v>
      </c>
      <c r="AZ56" s="179">
        <f t="shared" si="41"/>
        <v>0</v>
      </c>
      <c r="BA56" s="184">
        <f t="shared" si="40"/>
        <v>0</v>
      </c>
      <c r="BB56" s="178">
        <f t="shared" si="40"/>
        <v>0</v>
      </c>
      <c r="BC56" s="184">
        <f t="shared" si="40"/>
        <v>0</v>
      </c>
      <c r="BD56" s="178">
        <f t="shared" si="40"/>
        <v>0</v>
      </c>
      <c r="BE56" s="251">
        <f t="shared" si="3"/>
        <v>0</v>
      </c>
      <c r="BF56" s="252">
        <f t="shared" si="39"/>
        <v>0</v>
      </c>
      <c r="BH56" s="262">
        <f t="shared" si="34"/>
        <v>0</v>
      </c>
      <c r="BI56" s="262">
        <f t="shared" si="35"/>
        <v>0</v>
      </c>
      <c r="BJ56" s="262">
        <f t="shared" si="36"/>
        <v>0</v>
      </c>
      <c r="BK56" s="263">
        <f t="shared" si="37"/>
        <v>0</v>
      </c>
      <c r="BL56" s="269">
        <f t="shared" si="38"/>
        <v>0</v>
      </c>
      <c r="BM56" s="264">
        <f t="shared" si="5"/>
        <v>0</v>
      </c>
      <c r="BO56" s="732" t="str">
        <f t="shared" si="6"/>
        <v/>
      </c>
    </row>
    <row r="57" spans="2:67" ht="15" customHeight="1" x14ac:dyDescent="0.25">
      <c r="B57" s="156">
        <f t="shared" si="26"/>
        <v>15</v>
      </c>
      <c r="C57" s="180" t="s">
        <v>591</v>
      </c>
      <c r="D57" s="181"/>
      <c r="E57" s="210" t="s">
        <v>94</v>
      </c>
      <c r="G57" s="488">
        <f>SUM('DUoS (t)'!G57,'TUoS (t)'!G57,'JSO (t)'!G57)</f>
        <v>13.698600000000001</v>
      </c>
      <c r="H57" s="490">
        <f>SUM('DUoS (t)'!H57,'TUoS (t)'!H57,'JSO (t)'!H57)</f>
        <v>0</v>
      </c>
      <c r="I57" s="494">
        <f>SUM('DUoS (t)'!I57,'TUoS (t)'!I57,'JSO (t)'!I57)</f>
        <v>6.6200000000000009E-2</v>
      </c>
      <c r="J57" s="471">
        <f>SUM('DUoS (t)'!J57,'TUoS (t)'!J57,'JSO (t)'!J57)</f>
        <v>0</v>
      </c>
      <c r="K57" s="495">
        <f>SUM('DUoS (t)'!K57,'TUoS (t)'!K57,'JSO (t)'!K57)</f>
        <v>4.1399999999999999E-2</v>
      </c>
      <c r="L57" s="471">
        <f>SUM('DUoS (t)'!L57,'TUoS (t)'!L57,'JSO (t)'!L57)</f>
        <v>0</v>
      </c>
      <c r="M57" s="471">
        <f>SUM('DUoS (t)'!M57,'TUoS (t)'!M57,'JSO (t)'!M57)</f>
        <v>0</v>
      </c>
      <c r="N57" s="471">
        <f>SUM('DUoS (t)'!N57,'TUoS (t)'!N57,'JSO (t)'!N57)</f>
        <v>0</v>
      </c>
      <c r="O57" s="472">
        <f>SUM('DUoS (t)'!O57,'TUoS (t)'!O57,'JSO (t)'!O57)</f>
        <v>0</v>
      </c>
      <c r="P57" s="471">
        <f>SUM('DUoS (t)'!P57,'TUoS (t)'!P57,'JSO (t)'!P57)</f>
        <v>0</v>
      </c>
      <c r="Q57" s="471">
        <f>SUM('DUoS (t)'!Q57,'TUoS (t)'!Q57,'JSO (t)'!Q57)</f>
        <v>0</v>
      </c>
      <c r="R57" s="472">
        <f>SUM('DUoS (t)'!R57,'TUoS (t)'!R57,'JSO (t)'!R57)</f>
        <v>0</v>
      </c>
      <c r="S57" s="489">
        <f>SUM('DUoS (t)'!S57,'TUoS (t)'!S57,'JSO (t)'!S57)</f>
        <v>0.25329999999999997</v>
      </c>
      <c r="T57" s="494">
        <f>SUM('DUoS (t)'!T57,'TUoS (t)'!T57,'JSO (t)'!T57)</f>
        <v>0.1036</v>
      </c>
      <c r="U57" s="490">
        <f>SUM('DUoS (t)'!U57,'TUoS (t)'!U57,'JSO (t)'!U57)</f>
        <v>0</v>
      </c>
      <c r="V57" s="472">
        <f>SUM('DUoS (t)'!V57,'TUoS (t)'!V57,'JSO (t)'!V57)</f>
        <v>0</v>
      </c>
      <c r="X57" s="183">
        <f>'Q (t)'!G57</f>
        <v>365</v>
      </c>
      <c r="Y57" s="184">
        <f>'Q (t)'!H57</f>
        <v>0</v>
      </c>
      <c r="Z57" s="178">
        <f>'Q (t)'!I57</f>
        <v>4140</v>
      </c>
      <c r="AA57" s="178">
        <f>'Q (t)'!J57</f>
        <v>0</v>
      </c>
      <c r="AB57" s="179">
        <f>'Q (t)'!K57</f>
        <v>5830</v>
      </c>
      <c r="AC57" s="178">
        <f>'Q (t)'!L57</f>
        <v>0</v>
      </c>
      <c r="AD57" s="178">
        <f>'Q (t)'!M57</f>
        <v>0</v>
      </c>
      <c r="AE57" s="178">
        <f>'Q (t)'!N57</f>
        <v>0</v>
      </c>
      <c r="AF57" s="179">
        <f>'Q (t)'!O57</f>
        <v>0</v>
      </c>
      <c r="AG57" s="178">
        <f>'Q (t)'!P57</f>
        <v>0</v>
      </c>
      <c r="AH57" s="178">
        <f>'Q (t)'!Q57</f>
        <v>0</v>
      </c>
      <c r="AI57" s="179">
        <f>'Q (t)'!R57</f>
        <v>0</v>
      </c>
      <c r="AJ57" s="184">
        <f>'Q (t)'!S57</f>
        <v>738395</v>
      </c>
      <c r="AK57" s="178">
        <f>'Q (t)'!T57</f>
        <v>911040</v>
      </c>
      <c r="AL57" s="184">
        <f>'Q (t)'!U57</f>
        <v>0</v>
      </c>
      <c r="AM57" s="179">
        <f>'Q (t)'!V57</f>
        <v>0</v>
      </c>
      <c r="AO57" s="183">
        <f t="shared" si="2"/>
        <v>4.9999890000000002</v>
      </c>
      <c r="AP57" s="184">
        <f t="shared" si="29"/>
        <v>0</v>
      </c>
      <c r="AQ57" s="178">
        <f t="shared" si="29"/>
        <v>274.06800000000004</v>
      </c>
      <c r="AR57" s="178">
        <f t="shared" si="29"/>
        <v>0</v>
      </c>
      <c r="AS57" s="179">
        <f t="shared" si="29"/>
        <v>241.36199999999999</v>
      </c>
      <c r="AT57" s="178">
        <f t="shared" si="29"/>
        <v>0</v>
      </c>
      <c r="AU57" s="178">
        <f t="shared" si="29"/>
        <v>0</v>
      </c>
      <c r="AV57" s="178">
        <f t="shared" si="29"/>
        <v>0</v>
      </c>
      <c r="AW57" s="179">
        <f t="shared" si="29"/>
        <v>0</v>
      </c>
      <c r="AX57" s="178">
        <f t="shared" si="41"/>
        <v>0</v>
      </c>
      <c r="AY57" s="178">
        <f t="shared" si="41"/>
        <v>0</v>
      </c>
      <c r="AZ57" s="179">
        <f t="shared" si="41"/>
        <v>0</v>
      </c>
      <c r="BA57" s="184">
        <f t="shared" si="40"/>
        <v>187.03545349999996</v>
      </c>
      <c r="BB57" s="178">
        <f t="shared" si="40"/>
        <v>94.383743999999993</v>
      </c>
      <c r="BC57" s="184">
        <f t="shared" si="40"/>
        <v>0</v>
      </c>
      <c r="BD57" s="178">
        <f t="shared" si="40"/>
        <v>0</v>
      </c>
      <c r="BE57" s="251">
        <f t="shared" si="3"/>
        <v>1</v>
      </c>
      <c r="BF57" s="252">
        <f t="shared" si="39"/>
        <v>9970</v>
      </c>
      <c r="BH57" s="262">
        <f t="shared" si="34"/>
        <v>4.9999890000000002</v>
      </c>
      <c r="BI57" s="262">
        <f t="shared" si="35"/>
        <v>515.43000000000006</v>
      </c>
      <c r="BJ57" s="262">
        <f t="shared" si="36"/>
        <v>0</v>
      </c>
      <c r="BK57" s="263">
        <f t="shared" si="37"/>
        <v>281.41919749999994</v>
      </c>
      <c r="BL57" s="269">
        <f t="shared" si="38"/>
        <v>0</v>
      </c>
      <c r="BM57" s="264">
        <f t="shared" si="5"/>
        <v>801.84918650000009</v>
      </c>
      <c r="BO57" s="732">
        <f t="shared" si="6"/>
        <v>80.426197241725177</v>
      </c>
    </row>
    <row r="58" spans="2:67" ht="15" customHeight="1" x14ac:dyDescent="0.25">
      <c r="B58" s="156">
        <f t="shared" si="26"/>
        <v>16</v>
      </c>
      <c r="C58" s="180" t="s">
        <v>679</v>
      </c>
      <c r="D58" s="181"/>
      <c r="E58" s="210" t="s">
        <v>94</v>
      </c>
      <c r="G58" s="488">
        <f>SUM('DUoS (t)'!G58,'TUoS (t)'!G58,'JSO (t)'!G58)</f>
        <v>47.945100000000004</v>
      </c>
      <c r="H58" s="490">
        <f>SUM('DUoS (t)'!H58,'TUoS (t)'!H58,'JSO (t)'!H58)</f>
        <v>0</v>
      </c>
      <c r="I58" s="494">
        <f>SUM('DUoS (t)'!I58,'TUoS (t)'!I58,'JSO (t)'!I58)</f>
        <v>6.6200000000000009E-2</v>
      </c>
      <c r="J58" s="471">
        <f>SUM('DUoS (t)'!J58,'TUoS (t)'!J58,'JSO (t)'!J58)</f>
        <v>0</v>
      </c>
      <c r="K58" s="495">
        <f>SUM('DUoS (t)'!K58,'TUoS (t)'!K58,'JSO (t)'!K58)</f>
        <v>4.1399999999999999E-2</v>
      </c>
      <c r="L58" s="471">
        <f>SUM('DUoS (t)'!L58,'TUoS (t)'!L58,'JSO (t)'!L58)</f>
        <v>0</v>
      </c>
      <c r="M58" s="471">
        <f>SUM('DUoS (t)'!M58,'TUoS (t)'!M58,'JSO (t)'!M58)</f>
        <v>0</v>
      </c>
      <c r="N58" s="471">
        <f>SUM('DUoS (t)'!N58,'TUoS (t)'!N58,'JSO (t)'!N58)</f>
        <v>0</v>
      </c>
      <c r="O58" s="472">
        <f>SUM('DUoS (t)'!O58,'TUoS (t)'!O58,'JSO (t)'!O58)</f>
        <v>0</v>
      </c>
      <c r="P58" s="471">
        <f>SUM('DUoS (t)'!P58,'TUoS (t)'!P58,'JSO (t)'!P58)</f>
        <v>0</v>
      </c>
      <c r="Q58" s="471">
        <f>SUM('DUoS (t)'!Q58,'TUoS (t)'!Q58,'JSO (t)'!Q58)</f>
        <v>0</v>
      </c>
      <c r="R58" s="472">
        <f>SUM('DUoS (t)'!R58,'TUoS (t)'!R58,'JSO (t)'!R58)</f>
        <v>0</v>
      </c>
      <c r="S58" s="489">
        <f>SUM('DUoS (t)'!S58,'TUoS (t)'!S58,'JSO (t)'!S58)</f>
        <v>0.25329999999999997</v>
      </c>
      <c r="T58" s="494">
        <f>SUM('DUoS (t)'!T58,'TUoS (t)'!T58,'JSO (t)'!T58)</f>
        <v>0.1036</v>
      </c>
      <c r="U58" s="490">
        <f>SUM('DUoS (t)'!U58,'TUoS (t)'!U58,'JSO (t)'!U58)</f>
        <v>0</v>
      </c>
      <c r="V58" s="472">
        <f>SUM('DUoS (t)'!V58,'TUoS (t)'!V58,'JSO (t)'!V58)</f>
        <v>0</v>
      </c>
      <c r="X58" s="183">
        <f>'Q (t)'!G58</f>
        <v>365</v>
      </c>
      <c r="Y58" s="184">
        <f>'Q (t)'!H58</f>
        <v>0</v>
      </c>
      <c r="Z58" s="178">
        <f>'Q (t)'!I58</f>
        <v>420</v>
      </c>
      <c r="AA58" s="178">
        <f>'Q (t)'!J58</f>
        <v>0</v>
      </c>
      <c r="AB58" s="179">
        <f>'Q (t)'!K58</f>
        <v>1020</v>
      </c>
      <c r="AC58" s="178">
        <f>'Q (t)'!L58</f>
        <v>0</v>
      </c>
      <c r="AD58" s="178">
        <f>'Q (t)'!M58</f>
        <v>0</v>
      </c>
      <c r="AE58" s="178">
        <f>'Q (t)'!N58</f>
        <v>0</v>
      </c>
      <c r="AF58" s="179">
        <f>'Q (t)'!O58</f>
        <v>0</v>
      </c>
      <c r="AG58" s="178">
        <f>'Q (t)'!P58</f>
        <v>0</v>
      </c>
      <c r="AH58" s="178">
        <f>'Q (t)'!Q58</f>
        <v>0</v>
      </c>
      <c r="AI58" s="179">
        <f>'Q (t)'!R58</f>
        <v>0</v>
      </c>
      <c r="AJ58" s="184">
        <f>'Q (t)'!S58</f>
        <v>287620</v>
      </c>
      <c r="AK58" s="178">
        <f>'Q (t)'!T58</f>
        <v>514650</v>
      </c>
      <c r="AL58" s="184">
        <f>'Q (t)'!U58</f>
        <v>0</v>
      </c>
      <c r="AM58" s="179">
        <f>'Q (t)'!V58</f>
        <v>0</v>
      </c>
      <c r="AO58" s="183">
        <f>G58*X58/1000</f>
        <v>17.499961500000001</v>
      </c>
      <c r="AP58" s="184">
        <f t="shared" ref="AP58:AW58" si="42">H58*Y58</f>
        <v>0</v>
      </c>
      <c r="AQ58" s="178">
        <f t="shared" si="42"/>
        <v>27.804000000000002</v>
      </c>
      <c r="AR58" s="178">
        <f t="shared" si="42"/>
        <v>0</v>
      </c>
      <c r="AS58" s="179">
        <f t="shared" si="42"/>
        <v>42.228000000000002</v>
      </c>
      <c r="AT58" s="178">
        <f t="shared" si="42"/>
        <v>0</v>
      </c>
      <c r="AU58" s="178">
        <f t="shared" si="42"/>
        <v>0</v>
      </c>
      <c r="AV58" s="178">
        <f t="shared" si="42"/>
        <v>0</v>
      </c>
      <c r="AW58" s="179">
        <f t="shared" si="42"/>
        <v>0</v>
      </c>
      <c r="AX58" s="178">
        <f t="shared" ref="AX58:BD58" si="43">P58*AG58/1000</f>
        <v>0</v>
      </c>
      <c r="AY58" s="178">
        <f t="shared" si="43"/>
        <v>0</v>
      </c>
      <c r="AZ58" s="179">
        <f t="shared" si="43"/>
        <v>0</v>
      </c>
      <c r="BA58" s="184">
        <f t="shared" si="43"/>
        <v>72.854146</v>
      </c>
      <c r="BB58" s="178">
        <f t="shared" si="43"/>
        <v>53.317740000000001</v>
      </c>
      <c r="BC58" s="184">
        <f t="shared" si="43"/>
        <v>0</v>
      </c>
      <c r="BD58" s="178">
        <f t="shared" si="43"/>
        <v>0</v>
      </c>
      <c r="BE58" s="251">
        <f>X58/$BE$7</f>
        <v>1</v>
      </c>
      <c r="BF58" s="252">
        <f>SUM(Y58:AF58)</f>
        <v>1440</v>
      </c>
      <c r="BH58" s="262">
        <f>SUM(AO58)</f>
        <v>17.499961500000001</v>
      </c>
      <c r="BI58" s="262">
        <f>SUM(AP58:AS58)</f>
        <v>70.032000000000011</v>
      </c>
      <c r="BJ58" s="262">
        <f>SUM(AT58:AW58)</f>
        <v>0</v>
      </c>
      <c r="BK58" s="263">
        <f>SUM(AX58:BB58)</f>
        <v>126.171886</v>
      </c>
      <c r="BL58" s="269">
        <f>SUM(BC58:BD58)</f>
        <v>0</v>
      </c>
      <c r="BM58" s="264">
        <f>SUM(BH58:BL58)</f>
        <v>213.70384749999999</v>
      </c>
      <c r="BO58" s="732">
        <f>IF(BF58=0,"",BM58*1000/BF58)</f>
        <v>148.40544965277778</v>
      </c>
    </row>
    <row r="59" spans="2:67" ht="15" customHeight="1" x14ac:dyDescent="0.25">
      <c r="B59" s="156">
        <f t="shared" si="26"/>
        <v>17</v>
      </c>
      <c r="C59" s="180" t="s">
        <v>590</v>
      </c>
      <c r="D59" s="181"/>
      <c r="E59" s="210" t="s">
        <v>94</v>
      </c>
      <c r="G59" s="488">
        <f>SUM('DUoS (t)'!G59,'TUoS (t)'!G59,'JSO (t)'!G59)</f>
        <v>20.547900000000002</v>
      </c>
      <c r="H59" s="490">
        <f>SUM('DUoS (t)'!H59,'TUoS (t)'!H59,'JSO (t)'!H59)</f>
        <v>0</v>
      </c>
      <c r="I59" s="494">
        <f>SUM('DUoS (t)'!I59,'TUoS (t)'!I59,'JSO (t)'!I59)</f>
        <v>6.6200000000000009E-2</v>
      </c>
      <c r="J59" s="471">
        <f>SUM('DUoS (t)'!J59,'TUoS (t)'!J59,'JSO (t)'!J59)</f>
        <v>0</v>
      </c>
      <c r="K59" s="495">
        <f>SUM('DUoS (t)'!K59,'TUoS (t)'!K59,'JSO (t)'!K59)</f>
        <v>4.1399999999999999E-2</v>
      </c>
      <c r="L59" s="471">
        <f>SUM('DUoS (t)'!L59,'TUoS (t)'!L59,'JSO (t)'!L59)</f>
        <v>0</v>
      </c>
      <c r="M59" s="471">
        <f>SUM('DUoS (t)'!M59,'TUoS (t)'!M59,'JSO (t)'!M59)</f>
        <v>0</v>
      </c>
      <c r="N59" s="471">
        <f>SUM('DUoS (t)'!N59,'TUoS (t)'!N59,'JSO (t)'!N59)</f>
        <v>0</v>
      </c>
      <c r="O59" s="472">
        <f>SUM('DUoS (t)'!O59,'TUoS (t)'!O59,'JSO (t)'!O59)</f>
        <v>0</v>
      </c>
      <c r="P59" s="471">
        <f>SUM('DUoS (t)'!P59,'TUoS (t)'!P59,'JSO (t)'!P59)</f>
        <v>0</v>
      </c>
      <c r="Q59" s="471">
        <f>SUM('DUoS (t)'!Q59,'TUoS (t)'!Q59,'JSO (t)'!Q59)</f>
        <v>0</v>
      </c>
      <c r="R59" s="472">
        <f>SUM('DUoS (t)'!R59,'TUoS (t)'!R59,'JSO (t)'!R59)</f>
        <v>0</v>
      </c>
      <c r="S59" s="489">
        <f>SUM('DUoS (t)'!S59,'TUoS (t)'!S59,'JSO (t)'!S59)</f>
        <v>0.25329999999999997</v>
      </c>
      <c r="T59" s="494">
        <f>SUM('DUoS (t)'!T59,'TUoS (t)'!T59,'JSO (t)'!T59)</f>
        <v>0.1036</v>
      </c>
      <c r="U59" s="490">
        <f>SUM('DUoS (t)'!U59,'TUoS (t)'!U59,'JSO (t)'!U59)</f>
        <v>0</v>
      </c>
      <c r="V59" s="472">
        <f>SUM('DUoS (t)'!V59,'TUoS (t)'!V59,'JSO (t)'!V59)</f>
        <v>0</v>
      </c>
      <c r="X59" s="183">
        <f>'Q (t)'!G59</f>
        <v>0</v>
      </c>
      <c r="Y59" s="184">
        <f>'Q (t)'!H59</f>
        <v>0</v>
      </c>
      <c r="Z59" s="178">
        <f>'Q (t)'!I59</f>
        <v>0</v>
      </c>
      <c r="AA59" s="178">
        <f>'Q (t)'!J59</f>
        <v>0</v>
      </c>
      <c r="AB59" s="179">
        <f>'Q (t)'!K59</f>
        <v>0</v>
      </c>
      <c r="AC59" s="178">
        <f>'Q (t)'!L59</f>
        <v>0</v>
      </c>
      <c r="AD59" s="178">
        <f>'Q (t)'!M59</f>
        <v>0</v>
      </c>
      <c r="AE59" s="178">
        <f>'Q (t)'!N59</f>
        <v>0</v>
      </c>
      <c r="AF59" s="179">
        <f>'Q (t)'!O59</f>
        <v>0</v>
      </c>
      <c r="AG59" s="178">
        <f>'Q (t)'!P59</f>
        <v>0</v>
      </c>
      <c r="AH59" s="178">
        <f>'Q (t)'!Q59</f>
        <v>0</v>
      </c>
      <c r="AI59" s="179">
        <f>'Q (t)'!R59</f>
        <v>0</v>
      </c>
      <c r="AJ59" s="184">
        <f>'Q (t)'!S59</f>
        <v>0</v>
      </c>
      <c r="AK59" s="178">
        <f>'Q (t)'!T59</f>
        <v>0</v>
      </c>
      <c r="AL59" s="184">
        <f>'Q (t)'!U59</f>
        <v>0</v>
      </c>
      <c r="AM59" s="179">
        <f>'Q (t)'!V59</f>
        <v>0</v>
      </c>
      <c r="AO59" s="183">
        <f t="shared" si="2"/>
        <v>0</v>
      </c>
      <c r="AP59" s="184">
        <f t="shared" si="29"/>
        <v>0</v>
      </c>
      <c r="AQ59" s="178">
        <f t="shared" si="29"/>
        <v>0</v>
      </c>
      <c r="AR59" s="178">
        <f t="shared" si="29"/>
        <v>0</v>
      </c>
      <c r="AS59" s="179">
        <f t="shared" si="29"/>
        <v>0</v>
      </c>
      <c r="AT59" s="178">
        <f t="shared" si="29"/>
        <v>0</v>
      </c>
      <c r="AU59" s="178">
        <f t="shared" si="29"/>
        <v>0</v>
      </c>
      <c r="AV59" s="178">
        <f t="shared" si="29"/>
        <v>0</v>
      </c>
      <c r="AW59" s="179">
        <f t="shared" si="29"/>
        <v>0</v>
      </c>
      <c r="AX59" s="178">
        <f t="shared" si="41"/>
        <v>0</v>
      </c>
      <c r="AY59" s="178">
        <f t="shared" si="41"/>
        <v>0</v>
      </c>
      <c r="AZ59" s="179">
        <f t="shared" si="41"/>
        <v>0</v>
      </c>
      <c r="BA59" s="184">
        <f t="shared" si="40"/>
        <v>0</v>
      </c>
      <c r="BB59" s="178">
        <f t="shared" si="40"/>
        <v>0</v>
      </c>
      <c r="BC59" s="184">
        <f t="shared" si="40"/>
        <v>0</v>
      </c>
      <c r="BD59" s="178">
        <f t="shared" si="40"/>
        <v>0</v>
      </c>
      <c r="BE59" s="251">
        <f t="shared" si="3"/>
        <v>0</v>
      </c>
      <c r="BF59" s="252">
        <f t="shared" si="39"/>
        <v>0</v>
      </c>
      <c r="BH59" s="262">
        <f t="shared" si="34"/>
        <v>0</v>
      </c>
      <c r="BI59" s="262">
        <f t="shared" si="35"/>
        <v>0</v>
      </c>
      <c r="BJ59" s="262">
        <f t="shared" si="36"/>
        <v>0</v>
      </c>
      <c r="BK59" s="263">
        <f t="shared" si="37"/>
        <v>0</v>
      </c>
      <c r="BL59" s="269">
        <f t="shared" si="38"/>
        <v>0</v>
      </c>
      <c r="BM59" s="264">
        <f t="shared" si="5"/>
        <v>0</v>
      </c>
      <c r="BO59" s="732" t="str">
        <f t="shared" si="6"/>
        <v/>
      </c>
    </row>
    <row r="60" spans="2:67" ht="15" customHeight="1" x14ac:dyDescent="0.25">
      <c r="B60" s="156">
        <f t="shared" si="26"/>
        <v>18</v>
      </c>
      <c r="C60" s="180" t="s">
        <v>592</v>
      </c>
      <c r="D60" s="181"/>
      <c r="E60" s="210" t="s">
        <v>94</v>
      </c>
      <c r="G60" s="488">
        <f>SUM('DUoS (t)'!G60,'TUoS (t)'!G60,'JSO (t)'!G60)</f>
        <v>13.698600000000001</v>
      </c>
      <c r="H60" s="490">
        <f>SUM('DUoS (t)'!H60,'TUoS (t)'!H60,'JSO (t)'!H60)</f>
        <v>0</v>
      </c>
      <c r="I60" s="494">
        <f>SUM('DUoS (t)'!I60,'TUoS (t)'!I60,'JSO (t)'!I60)</f>
        <v>6.6200000000000009E-2</v>
      </c>
      <c r="J60" s="471">
        <f>SUM('DUoS (t)'!J60,'TUoS (t)'!J60,'JSO (t)'!J60)</f>
        <v>0</v>
      </c>
      <c r="K60" s="495">
        <f>SUM('DUoS (t)'!K60,'TUoS (t)'!K60,'JSO (t)'!K60)</f>
        <v>4.1399999999999999E-2</v>
      </c>
      <c r="L60" s="471">
        <f>SUM('DUoS (t)'!L60,'TUoS (t)'!L60,'JSO (t)'!L60)</f>
        <v>0</v>
      </c>
      <c r="M60" s="471">
        <f>SUM('DUoS (t)'!M60,'TUoS (t)'!M60,'JSO (t)'!M60)</f>
        <v>0</v>
      </c>
      <c r="N60" s="471">
        <f>SUM('DUoS (t)'!N60,'TUoS (t)'!N60,'JSO (t)'!N60)</f>
        <v>0</v>
      </c>
      <c r="O60" s="472">
        <f>SUM('DUoS (t)'!O60,'TUoS (t)'!O60,'JSO (t)'!O60)</f>
        <v>0</v>
      </c>
      <c r="P60" s="471">
        <f>SUM('DUoS (t)'!P60,'TUoS (t)'!P60,'JSO (t)'!P60)</f>
        <v>0</v>
      </c>
      <c r="Q60" s="471">
        <f>SUM('DUoS (t)'!Q60,'TUoS (t)'!Q60,'JSO (t)'!Q60)</f>
        <v>0</v>
      </c>
      <c r="R60" s="472">
        <f>SUM('DUoS (t)'!R60,'TUoS (t)'!R60,'JSO (t)'!R60)</f>
        <v>0</v>
      </c>
      <c r="S60" s="489">
        <f>SUM('DUoS (t)'!S60,'TUoS (t)'!S60,'JSO (t)'!S60)</f>
        <v>0.25329999999999997</v>
      </c>
      <c r="T60" s="494">
        <f>SUM('DUoS (t)'!T60,'TUoS (t)'!T60,'JSO (t)'!T60)</f>
        <v>0.1036</v>
      </c>
      <c r="U60" s="490">
        <f>SUM('DUoS (t)'!U60,'TUoS (t)'!U60,'JSO (t)'!U60)</f>
        <v>0</v>
      </c>
      <c r="V60" s="472">
        <f>SUM('DUoS (t)'!V60,'TUoS (t)'!V60,'JSO (t)'!V60)</f>
        <v>0</v>
      </c>
      <c r="X60" s="183">
        <f>'Q (t)'!G60</f>
        <v>0</v>
      </c>
      <c r="Y60" s="184">
        <f>'Q (t)'!H60</f>
        <v>0</v>
      </c>
      <c r="Z60" s="178">
        <f>'Q (t)'!I60</f>
        <v>0</v>
      </c>
      <c r="AA60" s="178">
        <f>'Q (t)'!J60</f>
        <v>0</v>
      </c>
      <c r="AB60" s="179">
        <f>'Q (t)'!K60</f>
        <v>0</v>
      </c>
      <c r="AC60" s="178">
        <f>'Q (t)'!L60</f>
        <v>0</v>
      </c>
      <c r="AD60" s="178">
        <f>'Q (t)'!M60</f>
        <v>0</v>
      </c>
      <c r="AE60" s="178">
        <f>'Q (t)'!N60</f>
        <v>0</v>
      </c>
      <c r="AF60" s="179">
        <f>'Q (t)'!O60</f>
        <v>0</v>
      </c>
      <c r="AG60" s="178">
        <f>'Q (t)'!P60</f>
        <v>0</v>
      </c>
      <c r="AH60" s="178">
        <f>'Q (t)'!Q60</f>
        <v>0</v>
      </c>
      <c r="AI60" s="179">
        <f>'Q (t)'!R60</f>
        <v>0</v>
      </c>
      <c r="AJ60" s="184">
        <f>'Q (t)'!S60</f>
        <v>0</v>
      </c>
      <c r="AK60" s="178">
        <f>'Q (t)'!T60</f>
        <v>0</v>
      </c>
      <c r="AL60" s="184">
        <f>'Q (t)'!U60</f>
        <v>0</v>
      </c>
      <c r="AM60" s="179">
        <f>'Q (t)'!V60</f>
        <v>0</v>
      </c>
      <c r="AO60" s="183">
        <f t="shared" si="2"/>
        <v>0</v>
      </c>
      <c r="AP60" s="184">
        <f t="shared" si="29"/>
        <v>0</v>
      </c>
      <c r="AQ60" s="178">
        <f t="shared" si="29"/>
        <v>0</v>
      </c>
      <c r="AR60" s="178">
        <f t="shared" si="29"/>
        <v>0</v>
      </c>
      <c r="AS60" s="179">
        <f t="shared" si="29"/>
        <v>0</v>
      </c>
      <c r="AT60" s="178">
        <f t="shared" si="29"/>
        <v>0</v>
      </c>
      <c r="AU60" s="178">
        <f t="shared" si="29"/>
        <v>0</v>
      </c>
      <c r="AV60" s="178">
        <f t="shared" si="29"/>
        <v>0</v>
      </c>
      <c r="AW60" s="179">
        <f t="shared" si="29"/>
        <v>0</v>
      </c>
      <c r="AX60" s="178">
        <f t="shared" si="41"/>
        <v>0</v>
      </c>
      <c r="AY60" s="178">
        <f t="shared" si="41"/>
        <v>0</v>
      </c>
      <c r="AZ60" s="179">
        <f t="shared" si="41"/>
        <v>0</v>
      </c>
      <c r="BA60" s="184">
        <f t="shared" si="40"/>
        <v>0</v>
      </c>
      <c r="BB60" s="178">
        <f t="shared" si="40"/>
        <v>0</v>
      </c>
      <c r="BC60" s="184">
        <f t="shared" si="40"/>
        <v>0</v>
      </c>
      <c r="BD60" s="178">
        <f t="shared" si="40"/>
        <v>0</v>
      </c>
      <c r="BE60" s="251">
        <f t="shared" si="3"/>
        <v>0</v>
      </c>
      <c r="BF60" s="252">
        <f t="shared" si="39"/>
        <v>0</v>
      </c>
      <c r="BH60" s="262">
        <f t="shared" si="34"/>
        <v>0</v>
      </c>
      <c r="BI60" s="262">
        <f t="shared" si="35"/>
        <v>0</v>
      </c>
      <c r="BJ60" s="262">
        <f t="shared" si="36"/>
        <v>0</v>
      </c>
      <c r="BK60" s="263">
        <f t="shared" si="37"/>
        <v>0</v>
      </c>
      <c r="BL60" s="269">
        <f t="shared" si="38"/>
        <v>0</v>
      </c>
      <c r="BM60" s="264">
        <f t="shared" si="5"/>
        <v>0</v>
      </c>
      <c r="BO60" s="732" t="str">
        <f t="shared" si="6"/>
        <v/>
      </c>
    </row>
    <row r="61" spans="2:67" ht="15" customHeight="1" x14ac:dyDescent="0.25">
      <c r="B61" s="156">
        <f t="shared" si="26"/>
        <v>19</v>
      </c>
      <c r="C61" s="180" t="s">
        <v>593</v>
      </c>
      <c r="D61" s="181"/>
      <c r="E61" s="210" t="s">
        <v>94</v>
      </c>
      <c r="G61" s="488">
        <f>SUM('DUoS (t)'!G61,'TUoS (t)'!G61,'JSO (t)'!G61)</f>
        <v>13.698600000000001</v>
      </c>
      <c r="H61" s="490">
        <f>SUM('DUoS (t)'!H61,'TUoS (t)'!H61,'JSO (t)'!H61)</f>
        <v>0</v>
      </c>
      <c r="I61" s="494">
        <f>SUM('DUoS (t)'!I61,'TUoS (t)'!I61,'JSO (t)'!I61)</f>
        <v>6.6200000000000009E-2</v>
      </c>
      <c r="J61" s="471">
        <f>SUM('DUoS (t)'!J61,'TUoS (t)'!J61,'JSO (t)'!J61)</f>
        <v>0</v>
      </c>
      <c r="K61" s="495">
        <f>SUM('DUoS (t)'!K61,'TUoS (t)'!K61,'JSO (t)'!K61)</f>
        <v>4.1399999999999999E-2</v>
      </c>
      <c r="L61" s="471">
        <f>SUM('DUoS (t)'!L61,'TUoS (t)'!L61,'JSO (t)'!L61)</f>
        <v>0</v>
      </c>
      <c r="M61" s="471">
        <f>SUM('DUoS (t)'!M61,'TUoS (t)'!M61,'JSO (t)'!M61)</f>
        <v>0</v>
      </c>
      <c r="N61" s="471">
        <f>SUM('DUoS (t)'!N61,'TUoS (t)'!N61,'JSO (t)'!N61)</f>
        <v>0</v>
      </c>
      <c r="O61" s="472">
        <f>SUM('DUoS (t)'!O61,'TUoS (t)'!O61,'JSO (t)'!O61)</f>
        <v>0</v>
      </c>
      <c r="P61" s="471">
        <f>SUM('DUoS (t)'!P61,'TUoS (t)'!P61,'JSO (t)'!P61)</f>
        <v>0</v>
      </c>
      <c r="Q61" s="471">
        <f>SUM('DUoS (t)'!Q61,'TUoS (t)'!Q61,'JSO (t)'!Q61)</f>
        <v>0</v>
      </c>
      <c r="R61" s="472">
        <f>SUM('DUoS (t)'!R61,'TUoS (t)'!R61,'JSO (t)'!R61)</f>
        <v>0</v>
      </c>
      <c r="S61" s="489">
        <f>SUM('DUoS (t)'!S61,'TUoS (t)'!S61,'JSO (t)'!S61)</f>
        <v>0.25329999999999997</v>
      </c>
      <c r="T61" s="494">
        <f>SUM('DUoS (t)'!T61,'TUoS (t)'!T61,'JSO (t)'!T61)</f>
        <v>0.1036</v>
      </c>
      <c r="U61" s="490">
        <f>SUM('DUoS (t)'!U61,'TUoS (t)'!U61,'JSO (t)'!U61)</f>
        <v>0</v>
      </c>
      <c r="V61" s="472">
        <f>SUM('DUoS (t)'!V61,'TUoS (t)'!V61,'JSO (t)'!V61)</f>
        <v>0</v>
      </c>
      <c r="X61" s="183">
        <f>'Q (t)'!G61</f>
        <v>0</v>
      </c>
      <c r="Y61" s="184">
        <f>'Q (t)'!H61</f>
        <v>0</v>
      </c>
      <c r="Z61" s="178">
        <f>'Q (t)'!I61</f>
        <v>0</v>
      </c>
      <c r="AA61" s="178">
        <f>'Q (t)'!J61</f>
        <v>0</v>
      </c>
      <c r="AB61" s="179">
        <f>'Q (t)'!K61</f>
        <v>0</v>
      </c>
      <c r="AC61" s="178">
        <f>'Q (t)'!L61</f>
        <v>0</v>
      </c>
      <c r="AD61" s="178">
        <f>'Q (t)'!M61</f>
        <v>0</v>
      </c>
      <c r="AE61" s="178">
        <f>'Q (t)'!N61</f>
        <v>0</v>
      </c>
      <c r="AF61" s="179">
        <f>'Q (t)'!O61</f>
        <v>0</v>
      </c>
      <c r="AG61" s="178">
        <f>'Q (t)'!P61</f>
        <v>0</v>
      </c>
      <c r="AH61" s="178">
        <f>'Q (t)'!Q61</f>
        <v>0</v>
      </c>
      <c r="AI61" s="179">
        <f>'Q (t)'!R61</f>
        <v>0</v>
      </c>
      <c r="AJ61" s="184">
        <f>'Q (t)'!S61</f>
        <v>0</v>
      </c>
      <c r="AK61" s="178">
        <f>'Q (t)'!T61</f>
        <v>0</v>
      </c>
      <c r="AL61" s="184">
        <f>'Q (t)'!U61</f>
        <v>0</v>
      </c>
      <c r="AM61" s="179">
        <f>'Q (t)'!V61</f>
        <v>0</v>
      </c>
      <c r="AO61" s="183">
        <f t="shared" si="2"/>
        <v>0</v>
      </c>
      <c r="AP61" s="184">
        <f t="shared" si="29"/>
        <v>0</v>
      </c>
      <c r="AQ61" s="178">
        <f t="shared" si="29"/>
        <v>0</v>
      </c>
      <c r="AR61" s="178">
        <f t="shared" si="29"/>
        <v>0</v>
      </c>
      <c r="AS61" s="179">
        <f t="shared" si="29"/>
        <v>0</v>
      </c>
      <c r="AT61" s="178">
        <f t="shared" si="29"/>
        <v>0</v>
      </c>
      <c r="AU61" s="178">
        <f t="shared" si="29"/>
        <v>0</v>
      </c>
      <c r="AV61" s="178">
        <f t="shared" si="29"/>
        <v>0</v>
      </c>
      <c r="AW61" s="179">
        <f t="shared" si="29"/>
        <v>0</v>
      </c>
      <c r="AX61" s="178">
        <f t="shared" si="41"/>
        <v>0</v>
      </c>
      <c r="AY61" s="178">
        <f t="shared" si="41"/>
        <v>0</v>
      </c>
      <c r="AZ61" s="179">
        <f t="shared" si="41"/>
        <v>0</v>
      </c>
      <c r="BA61" s="184">
        <f t="shared" si="40"/>
        <v>0</v>
      </c>
      <c r="BB61" s="178">
        <f t="shared" si="40"/>
        <v>0</v>
      </c>
      <c r="BC61" s="184">
        <f t="shared" si="40"/>
        <v>0</v>
      </c>
      <c r="BD61" s="178">
        <f t="shared" si="40"/>
        <v>0</v>
      </c>
      <c r="BE61" s="251">
        <f t="shared" si="3"/>
        <v>0</v>
      </c>
      <c r="BF61" s="252">
        <f t="shared" si="39"/>
        <v>0</v>
      </c>
      <c r="BH61" s="262">
        <f t="shared" si="34"/>
        <v>0</v>
      </c>
      <c r="BI61" s="262">
        <f t="shared" si="35"/>
        <v>0</v>
      </c>
      <c r="BJ61" s="262">
        <f t="shared" si="36"/>
        <v>0</v>
      </c>
      <c r="BK61" s="263">
        <f t="shared" si="37"/>
        <v>0</v>
      </c>
      <c r="BL61" s="269">
        <f t="shared" si="38"/>
        <v>0</v>
      </c>
      <c r="BM61" s="264">
        <f t="shared" si="5"/>
        <v>0</v>
      </c>
      <c r="BO61" s="732" t="str">
        <f t="shared" si="6"/>
        <v/>
      </c>
    </row>
    <row r="62" spans="2:67" ht="15" customHeight="1" x14ac:dyDescent="0.25">
      <c r="B62" s="156">
        <f t="shared" si="26"/>
        <v>20</v>
      </c>
      <c r="C62" s="180" t="s">
        <v>594</v>
      </c>
      <c r="D62" s="181"/>
      <c r="E62" s="210" t="s">
        <v>94</v>
      </c>
      <c r="G62" s="488">
        <f>SUM('DUoS (t)'!G62,'TUoS (t)'!G62,'JSO (t)'!G62)</f>
        <v>20.547900000000002</v>
      </c>
      <c r="H62" s="490">
        <f>SUM('DUoS (t)'!H62,'TUoS (t)'!H62,'JSO (t)'!H62)</f>
        <v>0</v>
      </c>
      <c r="I62" s="494">
        <f>SUM('DUoS (t)'!I62,'TUoS (t)'!I62,'JSO (t)'!I62)</f>
        <v>6.6200000000000009E-2</v>
      </c>
      <c r="J62" s="471">
        <f>SUM('DUoS (t)'!J62,'TUoS (t)'!J62,'JSO (t)'!J62)</f>
        <v>0</v>
      </c>
      <c r="K62" s="495">
        <f>SUM('DUoS (t)'!K62,'TUoS (t)'!K62,'JSO (t)'!K62)</f>
        <v>4.1399999999999999E-2</v>
      </c>
      <c r="L62" s="471">
        <f>SUM('DUoS (t)'!L62,'TUoS (t)'!L62,'JSO (t)'!L62)</f>
        <v>0</v>
      </c>
      <c r="M62" s="471">
        <f>SUM('DUoS (t)'!M62,'TUoS (t)'!M62,'JSO (t)'!M62)</f>
        <v>0</v>
      </c>
      <c r="N62" s="471">
        <f>SUM('DUoS (t)'!N62,'TUoS (t)'!N62,'JSO (t)'!N62)</f>
        <v>0</v>
      </c>
      <c r="O62" s="472">
        <f>SUM('DUoS (t)'!O62,'TUoS (t)'!O62,'JSO (t)'!O62)</f>
        <v>0</v>
      </c>
      <c r="P62" s="471">
        <f>SUM('DUoS (t)'!P62,'TUoS (t)'!P62,'JSO (t)'!P62)</f>
        <v>0</v>
      </c>
      <c r="Q62" s="471">
        <f>SUM('DUoS (t)'!Q62,'TUoS (t)'!Q62,'JSO (t)'!Q62)</f>
        <v>0</v>
      </c>
      <c r="R62" s="472">
        <f>SUM('DUoS (t)'!R62,'TUoS (t)'!R62,'JSO (t)'!R62)</f>
        <v>0</v>
      </c>
      <c r="S62" s="489">
        <f>SUM('DUoS (t)'!S62,'TUoS (t)'!S62,'JSO (t)'!S62)</f>
        <v>0.25329999999999997</v>
      </c>
      <c r="T62" s="494">
        <f>SUM('DUoS (t)'!T62,'TUoS (t)'!T62,'JSO (t)'!T62)</f>
        <v>0.1036</v>
      </c>
      <c r="U62" s="490">
        <f>SUM('DUoS (t)'!U62,'TUoS (t)'!U62,'JSO (t)'!U62)</f>
        <v>0</v>
      </c>
      <c r="V62" s="472">
        <f>SUM('DUoS (t)'!V62,'TUoS (t)'!V62,'JSO (t)'!V62)</f>
        <v>0</v>
      </c>
      <c r="X62" s="183">
        <f>'Q (t)'!G62</f>
        <v>0</v>
      </c>
      <c r="Y62" s="184">
        <f>'Q (t)'!H62</f>
        <v>0</v>
      </c>
      <c r="Z62" s="178">
        <f>'Q (t)'!I62</f>
        <v>0</v>
      </c>
      <c r="AA62" s="178">
        <f>'Q (t)'!J62</f>
        <v>0</v>
      </c>
      <c r="AB62" s="179">
        <f>'Q (t)'!K62</f>
        <v>0</v>
      </c>
      <c r="AC62" s="178">
        <f>'Q (t)'!L62</f>
        <v>0</v>
      </c>
      <c r="AD62" s="178">
        <f>'Q (t)'!M62</f>
        <v>0</v>
      </c>
      <c r="AE62" s="178">
        <f>'Q (t)'!N62</f>
        <v>0</v>
      </c>
      <c r="AF62" s="179">
        <f>'Q (t)'!O62</f>
        <v>0</v>
      </c>
      <c r="AG62" s="178">
        <f>'Q (t)'!P62</f>
        <v>0</v>
      </c>
      <c r="AH62" s="178">
        <f>'Q (t)'!Q62</f>
        <v>0</v>
      </c>
      <c r="AI62" s="179">
        <f>'Q (t)'!R62</f>
        <v>0</v>
      </c>
      <c r="AJ62" s="184">
        <f>'Q (t)'!S62</f>
        <v>0</v>
      </c>
      <c r="AK62" s="178">
        <f>'Q (t)'!T62</f>
        <v>0</v>
      </c>
      <c r="AL62" s="184">
        <f>'Q (t)'!U62</f>
        <v>0</v>
      </c>
      <c r="AM62" s="179">
        <f>'Q (t)'!V62</f>
        <v>0</v>
      </c>
      <c r="AO62" s="183">
        <f t="shared" si="2"/>
        <v>0</v>
      </c>
      <c r="AP62" s="184">
        <f t="shared" si="29"/>
        <v>0</v>
      </c>
      <c r="AQ62" s="178">
        <f t="shared" si="29"/>
        <v>0</v>
      </c>
      <c r="AR62" s="178">
        <f t="shared" si="29"/>
        <v>0</v>
      </c>
      <c r="AS62" s="179">
        <f t="shared" si="29"/>
        <v>0</v>
      </c>
      <c r="AT62" s="178">
        <f t="shared" si="29"/>
        <v>0</v>
      </c>
      <c r="AU62" s="178">
        <f t="shared" si="29"/>
        <v>0</v>
      </c>
      <c r="AV62" s="178">
        <f t="shared" si="29"/>
        <v>0</v>
      </c>
      <c r="AW62" s="179">
        <f t="shared" si="29"/>
        <v>0</v>
      </c>
      <c r="AX62" s="178">
        <f t="shared" si="41"/>
        <v>0</v>
      </c>
      <c r="AY62" s="178">
        <f t="shared" si="41"/>
        <v>0</v>
      </c>
      <c r="AZ62" s="179">
        <f t="shared" si="41"/>
        <v>0</v>
      </c>
      <c r="BA62" s="184">
        <f t="shared" si="40"/>
        <v>0</v>
      </c>
      <c r="BB62" s="178">
        <f t="shared" si="40"/>
        <v>0</v>
      </c>
      <c r="BC62" s="184">
        <f t="shared" si="40"/>
        <v>0</v>
      </c>
      <c r="BD62" s="178">
        <f t="shared" si="40"/>
        <v>0</v>
      </c>
      <c r="BE62" s="251">
        <f t="shared" si="3"/>
        <v>0</v>
      </c>
      <c r="BF62" s="252">
        <f t="shared" si="39"/>
        <v>0</v>
      </c>
      <c r="BH62" s="262">
        <f t="shared" si="34"/>
        <v>0</v>
      </c>
      <c r="BI62" s="262">
        <f t="shared" si="35"/>
        <v>0</v>
      </c>
      <c r="BJ62" s="262">
        <f t="shared" si="36"/>
        <v>0</v>
      </c>
      <c r="BK62" s="263">
        <f t="shared" si="37"/>
        <v>0</v>
      </c>
      <c r="BL62" s="269">
        <f t="shared" si="38"/>
        <v>0</v>
      </c>
      <c r="BM62" s="264">
        <f t="shared" si="5"/>
        <v>0</v>
      </c>
      <c r="BO62" s="732" t="str">
        <f t="shared" si="6"/>
        <v/>
      </c>
    </row>
    <row r="63" spans="2:67" ht="15" customHeight="1" x14ac:dyDescent="0.25">
      <c r="B63" s="156">
        <f t="shared" si="26"/>
        <v>21</v>
      </c>
      <c r="C63" s="180" t="s">
        <v>595</v>
      </c>
      <c r="D63" s="181"/>
      <c r="E63" s="210" t="s">
        <v>94</v>
      </c>
      <c r="G63" s="488">
        <f>SUM('DUoS (t)'!G63,'TUoS (t)'!G63,'JSO (t)'!G63)</f>
        <v>82.191600000000008</v>
      </c>
      <c r="H63" s="490">
        <f>SUM('DUoS (t)'!H63,'TUoS (t)'!H63,'JSO (t)'!H63)</f>
        <v>0</v>
      </c>
      <c r="I63" s="494">
        <f>SUM('DUoS (t)'!I63,'TUoS (t)'!I63,'JSO (t)'!I63)</f>
        <v>6.6200000000000009E-2</v>
      </c>
      <c r="J63" s="471">
        <f>SUM('DUoS (t)'!J63,'TUoS (t)'!J63,'JSO (t)'!J63)</f>
        <v>0</v>
      </c>
      <c r="K63" s="495">
        <f>SUM('DUoS (t)'!K63,'TUoS (t)'!K63,'JSO (t)'!K63)</f>
        <v>4.1399999999999999E-2</v>
      </c>
      <c r="L63" s="471">
        <f>SUM('DUoS (t)'!L63,'TUoS (t)'!L63,'JSO (t)'!L63)</f>
        <v>0</v>
      </c>
      <c r="M63" s="471">
        <f>SUM('DUoS (t)'!M63,'TUoS (t)'!M63,'JSO (t)'!M63)</f>
        <v>0</v>
      </c>
      <c r="N63" s="471">
        <f>SUM('DUoS (t)'!N63,'TUoS (t)'!N63,'JSO (t)'!N63)</f>
        <v>0</v>
      </c>
      <c r="O63" s="472">
        <f>SUM('DUoS (t)'!O63,'TUoS (t)'!O63,'JSO (t)'!O63)</f>
        <v>0</v>
      </c>
      <c r="P63" s="471">
        <f>SUM('DUoS (t)'!P63,'TUoS (t)'!P63,'JSO (t)'!P63)</f>
        <v>0</v>
      </c>
      <c r="Q63" s="471">
        <f>SUM('DUoS (t)'!Q63,'TUoS (t)'!Q63,'JSO (t)'!Q63)</f>
        <v>0</v>
      </c>
      <c r="R63" s="472">
        <f>SUM('DUoS (t)'!R63,'TUoS (t)'!R63,'JSO (t)'!R63)</f>
        <v>0</v>
      </c>
      <c r="S63" s="489">
        <f>SUM('DUoS (t)'!S63,'TUoS (t)'!S63,'JSO (t)'!S63)</f>
        <v>0.25329999999999997</v>
      </c>
      <c r="T63" s="494">
        <f>SUM('DUoS (t)'!T63,'TUoS (t)'!T63,'JSO (t)'!T63)</f>
        <v>0.1036</v>
      </c>
      <c r="U63" s="490">
        <f>SUM('DUoS (t)'!U63,'TUoS (t)'!U63,'JSO (t)'!U63)</f>
        <v>0</v>
      </c>
      <c r="V63" s="472">
        <f>SUM('DUoS (t)'!V63,'TUoS (t)'!V63,'JSO (t)'!V63)</f>
        <v>0</v>
      </c>
      <c r="X63" s="183">
        <f>'Q (t)'!G63</f>
        <v>365</v>
      </c>
      <c r="Y63" s="184">
        <f>'Q (t)'!H63</f>
        <v>0</v>
      </c>
      <c r="Z63" s="178">
        <f>'Q (t)'!I63</f>
        <v>4100</v>
      </c>
      <c r="AA63" s="178">
        <f>'Q (t)'!J63</f>
        <v>0</v>
      </c>
      <c r="AB63" s="179">
        <f>'Q (t)'!K63</f>
        <v>5400</v>
      </c>
      <c r="AC63" s="178">
        <f>'Q (t)'!L63</f>
        <v>0</v>
      </c>
      <c r="AD63" s="178">
        <f>'Q (t)'!M63</f>
        <v>0</v>
      </c>
      <c r="AE63" s="178">
        <f>'Q (t)'!N63</f>
        <v>0</v>
      </c>
      <c r="AF63" s="179">
        <f>'Q (t)'!O63</f>
        <v>0</v>
      </c>
      <c r="AG63" s="178">
        <f>'Q (t)'!P63</f>
        <v>0</v>
      </c>
      <c r="AH63" s="178">
        <f>'Q (t)'!Q63</f>
        <v>0</v>
      </c>
      <c r="AI63" s="179">
        <f>'Q (t)'!R63</f>
        <v>0</v>
      </c>
      <c r="AJ63" s="184">
        <f>'Q (t)'!S63</f>
        <v>1069450</v>
      </c>
      <c r="AK63" s="178">
        <f>'Q (t)'!T63</f>
        <v>1800910</v>
      </c>
      <c r="AL63" s="184">
        <f>'Q (t)'!U63</f>
        <v>0</v>
      </c>
      <c r="AM63" s="179">
        <f>'Q (t)'!V63</f>
        <v>0</v>
      </c>
      <c r="AO63" s="183">
        <f t="shared" si="2"/>
        <v>29.999934000000003</v>
      </c>
      <c r="AP63" s="184">
        <f t="shared" ref="AP63:AW77" si="44">H63*Y63</f>
        <v>0</v>
      </c>
      <c r="AQ63" s="178">
        <f t="shared" si="44"/>
        <v>271.42</v>
      </c>
      <c r="AR63" s="178">
        <f t="shared" si="44"/>
        <v>0</v>
      </c>
      <c r="AS63" s="179">
        <f t="shared" si="44"/>
        <v>223.56</v>
      </c>
      <c r="AT63" s="178">
        <f t="shared" si="44"/>
        <v>0</v>
      </c>
      <c r="AU63" s="178">
        <f t="shared" si="44"/>
        <v>0</v>
      </c>
      <c r="AV63" s="178">
        <f t="shared" si="44"/>
        <v>0</v>
      </c>
      <c r="AW63" s="179">
        <f t="shared" si="44"/>
        <v>0</v>
      </c>
      <c r="AX63" s="178">
        <f t="shared" si="41"/>
        <v>0</v>
      </c>
      <c r="AY63" s="178">
        <f t="shared" si="41"/>
        <v>0</v>
      </c>
      <c r="AZ63" s="179">
        <f t="shared" si="41"/>
        <v>0</v>
      </c>
      <c r="BA63" s="184">
        <f t="shared" si="40"/>
        <v>270.89168499999994</v>
      </c>
      <c r="BB63" s="178">
        <f t="shared" si="40"/>
        <v>186.574276</v>
      </c>
      <c r="BC63" s="184">
        <f t="shared" si="40"/>
        <v>0</v>
      </c>
      <c r="BD63" s="178">
        <f t="shared" si="40"/>
        <v>0</v>
      </c>
      <c r="BE63" s="251">
        <f t="shared" si="3"/>
        <v>1</v>
      </c>
      <c r="BF63" s="252">
        <f t="shared" si="39"/>
        <v>9500</v>
      </c>
      <c r="BH63" s="262">
        <f t="shared" si="34"/>
        <v>29.999934000000003</v>
      </c>
      <c r="BI63" s="262">
        <f t="shared" si="35"/>
        <v>494.98</v>
      </c>
      <c r="BJ63" s="262">
        <f t="shared" si="36"/>
        <v>0</v>
      </c>
      <c r="BK63" s="263">
        <f t="shared" si="37"/>
        <v>457.46596099999994</v>
      </c>
      <c r="BL63" s="269">
        <f t="shared" si="38"/>
        <v>0</v>
      </c>
      <c r="BM63" s="264">
        <f t="shared" si="5"/>
        <v>982.44589500000006</v>
      </c>
      <c r="BO63" s="732">
        <f t="shared" si="6"/>
        <v>103.41535736842106</v>
      </c>
    </row>
    <row r="64" spans="2:67" ht="15" customHeight="1" x14ac:dyDescent="0.25">
      <c r="B64" s="156">
        <f t="shared" si="26"/>
        <v>22</v>
      </c>
      <c r="C64" s="180" t="s">
        <v>660</v>
      </c>
      <c r="D64" s="181"/>
      <c r="E64" s="210" t="s">
        <v>680</v>
      </c>
      <c r="G64" s="488">
        <f>SUM('DUoS (t)'!G64,'TUoS (t)'!G64,'JSO (t)'!G64)</f>
        <v>27.397200000000002</v>
      </c>
      <c r="H64" s="490">
        <f>SUM('DUoS (t)'!H64,'TUoS (t)'!H64,'JSO (t)'!H64)</f>
        <v>0</v>
      </c>
      <c r="I64" s="494">
        <f>SUM('DUoS (t)'!I64,'TUoS (t)'!I64,'JSO (t)'!I64)</f>
        <v>6.6200000000000009E-2</v>
      </c>
      <c r="J64" s="471">
        <f>SUM('DUoS (t)'!J64,'TUoS (t)'!J64,'JSO (t)'!J64)</f>
        <v>0</v>
      </c>
      <c r="K64" s="495">
        <f>SUM('DUoS (t)'!K64,'TUoS (t)'!K64,'JSO (t)'!K64)</f>
        <v>4.1399999999999999E-2</v>
      </c>
      <c r="L64" s="471">
        <f>SUM('DUoS (t)'!L64,'TUoS (t)'!L64,'JSO (t)'!L64)</f>
        <v>0</v>
      </c>
      <c r="M64" s="471">
        <f>SUM('DUoS (t)'!M64,'TUoS (t)'!M64,'JSO (t)'!M64)</f>
        <v>0</v>
      </c>
      <c r="N64" s="471">
        <f>SUM('DUoS (t)'!N64,'TUoS (t)'!N64,'JSO (t)'!N64)</f>
        <v>0</v>
      </c>
      <c r="O64" s="472">
        <f>SUM('DUoS (t)'!O64,'TUoS (t)'!O64,'JSO (t)'!O64)</f>
        <v>0</v>
      </c>
      <c r="P64" s="489">
        <f>SUM('DUoS (t)'!P64,'TUoS (t)'!P64,'JSO (t)'!P64)</f>
        <v>0.91829999999999989</v>
      </c>
      <c r="Q64" s="471">
        <f>SUM('DUoS (t)'!Q64,'TUoS (t)'!Q64,'JSO (t)'!Q64)</f>
        <v>0</v>
      </c>
      <c r="R64" s="472">
        <f>SUM('DUoS (t)'!R64,'TUoS (t)'!R64,'JSO (t)'!R64)</f>
        <v>0</v>
      </c>
      <c r="S64" s="489">
        <f>SUM('DUoS (t)'!S64,'TUoS (t)'!S64,'JSO (t)'!S64)</f>
        <v>0</v>
      </c>
      <c r="T64" s="494">
        <f>SUM('DUoS (t)'!T64,'TUoS (t)'!T64,'JSO (t)'!T64)</f>
        <v>0.1036</v>
      </c>
      <c r="U64" s="490">
        <f>SUM('DUoS (t)'!U64,'TUoS (t)'!U64,'JSO (t)'!U64)</f>
        <v>0</v>
      </c>
      <c r="V64" s="472">
        <f>SUM('DUoS (t)'!V64,'TUoS (t)'!V64,'JSO (t)'!V64)</f>
        <v>0</v>
      </c>
      <c r="X64" s="183">
        <f>'Q (t)'!G64</f>
        <v>365</v>
      </c>
      <c r="Y64" s="184">
        <f>'Q (t)'!H64</f>
        <v>0</v>
      </c>
      <c r="Z64" s="178">
        <f>'Q (t)'!I64</f>
        <v>1100</v>
      </c>
      <c r="AA64" s="178">
        <f>'Q (t)'!J64</f>
        <v>0</v>
      </c>
      <c r="AB64" s="179">
        <f>'Q (t)'!K64</f>
        <v>1600</v>
      </c>
      <c r="AC64" s="178">
        <f>'Q (t)'!L64</f>
        <v>0</v>
      </c>
      <c r="AD64" s="178">
        <f>'Q (t)'!M64</f>
        <v>0</v>
      </c>
      <c r="AE64" s="178">
        <f>'Q (t)'!N64</f>
        <v>0</v>
      </c>
      <c r="AF64" s="179">
        <f>'Q (t)'!O64</f>
        <v>0</v>
      </c>
      <c r="AG64" s="178">
        <f>'Q (t)'!P64</f>
        <v>109475</v>
      </c>
      <c r="AH64" s="178">
        <f>'Q (t)'!Q64</f>
        <v>0</v>
      </c>
      <c r="AI64" s="179">
        <f>'Q (t)'!R64</f>
        <v>0</v>
      </c>
      <c r="AJ64" s="184">
        <f>'Q (t)'!S64</f>
        <v>0</v>
      </c>
      <c r="AK64" s="178">
        <f>'Q (t)'!T64</f>
        <v>572320</v>
      </c>
      <c r="AL64" s="184">
        <f>'Q (t)'!U64</f>
        <v>0</v>
      </c>
      <c r="AM64" s="179">
        <f>'Q (t)'!V64</f>
        <v>0</v>
      </c>
      <c r="AO64" s="183">
        <f t="shared" si="2"/>
        <v>9.9999780000000005</v>
      </c>
      <c r="AP64" s="184">
        <f t="shared" si="44"/>
        <v>0</v>
      </c>
      <c r="AQ64" s="178">
        <f t="shared" si="44"/>
        <v>72.820000000000007</v>
      </c>
      <c r="AR64" s="178">
        <f t="shared" si="44"/>
        <v>0</v>
      </c>
      <c r="AS64" s="179">
        <f t="shared" si="44"/>
        <v>66.239999999999995</v>
      </c>
      <c r="AT64" s="178">
        <f t="shared" si="44"/>
        <v>0</v>
      </c>
      <c r="AU64" s="178">
        <f t="shared" si="44"/>
        <v>0</v>
      </c>
      <c r="AV64" s="178">
        <f t="shared" si="44"/>
        <v>0</v>
      </c>
      <c r="AW64" s="179">
        <f t="shared" si="44"/>
        <v>0</v>
      </c>
      <c r="AX64" s="178">
        <f t="shared" si="41"/>
        <v>100.53089249999999</v>
      </c>
      <c r="AY64" s="178">
        <f t="shared" si="41"/>
        <v>0</v>
      </c>
      <c r="AZ64" s="179">
        <f t="shared" si="41"/>
        <v>0</v>
      </c>
      <c r="BA64" s="184">
        <f t="shared" si="40"/>
        <v>0</v>
      </c>
      <c r="BB64" s="178">
        <f t="shared" si="40"/>
        <v>59.292352000000001</v>
      </c>
      <c r="BC64" s="184">
        <f t="shared" si="40"/>
        <v>0</v>
      </c>
      <c r="BD64" s="178">
        <f t="shared" si="40"/>
        <v>0</v>
      </c>
      <c r="BE64" s="251">
        <f t="shared" si="3"/>
        <v>1</v>
      </c>
      <c r="BF64" s="252">
        <f t="shared" si="39"/>
        <v>2700</v>
      </c>
      <c r="BH64" s="262">
        <f t="shared" si="34"/>
        <v>9.9999780000000005</v>
      </c>
      <c r="BI64" s="262">
        <f t="shared" si="35"/>
        <v>139.06</v>
      </c>
      <c r="BJ64" s="262">
        <f t="shared" si="36"/>
        <v>0</v>
      </c>
      <c r="BK64" s="263">
        <f t="shared" si="37"/>
        <v>159.82324449999999</v>
      </c>
      <c r="BL64" s="269">
        <f t="shared" si="38"/>
        <v>0</v>
      </c>
      <c r="BM64" s="264">
        <f t="shared" si="5"/>
        <v>308.88322249999999</v>
      </c>
      <c r="BO64" s="732">
        <f t="shared" si="6"/>
        <v>114.40119351851851</v>
      </c>
    </row>
    <row r="65" spans="2:72" ht="15" customHeight="1" x14ac:dyDescent="0.25">
      <c r="B65" s="156">
        <f t="shared" si="26"/>
        <v>23</v>
      </c>
      <c r="C65" s="211"/>
      <c r="D65" s="212"/>
      <c r="E65" s="213"/>
      <c r="G65" s="493">
        <f>SUM('DUoS (t)'!G65,'TUoS (t)'!G65,'JSO (t)'!G65)</f>
        <v>0</v>
      </c>
      <c r="H65" s="490">
        <f>SUM('DUoS (t)'!H65,'TUoS (t)'!H65,'JSO (t)'!H65)</f>
        <v>0</v>
      </c>
      <c r="I65" s="471">
        <f>SUM('DUoS (t)'!I65,'TUoS (t)'!I65,'JSO (t)'!I65)</f>
        <v>0</v>
      </c>
      <c r="J65" s="471">
        <f>SUM('DUoS (t)'!J65,'TUoS (t)'!J65,'JSO (t)'!J65)</f>
        <v>0</v>
      </c>
      <c r="K65" s="472">
        <f>SUM('DUoS (t)'!K65,'TUoS (t)'!K65,'JSO (t)'!K65)</f>
        <v>0</v>
      </c>
      <c r="L65" s="471">
        <f>SUM('DUoS (t)'!L65,'TUoS (t)'!L65,'JSO (t)'!L65)</f>
        <v>0</v>
      </c>
      <c r="M65" s="471">
        <f>SUM('DUoS (t)'!M65,'TUoS (t)'!M65,'JSO (t)'!M65)</f>
        <v>0</v>
      </c>
      <c r="N65" s="471">
        <f>SUM('DUoS (t)'!N65,'TUoS (t)'!N65,'JSO (t)'!N65)</f>
        <v>0</v>
      </c>
      <c r="O65" s="472">
        <f>SUM('DUoS (t)'!O65,'TUoS (t)'!O65,'JSO (t)'!O65)</f>
        <v>0</v>
      </c>
      <c r="P65" s="471">
        <f>SUM('DUoS (t)'!P65,'TUoS (t)'!P65,'JSO (t)'!P65)</f>
        <v>0</v>
      </c>
      <c r="Q65" s="471">
        <f>SUM('DUoS (t)'!Q65,'TUoS (t)'!Q65,'JSO (t)'!Q65)</f>
        <v>0</v>
      </c>
      <c r="R65" s="472">
        <f>SUM('DUoS (t)'!R65,'TUoS (t)'!R65,'JSO (t)'!R65)</f>
        <v>0</v>
      </c>
      <c r="S65" s="490">
        <f>SUM('DUoS (t)'!S65,'TUoS (t)'!S65,'JSO (t)'!S65)</f>
        <v>0</v>
      </c>
      <c r="T65" s="471">
        <f>SUM('DUoS (t)'!T65,'TUoS (t)'!T65,'JSO (t)'!T65)</f>
        <v>0</v>
      </c>
      <c r="U65" s="490">
        <f>SUM('DUoS (t)'!U65,'TUoS (t)'!U65,'JSO (t)'!U65)</f>
        <v>0</v>
      </c>
      <c r="V65" s="472">
        <f>SUM('DUoS (t)'!V65,'TUoS (t)'!V65,'JSO (t)'!V65)</f>
        <v>0</v>
      </c>
      <c r="X65" s="183">
        <f>'Q (t)'!G65</f>
        <v>0</v>
      </c>
      <c r="Y65" s="184">
        <f>'Q (t)'!H65</f>
        <v>0</v>
      </c>
      <c r="Z65" s="178">
        <f>'Q (t)'!I65</f>
        <v>0</v>
      </c>
      <c r="AA65" s="178">
        <f>'Q (t)'!J65</f>
        <v>0</v>
      </c>
      <c r="AB65" s="179">
        <f>'Q (t)'!K65</f>
        <v>0</v>
      </c>
      <c r="AC65" s="178">
        <f>'Q (t)'!L65</f>
        <v>0</v>
      </c>
      <c r="AD65" s="178">
        <f>'Q (t)'!M65</f>
        <v>0</v>
      </c>
      <c r="AE65" s="178">
        <f>'Q (t)'!N65</f>
        <v>0</v>
      </c>
      <c r="AF65" s="179">
        <f>'Q (t)'!O65</f>
        <v>0</v>
      </c>
      <c r="AG65" s="178">
        <f>'Q (t)'!P65</f>
        <v>0</v>
      </c>
      <c r="AH65" s="178">
        <f>'Q (t)'!Q65</f>
        <v>0</v>
      </c>
      <c r="AI65" s="179">
        <f>'Q (t)'!R65</f>
        <v>0</v>
      </c>
      <c r="AJ65" s="184">
        <f>'Q (t)'!S65</f>
        <v>0</v>
      </c>
      <c r="AK65" s="178">
        <f>'Q (t)'!T65</f>
        <v>0</v>
      </c>
      <c r="AL65" s="184">
        <f>'Q (t)'!U65</f>
        <v>0</v>
      </c>
      <c r="AM65" s="179">
        <f>'Q (t)'!V65</f>
        <v>0</v>
      </c>
      <c r="AO65" s="183">
        <f t="shared" si="2"/>
        <v>0</v>
      </c>
      <c r="AP65" s="184">
        <f t="shared" si="44"/>
        <v>0</v>
      </c>
      <c r="AQ65" s="178">
        <f t="shared" si="44"/>
        <v>0</v>
      </c>
      <c r="AR65" s="178">
        <f t="shared" si="44"/>
        <v>0</v>
      </c>
      <c r="AS65" s="179">
        <f t="shared" si="44"/>
        <v>0</v>
      </c>
      <c r="AT65" s="178">
        <f t="shared" si="44"/>
        <v>0</v>
      </c>
      <c r="AU65" s="178">
        <f t="shared" si="44"/>
        <v>0</v>
      </c>
      <c r="AV65" s="178">
        <f t="shared" si="44"/>
        <v>0</v>
      </c>
      <c r="AW65" s="179">
        <f t="shared" si="44"/>
        <v>0</v>
      </c>
      <c r="AX65" s="178">
        <f t="shared" si="41"/>
        <v>0</v>
      </c>
      <c r="AY65" s="178">
        <f t="shared" si="41"/>
        <v>0</v>
      </c>
      <c r="AZ65" s="179">
        <f t="shared" si="41"/>
        <v>0</v>
      </c>
      <c r="BA65" s="184">
        <f t="shared" si="40"/>
        <v>0</v>
      </c>
      <c r="BB65" s="178">
        <f t="shared" si="40"/>
        <v>0</v>
      </c>
      <c r="BC65" s="184">
        <f t="shared" si="40"/>
        <v>0</v>
      </c>
      <c r="BD65" s="178">
        <f t="shared" si="40"/>
        <v>0</v>
      </c>
      <c r="BE65" s="251">
        <f t="shared" si="3"/>
        <v>0</v>
      </c>
      <c r="BF65" s="252">
        <f t="shared" si="39"/>
        <v>0</v>
      </c>
      <c r="BH65" s="262">
        <f t="shared" si="34"/>
        <v>0</v>
      </c>
      <c r="BI65" s="262">
        <f t="shared" si="35"/>
        <v>0</v>
      </c>
      <c r="BJ65" s="262">
        <f t="shared" si="36"/>
        <v>0</v>
      </c>
      <c r="BK65" s="263">
        <f t="shared" si="37"/>
        <v>0</v>
      </c>
      <c r="BL65" s="269">
        <f t="shared" si="38"/>
        <v>0</v>
      </c>
      <c r="BM65" s="264">
        <f t="shared" si="5"/>
        <v>0</v>
      </c>
      <c r="BO65" s="732" t="str">
        <f t="shared" si="6"/>
        <v/>
      </c>
    </row>
    <row r="66" spans="2:72" ht="15" customHeight="1" x14ac:dyDescent="0.25">
      <c r="B66" s="156">
        <f t="shared" si="26"/>
        <v>24</v>
      </c>
      <c r="C66" s="211"/>
      <c r="D66" s="212"/>
      <c r="E66" s="213"/>
      <c r="G66" s="493">
        <f>SUM('DUoS (t)'!G66,'TUoS (t)'!G66,'JSO (t)'!G66)</f>
        <v>0</v>
      </c>
      <c r="H66" s="490">
        <f>SUM('DUoS (t)'!H66,'TUoS (t)'!H66,'JSO (t)'!H66)</f>
        <v>0</v>
      </c>
      <c r="I66" s="471">
        <f>SUM('DUoS (t)'!I66,'TUoS (t)'!I66,'JSO (t)'!I66)</f>
        <v>0</v>
      </c>
      <c r="J66" s="471">
        <f>SUM('DUoS (t)'!J66,'TUoS (t)'!J66,'JSO (t)'!J66)</f>
        <v>0</v>
      </c>
      <c r="K66" s="472">
        <f>SUM('DUoS (t)'!K66,'TUoS (t)'!K66,'JSO (t)'!K66)</f>
        <v>0</v>
      </c>
      <c r="L66" s="471">
        <f>SUM('DUoS (t)'!L66,'TUoS (t)'!L66,'JSO (t)'!L66)</f>
        <v>0</v>
      </c>
      <c r="M66" s="471">
        <f>SUM('DUoS (t)'!M66,'TUoS (t)'!M66,'JSO (t)'!M66)</f>
        <v>0</v>
      </c>
      <c r="N66" s="471">
        <f>SUM('DUoS (t)'!N66,'TUoS (t)'!N66,'JSO (t)'!N66)</f>
        <v>0</v>
      </c>
      <c r="O66" s="472">
        <f>SUM('DUoS (t)'!O66,'TUoS (t)'!O66,'JSO (t)'!O66)</f>
        <v>0</v>
      </c>
      <c r="P66" s="471">
        <f>SUM('DUoS (t)'!P66,'TUoS (t)'!P66,'JSO (t)'!P66)</f>
        <v>0</v>
      </c>
      <c r="Q66" s="471">
        <f>SUM('DUoS (t)'!Q66,'TUoS (t)'!Q66,'JSO (t)'!Q66)</f>
        <v>0</v>
      </c>
      <c r="R66" s="472">
        <f>SUM('DUoS (t)'!R66,'TUoS (t)'!R66,'JSO (t)'!R66)</f>
        <v>0</v>
      </c>
      <c r="S66" s="490">
        <f>SUM('DUoS (t)'!S66,'TUoS (t)'!S66,'JSO (t)'!S66)</f>
        <v>0</v>
      </c>
      <c r="T66" s="471">
        <f>SUM('DUoS (t)'!T66,'TUoS (t)'!T66,'JSO (t)'!T66)</f>
        <v>0</v>
      </c>
      <c r="U66" s="490">
        <f>SUM('DUoS (t)'!U66,'TUoS (t)'!U66,'JSO (t)'!U66)</f>
        <v>0</v>
      </c>
      <c r="V66" s="472">
        <f>SUM('DUoS (t)'!V66,'TUoS (t)'!V66,'JSO (t)'!V66)</f>
        <v>0</v>
      </c>
      <c r="X66" s="183">
        <f>'Q (t)'!G66</f>
        <v>0</v>
      </c>
      <c r="Y66" s="184">
        <f>'Q (t)'!H66</f>
        <v>0</v>
      </c>
      <c r="Z66" s="178">
        <f>'Q (t)'!I66</f>
        <v>0</v>
      </c>
      <c r="AA66" s="178">
        <f>'Q (t)'!J66</f>
        <v>0</v>
      </c>
      <c r="AB66" s="179">
        <f>'Q (t)'!K66</f>
        <v>0</v>
      </c>
      <c r="AC66" s="178">
        <f>'Q (t)'!L66</f>
        <v>0</v>
      </c>
      <c r="AD66" s="178">
        <f>'Q (t)'!M66</f>
        <v>0</v>
      </c>
      <c r="AE66" s="178">
        <f>'Q (t)'!N66</f>
        <v>0</v>
      </c>
      <c r="AF66" s="179">
        <f>'Q (t)'!O66</f>
        <v>0</v>
      </c>
      <c r="AG66" s="178">
        <f>'Q (t)'!P66</f>
        <v>0</v>
      </c>
      <c r="AH66" s="178">
        <f>'Q (t)'!Q66</f>
        <v>0</v>
      </c>
      <c r="AI66" s="179">
        <f>'Q (t)'!R66</f>
        <v>0</v>
      </c>
      <c r="AJ66" s="184">
        <f>'Q (t)'!S66</f>
        <v>0</v>
      </c>
      <c r="AK66" s="178">
        <f>'Q (t)'!T66</f>
        <v>0</v>
      </c>
      <c r="AL66" s="184">
        <f>'Q (t)'!U66</f>
        <v>0</v>
      </c>
      <c r="AM66" s="179">
        <f>'Q (t)'!V66</f>
        <v>0</v>
      </c>
      <c r="AO66" s="183">
        <f t="shared" si="2"/>
        <v>0</v>
      </c>
      <c r="AP66" s="184">
        <f t="shared" si="44"/>
        <v>0</v>
      </c>
      <c r="AQ66" s="178">
        <f t="shared" si="44"/>
        <v>0</v>
      </c>
      <c r="AR66" s="178">
        <f t="shared" si="44"/>
        <v>0</v>
      </c>
      <c r="AS66" s="179">
        <f t="shared" si="44"/>
        <v>0</v>
      </c>
      <c r="AT66" s="178">
        <f t="shared" si="44"/>
        <v>0</v>
      </c>
      <c r="AU66" s="178">
        <f t="shared" si="44"/>
        <v>0</v>
      </c>
      <c r="AV66" s="178">
        <f t="shared" si="44"/>
        <v>0</v>
      </c>
      <c r="AW66" s="179">
        <f t="shared" si="44"/>
        <v>0</v>
      </c>
      <c r="AX66" s="178">
        <f t="shared" si="41"/>
        <v>0</v>
      </c>
      <c r="AY66" s="178">
        <f t="shared" si="41"/>
        <v>0</v>
      </c>
      <c r="AZ66" s="179">
        <f t="shared" si="41"/>
        <v>0</v>
      </c>
      <c r="BA66" s="184">
        <f t="shared" si="40"/>
        <v>0</v>
      </c>
      <c r="BB66" s="178">
        <f t="shared" si="40"/>
        <v>0</v>
      </c>
      <c r="BC66" s="184">
        <f t="shared" si="40"/>
        <v>0</v>
      </c>
      <c r="BD66" s="178">
        <f t="shared" si="40"/>
        <v>0</v>
      </c>
      <c r="BE66" s="251">
        <f t="shared" si="3"/>
        <v>0</v>
      </c>
      <c r="BF66" s="252">
        <f t="shared" si="39"/>
        <v>0</v>
      </c>
      <c r="BH66" s="262">
        <f t="shared" si="34"/>
        <v>0</v>
      </c>
      <c r="BI66" s="262">
        <f t="shared" si="35"/>
        <v>0</v>
      </c>
      <c r="BJ66" s="262">
        <f t="shared" si="36"/>
        <v>0</v>
      </c>
      <c r="BK66" s="263">
        <f t="shared" si="37"/>
        <v>0</v>
      </c>
      <c r="BL66" s="269">
        <f t="shared" si="38"/>
        <v>0</v>
      </c>
      <c r="BM66" s="264">
        <f t="shared" si="5"/>
        <v>0</v>
      </c>
      <c r="BO66" s="732" t="str">
        <f t="shared" si="6"/>
        <v/>
      </c>
    </row>
    <row r="67" spans="2:72" ht="15" customHeight="1" x14ac:dyDescent="0.25">
      <c r="B67" s="162">
        <f t="shared" si="26"/>
        <v>25</v>
      </c>
      <c r="C67" s="214"/>
      <c r="D67" s="215"/>
      <c r="E67" s="216"/>
      <c r="G67" s="509">
        <f>SUM('DUoS (t)'!G67,'TUoS (t)'!G67,'JSO (t)'!G67)</f>
        <v>0</v>
      </c>
      <c r="H67" s="502">
        <f>SUM('DUoS (t)'!H67,'TUoS (t)'!H67,'JSO (t)'!H67)</f>
        <v>0</v>
      </c>
      <c r="I67" s="498">
        <f>SUM('DUoS (t)'!I67,'TUoS (t)'!I67,'JSO (t)'!I67)</f>
        <v>0</v>
      </c>
      <c r="J67" s="498">
        <f>SUM('DUoS (t)'!J67,'TUoS (t)'!J67,'JSO (t)'!J67)</f>
        <v>0</v>
      </c>
      <c r="K67" s="499">
        <f>SUM('DUoS (t)'!K67,'TUoS (t)'!K67,'JSO (t)'!K67)</f>
        <v>0</v>
      </c>
      <c r="L67" s="498">
        <f>SUM('DUoS (t)'!L67,'TUoS (t)'!L67,'JSO (t)'!L67)</f>
        <v>0</v>
      </c>
      <c r="M67" s="498">
        <f>SUM('DUoS (t)'!M67,'TUoS (t)'!M67,'JSO (t)'!M67)</f>
        <v>0</v>
      </c>
      <c r="N67" s="498">
        <f>SUM('DUoS (t)'!N67,'TUoS (t)'!N67,'JSO (t)'!N67)</f>
        <v>0</v>
      </c>
      <c r="O67" s="499">
        <f>SUM('DUoS (t)'!O67,'TUoS (t)'!O67,'JSO (t)'!O67)</f>
        <v>0</v>
      </c>
      <c r="P67" s="498">
        <f>SUM('DUoS (t)'!P67,'TUoS (t)'!P67,'JSO (t)'!P67)</f>
        <v>0</v>
      </c>
      <c r="Q67" s="498">
        <f>SUM('DUoS (t)'!Q67,'TUoS (t)'!Q67,'JSO (t)'!Q67)</f>
        <v>0</v>
      </c>
      <c r="R67" s="499">
        <f>SUM('DUoS (t)'!R67,'TUoS (t)'!R67,'JSO (t)'!R67)</f>
        <v>0</v>
      </c>
      <c r="S67" s="502">
        <f>SUM('DUoS (t)'!S67,'TUoS (t)'!S67,'JSO (t)'!S67)</f>
        <v>0</v>
      </c>
      <c r="T67" s="498">
        <f>SUM('DUoS (t)'!T67,'TUoS (t)'!T67,'JSO (t)'!T67)</f>
        <v>0</v>
      </c>
      <c r="U67" s="502">
        <f>SUM('DUoS (t)'!U67,'TUoS (t)'!U67,'JSO (t)'!U67)</f>
        <v>0</v>
      </c>
      <c r="V67" s="499">
        <f>SUM('DUoS (t)'!V67,'TUoS (t)'!V67,'JSO (t)'!V67)</f>
        <v>0</v>
      </c>
      <c r="X67" s="190">
        <f>'Q (t)'!G67</f>
        <v>0</v>
      </c>
      <c r="Y67" s="197">
        <f>'Q (t)'!H67</f>
        <v>0</v>
      </c>
      <c r="Z67" s="192">
        <f>'Q (t)'!I67</f>
        <v>0</v>
      </c>
      <c r="AA67" s="192">
        <f>'Q (t)'!J67</f>
        <v>0</v>
      </c>
      <c r="AB67" s="193">
        <f>'Q (t)'!K67</f>
        <v>0</v>
      </c>
      <c r="AC67" s="192">
        <f>'Q (t)'!L67</f>
        <v>0</v>
      </c>
      <c r="AD67" s="192">
        <f>'Q (t)'!M67</f>
        <v>0</v>
      </c>
      <c r="AE67" s="192">
        <f>'Q (t)'!N67</f>
        <v>0</v>
      </c>
      <c r="AF67" s="193">
        <f>'Q (t)'!O67</f>
        <v>0</v>
      </c>
      <c r="AG67" s="192">
        <f>'Q (t)'!P67</f>
        <v>0</v>
      </c>
      <c r="AH67" s="192">
        <f>'Q (t)'!Q67</f>
        <v>0</v>
      </c>
      <c r="AI67" s="193">
        <f>'Q (t)'!R67</f>
        <v>0</v>
      </c>
      <c r="AJ67" s="197">
        <f>'Q (t)'!S67</f>
        <v>0</v>
      </c>
      <c r="AK67" s="192">
        <f>'Q (t)'!T67</f>
        <v>0</v>
      </c>
      <c r="AL67" s="197">
        <f>'Q (t)'!U67</f>
        <v>0</v>
      </c>
      <c r="AM67" s="193">
        <f>'Q (t)'!V67</f>
        <v>0</v>
      </c>
      <c r="AO67" s="190">
        <f t="shared" si="2"/>
        <v>0</v>
      </c>
      <c r="AP67" s="197">
        <f t="shared" si="44"/>
        <v>0</v>
      </c>
      <c r="AQ67" s="192">
        <f t="shared" si="44"/>
        <v>0</v>
      </c>
      <c r="AR67" s="192">
        <f t="shared" si="44"/>
        <v>0</v>
      </c>
      <c r="AS67" s="193">
        <f t="shared" si="44"/>
        <v>0</v>
      </c>
      <c r="AT67" s="192">
        <f t="shared" si="44"/>
        <v>0</v>
      </c>
      <c r="AU67" s="192">
        <f t="shared" si="44"/>
        <v>0</v>
      </c>
      <c r="AV67" s="192">
        <f t="shared" si="44"/>
        <v>0</v>
      </c>
      <c r="AW67" s="193">
        <f t="shared" si="44"/>
        <v>0</v>
      </c>
      <c r="AX67" s="192">
        <f t="shared" si="41"/>
        <v>0</v>
      </c>
      <c r="AY67" s="192">
        <f t="shared" si="41"/>
        <v>0</v>
      </c>
      <c r="AZ67" s="193">
        <f t="shared" si="41"/>
        <v>0</v>
      </c>
      <c r="BA67" s="197">
        <f t="shared" si="40"/>
        <v>0</v>
      </c>
      <c r="BB67" s="192">
        <f t="shared" si="40"/>
        <v>0</v>
      </c>
      <c r="BC67" s="197">
        <f t="shared" si="40"/>
        <v>0</v>
      </c>
      <c r="BD67" s="192">
        <f t="shared" si="40"/>
        <v>0</v>
      </c>
      <c r="BE67" s="253">
        <f t="shared" si="3"/>
        <v>0</v>
      </c>
      <c r="BF67" s="254">
        <f t="shared" si="39"/>
        <v>0</v>
      </c>
      <c r="BH67" s="262">
        <f t="shared" si="34"/>
        <v>0</v>
      </c>
      <c r="BI67" s="262">
        <f t="shared" si="35"/>
        <v>0</v>
      </c>
      <c r="BJ67" s="262">
        <f t="shared" si="36"/>
        <v>0</v>
      </c>
      <c r="BK67" s="263">
        <f t="shared" si="37"/>
        <v>0</v>
      </c>
      <c r="BL67" s="269">
        <f t="shared" si="38"/>
        <v>0</v>
      </c>
      <c r="BM67" s="264">
        <f t="shared" si="5"/>
        <v>0</v>
      </c>
      <c r="BO67" s="732" t="str">
        <f t="shared" si="6"/>
        <v/>
      </c>
    </row>
    <row r="68" spans="2:72" ht="15" customHeight="1" x14ac:dyDescent="0.25">
      <c r="B68" s="167" t="s">
        <v>101</v>
      </c>
      <c r="C68" s="151" t="s">
        <v>102</v>
      </c>
      <c r="D68" s="151"/>
      <c r="E68" s="204"/>
      <c r="G68" s="505">
        <f>SUM('DUoS (t)'!G68,'TUoS (t)'!G68,'JSO (t)'!G68)</f>
        <v>0</v>
      </c>
      <c r="H68" s="506">
        <f>SUM('DUoS (t)'!H68,'TUoS (t)'!H68,'JSO (t)'!H68)</f>
        <v>0</v>
      </c>
      <c r="I68" s="507">
        <f>SUM('DUoS (t)'!I68,'TUoS (t)'!I68,'JSO (t)'!I68)</f>
        <v>0</v>
      </c>
      <c r="J68" s="507">
        <f>SUM('DUoS (t)'!J68,'TUoS (t)'!J68,'JSO (t)'!J68)</f>
        <v>0</v>
      </c>
      <c r="K68" s="508">
        <f>SUM('DUoS (t)'!K68,'TUoS (t)'!K68,'JSO (t)'!K68)</f>
        <v>0</v>
      </c>
      <c r="L68" s="507">
        <f>SUM('DUoS (t)'!L68,'TUoS (t)'!L68,'JSO (t)'!L68)</f>
        <v>0</v>
      </c>
      <c r="M68" s="507">
        <f>SUM('DUoS (t)'!M68,'TUoS (t)'!M68,'JSO (t)'!M68)</f>
        <v>0</v>
      </c>
      <c r="N68" s="507">
        <f>SUM('DUoS (t)'!N68,'TUoS (t)'!N68,'JSO (t)'!N68)</f>
        <v>0</v>
      </c>
      <c r="O68" s="508">
        <f>SUM('DUoS (t)'!O68,'TUoS (t)'!O68,'JSO (t)'!O68)</f>
        <v>0</v>
      </c>
      <c r="P68" s="507">
        <f>SUM('DUoS (t)'!P68,'TUoS (t)'!P68,'JSO (t)'!P68)</f>
        <v>0</v>
      </c>
      <c r="Q68" s="507">
        <f>SUM('DUoS (t)'!Q68,'TUoS (t)'!Q68,'JSO (t)'!Q68)</f>
        <v>0</v>
      </c>
      <c r="R68" s="508">
        <f>SUM('DUoS (t)'!R68,'TUoS (t)'!R68,'JSO (t)'!R68)</f>
        <v>0</v>
      </c>
      <c r="S68" s="506">
        <f>SUM('DUoS (t)'!S68,'TUoS (t)'!S68,'JSO (t)'!S68)</f>
        <v>0</v>
      </c>
      <c r="T68" s="507">
        <f>SUM('DUoS (t)'!T68,'TUoS (t)'!T68,'JSO (t)'!T68)</f>
        <v>0</v>
      </c>
      <c r="U68" s="506">
        <f>SUM('DUoS (t)'!U68,'TUoS (t)'!U68,'JSO (t)'!U68)</f>
        <v>0</v>
      </c>
      <c r="V68" s="508">
        <f>SUM('DUoS (t)'!V68,'TUoS (t)'!V68,'JSO (t)'!V68)</f>
        <v>0</v>
      </c>
      <c r="X68" s="205">
        <f>'Q (t)'!G68</f>
        <v>0</v>
      </c>
      <c r="Y68" s="206">
        <f>'Q (t)'!H68</f>
        <v>0</v>
      </c>
      <c r="Z68" s="207">
        <f>'Q (t)'!I68</f>
        <v>0</v>
      </c>
      <c r="AA68" s="207">
        <f>'Q (t)'!J68</f>
        <v>0</v>
      </c>
      <c r="AB68" s="208">
        <f>'Q (t)'!K68</f>
        <v>0</v>
      </c>
      <c r="AC68" s="207">
        <f>'Q (t)'!L68</f>
        <v>0</v>
      </c>
      <c r="AD68" s="207">
        <f>'Q (t)'!M68</f>
        <v>0</v>
      </c>
      <c r="AE68" s="207">
        <f>'Q (t)'!N68</f>
        <v>0</v>
      </c>
      <c r="AF68" s="208">
        <f>'Q (t)'!O68</f>
        <v>0</v>
      </c>
      <c r="AG68" s="207">
        <f>'Q (t)'!P68</f>
        <v>0</v>
      </c>
      <c r="AH68" s="207">
        <f>'Q (t)'!Q68</f>
        <v>0</v>
      </c>
      <c r="AI68" s="208">
        <f>'Q (t)'!R68</f>
        <v>0</v>
      </c>
      <c r="AJ68" s="206">
        <f>'Q (t)'!S68</f>
        <v>0</v>
      </c>
      <c r="AK68" s="207">
        <f>'Q (t)'!T68</f>
        <v>0</v>
      </c>
      <c r="AL68" s="206">
        <f>'Q (t)'!U68</f>
        <v>0</v>
      </c>
      <c r="AM68" s="208">
        <f>'Q (t)'!V68</f>
        <v>0</v>
      </c>
      <c r="AO68" s="205">
        <f t="shared" si="2"/>
        <v>0</v>
      </c>
      <c r="AP68" s="206">
        <f t="shared" si="44"/>
        <v>0</v>
      </c>
      <c r="AQ68" s="207">
        <f t="shared" si="44"/>
        <v>0</v>
      </c>
      <c r="AR68" s="207">
        <f t="shared" si="44"/>
        <v>0</v>
      </c>
      <c r="AS68" s="208">
        <f t="shared" si="44"/>
        <v>0</v>
      </c>
      <c r="AT68" s="207">
        <f t="shared" si="44"/>
        <v>0</v>
      </c>
      <c r="AU68" s="207">
        <f t="shared" si="44"/>
        <v>0</v>
      </c>
      <c r="AV68" s="207">
        <f t="shared" si="44"/>
        <v>0</v>
      </c>
      <c r="AW68" s="208">
        <f t="shared" si="44"/>
        <v>0</v>
      </c>
      <c r="AX68" s="207">
        <f t="shared" si="41"/>
        <v>0</v>
      </c>
      <c r="AY68" s="207">
        <f t="shared" si="41"/>
        <v>0</v>
      </c>
      <c r="AZ68" s="208">
        <f t="shared" si="41"/>
        <v>0</v>
      </c>
      <c r="BA68" s="206">
        <f t="shared" si="40"/>
        <v>0</v>
      </c>
      <c r="BB68" s="207">
        <f t="shared" si="40"/>
        <v>0</v>
      </c>
      <c r="BC68" s="206">
        <f t="shared" si="40"/>
        <v>0</v>
      </c>
      <c r="BD68" s="207">
        <f t="shared" si="40"/>
        <v>0</v>
      </c>
      <c r="BE68" s="249">
        <f t="shared" si="3"/>
        <v>0</v>
      </c>
      <c r="BF68" s="250">
        <f t="shared" si="39"/>
        <v>0</v>
      </c>
      <c r="BH68" s="260">
        <f>SUBTOTAL(9,BH69:BH91)</f>
        <v>4940.3345314999997</v>
      </c>
      <c r="BI68" s="260">
        <f>SUBTOTAL(9,BI69:BI91)</f>
        <v>24261.920000000006</v>
      </c>
      <c r="BJ68" s="260">
        <f>SUBTOTAL(9,BJ69:BJ91)</f>
        <v>0</v>
      </c>
      <c r="BK68" s="260">
        <f>SUBTOTAL(9,BK69:BK91)</f>
        <v>22182.724602200004</v>
      </c>
      <c r="BL68" s="260">
        <f>SUBTOTAL(9,BL69:BL91)</f>
        <v>0</v>
      </c>
      <c r="BM68" s="264">
        <f>SUM(BH68:BL68)</f>
        <v>51384.979133700006</v>
      </c>
      <c r="BO68" s="732" t="str">
        <f t="shared" si="6"/>
        <v/>
      </c>
    </row>
    <row r="69" spans="2:72" ht="15" customHeight="1" x14ac:dyDescent="0.25">
      <c r="B69" s="156"/>
      <c r="C69" s="126" t="s">
        <v>103</v>
      </c>
      <c r="D69" s="202"/>
      <c r="E69" s="202"/>
      <c r="G69" s="493">
        <f>SUM('DUoS (t)'!G69,'TUoS (t)'!G69,'JSO (t)'!G69)</f>
        <v>0</v>
      </c>
      <c r="H69" s="490">
        <f>SUM('DUoS (t)'!H69,'TUoS (t)'!H69,'JSO (t)'!H69)</f>
        <v>0</v>
      </c>
      <c r="I69" s="471">
        <f>SUM('DUoS (t)'!I69,'TUoS (t)'!I69,'JSO (t)'!I69)</f>
        <v>0</v>
      </c>
      <c r="J69" s="471">
        <f>SUM('DUoS (t)'!J69,'TUoS (t)'!J69,'JSO (t)'!J69)</f>
        <v>0</v>
      </c>
      <c r="K69" s="472">
        <f>SUM('DUoS (t)'!K69,'TUoS (t)'!K69,'JSO (t)'!K69)</f>
        <v>0</v>
      </c>
      <c r="L69" s="471">
        <f>SUM('DUoS (t)'!L69,'TUoS (t)'!L69,'JSO (t)'!L69)</f>
        <v>0</v>
      </c>
      <c r="M69" s="471">
        <f>SUM('DUoS (t)'!M69,'TUoS (t)'!M69,'JSO (t)'!M69)</f>
        <v>0</v>
      </c>
      <c r="N69" s="471">
        <f>SUM('DUoS (t)'!N69,'TUoS (t)'!N69,'JSO (t)'!N69)</f>
        <v>0</v>
      </c>
      <c r="O69" s="472">
        <f>SUM('DUoS (t)'!O69,'TUoS (t)'!O69,'JSO (t)'!O69)</f>
        <v>0</v>
      </c>
      <c r="P69" s="471">
        <f>SUM('DUoS (t)'!P69,'TUoS (t)'!P69,'JSO (t)'!P69)</f>
        <v>0</v>
      </c>
      <c r="Q69" s="471">
        <f>SUM('DUoS (t)'!Q69,'TUoS (t)'!Q69,'JSO (t)'!Q69)</f>
        <v>0</v>
      </c>
      <c r="R69" s="472">
        <f>SUM('DUoS (t)'!R69,'TUoS (t)'!R69,'JSO (t)'!R69)</f>
        <v>0</v>
      </c>
      <c r="S69" s="490">
        <f>SUM('DUoS (t)'!S69,'TUoS (t)'!S69,'JSO (t)'!S69)</f>
        <v>0</v>
      </c>
      <c r="T69" s="471">
        <f>SUM('DUoS (t)'!T69,'TUoS (t)'!T69,'JSO (t)'!T69)</f>
        <v>0</v>
      </c>
      <c r="U69" s="490">
        <f>SUM('DUoS (t)'!U69,'TUoS (t)'!U69,'JSO (t)'!U69)</f>
        <v>0</v>
      </c>
      <c r="V69" s="472">
        <f>SUM('DUoS (t)'!V69,'TUoS (t)'!V69,'JSO (t)'!V69)</f>
        <v>0</v>
      </c>
      <c r="X69" s="183">
        <f>'Q (t)'!G69</f>
        <v>0</v>
      </c>
      <c r="Y69" s="184">
        <f>'Q (t)'!H69</f>
        <v>0</v>
      </c>
      <c r="Z69" s="178">
        <f>'Q (t)'!I69</f>
        <v>0</v>
      </c>
      <c r="AA69" s="178">
        <f>'Q (t)'!J69</f>
        <v>0</v>
      </c>
      <c r="AB69" s="179">
        <f>'Q (t)'!K69</f>
        <v>0</v>
      </c>
      <c r="AC69" s="178">
        <f>'Q (t)'!L69</f>
        <v>0</v>
      </c>
      <c r="AD69" s="178">
        <f>'Q (t)'!M69</f>
        <v>0</v>
      </c>
      <c r="AE69" s="178">
        <f>'Q (t)'!N69</f>
        <v>0</v>
      </c>
      <c r="AF69" s="179">
        <f>'Q (t)'!O69</f>
        <v>0</v>
      </c>
      <c r="AG69" s="178">
        <f>'Q (t)'!P69</f>
        <v>0</v>
      </c>
      <c r="AH69" s="178">
        <f>'Q (t)'!Q69</f>
        <v>0</v>
      </c>
      <c r="AI69" s="179">
        <f>'Q (t)'!R69</f>
        <v>0</v>
      </c>
      <c r="AJ69" s="184">
        <f>'Q (t)'!S69</f>
        <v>0</v>
      </c>
      <c r="AK69" s="178">
        <f>'Q (t)'!T69</f>
        <v>0</v>
      </c>
      <c r="AL69" s="184">
        <f>'Q (t)'!U69</f>
        <v>0</v>
      </c>
      <c r="AM69" s="179">
        <f>'Q (t)'!V69</f>
        <v>0</v>
      </c>
      <c r="AO69" s="183">
        <f t="shared" si="2"/>
        <v>0</v>
      </c>
      <c r="AP69" s="184">
        <f t="shared" si="44"/>
        <v>0</v>
      </c>
      <c r="AQ69" s="178">
        <f t="shared" si="44"/>
        <v>0</v>
      </c>
      <c r="AR69" s="178">
        <f t="shared" si="44"/>
        <v>0</v>
      </c>
      <c r="AS69" s="179">
        <f t="shared" si="44"/>
        <v>0</v>
      </c>
      <c r="AT69" s="178">
        <f t="shared" si="44"/>
        <v>0</v>
      </c>
      <c r="AU69" s="178">
        <f t="shared" si="44"/>
        <v>0</v>
      </c>
      <c r="AV69" s="178">
        <f t="shared" si="44"/>
        <v>0</v>
      </c>
      <c r="AW69" s="179">
        <f t="shared" si="44"/>
        <v>0</v>
      </c>
      <c r="AX69" s="178">
        <f t="shared" si="41"/>
        <v>0</v>
      </c>
      <c r="AY69" s="178">
        <f t="shared" si="41"/>
        <v>0</v>
      </c>
      <c r="AZ69" s="179">
        <f t="shared" si="41"/>
        <v>0</v>
      </c>
      <c r="BA69" s="184">
        <f t="shared" si="40"/>
        <v>0</v>
      </c>
      <c r="BB69" s="178">
        <f t="shared" si="40"/>
        <v>0</v>
      </c>
      <c r="BC69" s="184">
        <f t="shared" si="40"/>
        <v>0</v>
      </c>
      <c r="BD69" s="178">
        <f t="shared" si="40"/>
        <v>0</v>
      </c>
      <c r="BE69" s="251">
        <f t="shared" si="3"/>
        <v>0</v>
      </c>
      <c r="BF69" s="252">
        <f t="shared" si="39"/>
        <v>0</v>
      </c>
      <c r="BH69" s="259">
        <f>SUBTOTAL(9,BH70:BH75)</f>
        <v>2235.5002429999995</v>
      </c>
      <c r="BI69" s="259">
        <f>SUBTOTAL(9,BI70:BI75)</f>
        <v>20291.970000000005</v>
      </c>
      <c r="BJ69" s="259">
        <f>SUBTOTAL(9,BJ70:BJ75)</f>
        <v>0</v>
      </c>
      <c r="BK69" s="259">
        <f>SUBTOTAL(9,BK70:BK75)</f>
        <v>19196.449873200003</v>
      </c>
      <c r="BL69" s="259">
        <f>SUBTOTAL(9,BL70:BL75)</f>
        <v>0</v>
      </c>
      <c r="BM69" s="264">
        <f t="shared" si="5"/>
        <v>41723.92011620001</v>
      </c>
      <c r="BO69" s="732" t="str">
        <f t="shared" si="6"/>
        <v/>
      </c>
      <c r="BT69" s="137"/>
    </row>
    <row r="70" spans="2:72" ht="15" customHeight="1" x14ac:dyDescent="0.25">
      <c r="B70" s="156">
        <v>1</v>
      </c>
      <c r="C70" s="180" t="s">
        <v>605</v>
      </c>
      <c r="D70" s="181" t="s">
        <v>606</v>
      </c>
      <c r="E70" s="210" t="s">
        <v>104</v>
      </c>
      <c r="G70" s="488">
        <f>SUM('DUoS (t)'!G70,'TUoS (t)'!G70,'JSO (t)'!G70)</f>
        <v>41.0959</v>
      </c>
      <c r="H70" s="490">
        <f>SUM('DUoS (t)'!H70,'TUoS (t)'!H70,'JSO (t)'!H70)</f>
        <v>0</v>
      </c>
      <c r="I70" s="494">
        <f>SUM('DUoS (t)'!I70,'TUoS (t)'!I70,'JSO (t)'!I70)</f>
        <v>4.1400000000000006E-2</v>
      </c>
      <c r="J70" s="471">
        <f>SUM('DUoS (t)'!J70,'TUoS (t)'!J70,'JSO (t)'!J70)</f>
        <v>0</v>
      </c>
      <c r="K70" s="495">
        <f>SUM('DUoS (t)'!K70,'TUoS (t)'!K70,'JSO (t)'!K70)</f>
        <v>2.5900000000000003E-2</v>
      </c>
      <c r="L70" s="471">
        <f>SUM('DUoS (t)'!L70,'TUoS (t)'!L70,'JSO (t)'!L70)</f>
        <v>0</v>
      </c>
      <c r="M70" s="471">
        <f>SUM('DUoS (t)'!M70,'TUoS (t)'!M70,'JSO (t)'!M70)</f>
        <v>0</v>
      </c>
      <c r="N70" s="471">
        <f>SUM('DUoS (t)'!N70,'TUoS (t)'!N70,'JSO (t)'!N70)</f>
        <v>0</v>
      </c>
      <c r="O70" s="472">
        <f>SUM('DUoS (t)'!O70,'TUoS (t)'!O70,'JSO (t)'!O70)</f>
        <v>0</v>
      </c>
      <c r="P70" s="471">
        <f>SUM('DUoS (t)'!P70,'TUoS (t)'!P70,'JSO (t)'!P70)</f>
        <v>0</v>
      </c>
      <c r="Q70" s="471">
        <f>SUM('DUoS (t)'!Q70,'TUoS (t)'!Q70,'JSO (t)'!Q70)</f>
        <v>0</v>
      </c>
      <c r="R70" s="472">
        <f>SUM('DUoS (t)'!R70,'TUoS (t)'!R70,'JSO (t)'!R70)</f>
        <v>0</v>
      </c>
      <c r="S70" s="489">
        <f>SUM('DUoS (t)'!S70,'TUoS (t)'!S70,'JSO (t)'!S70)</f>
        <v>0.21479999999999999</v>
      </c>
      <c r="T70" s="494">
        <f>SUM('DUoS (t)'!T70,'TUoS (t)'!T70,'JSO (t)'!T70)</f>
        <v>0.1036</v>
      </c>
      <c r="U70" s="491">
        <f>SUM('DUoS (t)'!U70,'TUoS (t)'!U70,'JSO (t)'!U70)</f>
        <v>0</v>
      </c>
      <c r="V70" s="492">
        <f>SUM('DUoS (t)'!V70,'TUoS (t)'!V70,'JSO (t)'!V70)</f>
        <v>0</v>
      </c>
      <c r="X70" s="183">
        <f>'Q (t)'!G70</f>
        <v>50370</v>
      </c>
      <c r="Y70" s="184">
        <f>'Q (t)'!H70</f>
        <v>0</v>
      </c>
      <c r="Z70" s="178">
        <f>'Q (t)'!I70</f>
        <v>265600</v>
      </c>
      <c r="AA70" s="178">
        <f>'Q (t)'!J70</f>
        <v>0</v>
      </c>
      <c r="AB70" s="179">
        <f>'Q (t)'!K70</f>
        <v>284700</v>
      </c>
      <c r="AC70" s="178">
        <f>'Q (t)'!L70</f>
        <v>0</v>
      </c>
      <c r="AD70" s="178">
        <f>'Q (t)'!M70</f>
        <v>0</v>
      </c>
      <c r="AE70" s="178">
        <f>'Q (t)'!N70</f>
        <v>0</v>
      </c>
      <c r="AF70" s="179">
        <f>'Q (t)'!O70</f>
        <v>0</v>
      </c>
      <c r="AG70" s="178">
        <f>'Q (t)'!P70</f>
        <v>0</v>
      </c>
      <c r="AH70" s="178">
        <f>'Q (t)'!Q70</f>
        <v>0</v>
      </c>
      <c r="AI70" s="179">
        <f>'Q (t)'!R70</f>
        <v>0</v>
      </c>
      <c r="AJ70" s="184">
        <f>'Q (t)'!S70</f>
        <v>50549580</v>
      </c>
      <c r="AK70" s="178">
        <f>'Q (t)'!T70</f>
        <v>65300325</v>
      </c>
      <c r="AL70" s="184">
        <f>'Q (t)'!U70</f>
        <v>0</v>
      </c>
      <c r="AM70" s="179">
        <f>'Q (t)'!V70</f>
        <v>0</v>
      </c>
      <c r="AO70" s="183">
        <f t="shared" si="2"/>
        <v>2070.0004829999998</v>
      </c>
      <c r="AP70" s="184">
        <f t="shared" si="44"/>
        <v>0</v>
      </c>
      <c r="AQ70" s="178">
        <f t="shared" si="44"/>
        <v>10995.840000000002</v>
      </c>
      <c r="AR70" s="178">
        <f t="shared" si="44"/>
        <v>0</v>
      </c>
      <c r="AS70" s="179">
        <f t="shared" si="44"/>
        <v>7373.7300000000005</v>
      </c>
      <c r="AT70" s="178">
        <f t="shared" si="44"/>
        <v>0</v>
      </c>
      <c r="AU70" s="178">
        <f t="shared" si="44"/>
        <v>0</v>
      </c>
      <c r="AV70" s="178">
        <f t="shared" si="44"/>
        <v>0</v>
      </c>
      <c r="AW70" s="179">
        <f t="shared" si="44"/>
        <v>0</v>
      </c>
      <c r="AX70" s="178">
        <f t="shared" si="41"/>
        <v>0</v>
      </c>
      <c r="AY70" s="178">
        <f t="shared" si="41"/>
        <v>0</v>
      </c>
      <c r="AZ70" s="179">
        <f t="shared" si="41"/>
        <v>0</v>
      </c>
      <c r="BA70" s="184">
        <f t="shared" si="40"/>
        <v>10858.049784000001</v>
      </c>
      <c r="BB70" s="178">
        <f t="shared" si="40"/>
        <v>6765.1136699999997</v>
      </c>
      <c r="BC70" s="184">
        <f t="shared" si="40"/>
        <v>0</v>
      </c>
      <c r="BD70" s="178">
        <f t="shared" si="40"/>
        <v>0</v>
      </c>
      <c r="BE70" s="251">
        <f t="shared" si="3"/>
        <v>138</v>
      </c>
      <c r="BF70" s="252">
        <f t="shared" si="39"/>
        <v>550300</v>
      </c>
      <c r="BH70" s="262">
        <f t="shared" ref="BH70:BH90" si="45">SUM(AO70)</f>
        <v>2070.0004829999998</v>
      </c>
      <c r="BI70" s="262">
        <f t="shared" ref="BI70:BI90" si="46">SUM(AP70:AS70)</f>
        <v>18369.570000000003</v>
      </c>
      <c r="BJ70" s="262">
        <f t="shared" ref="BJ70:BJ90" si="47">SUM(AT70:AW70)</f>
        <v>0</v>
      </c>
      <c r="BK70" s="263">
        <f t="shared" ref="BK70:BK90" si="48">SUM(AX70:BB70)</f>
        <v>17623.163454000001</v>
      </c>
      <c r="BL70" s="269">
        <f t="shared" ref="BL70:BL90" si="49">SUM(BC70:BD70)</f>
        <v>0</v>
      </c>
      <c r="BM70" s="264">
        <f t="shared" si="5"/>
        <v>38062.733937000005</v>
      </c>
      <c r="BO70" s="732">
        <f t="shared" si="6"/>
        <v>69.167243207341457</v>
      </c>
      <c r="BT70" s="137"/>
    </row>
    <row r="71" spans="2:72" ht="15" customHeight="1" x14ac:dyDescent="0.25">
      <c r="B71" s="156">
        <f t="shared" si="26"/>
        <v>2</v>
      </c>
      <c r="C71" s="180" t="s">
        <v>607</v>
      </c>
      <c r="D71" s="181" t="s">
        <v>608</v>
      </c>
      <c r="E71" s="210" t="s">
        <v>105</v>
      </c>
      <c r="G71" s="488">
        <f>SUM('DUoS (t)'!G71,'TUoS (t)'!G71,'JSO (t)'!G71)</f>
        <v>41.0959</v>
      </c>
      <c r="H71" s="490">
        <f>SUM('DUoS (t)'!H71,'TUoS (t)'!H71,'JSO (t)'!H71)</f>
        <v>0</v>
      </c>
      <c r="I71" s="494">
        <f>SUM('DUoS (t)'!I71,'TUoS (t)'!I71,'JSO (t)'!I71)</f>
        <v>4.1400000000000006E-2</v>
      </c>
      <c r="J71" s="471">
        <f>SUM('DUoS (t)'!J71,'TUoS (t)'!J71,'JSO (t)'!J71)</f>
        <v>0</v>
      </c>
      <c r="K71" s="495">
        <f>SUM('DUoS (t)'!K71,'TUoS (t)'!K71,'JSO (t)'!K71)</f>
        <v>2.5900000000000003E-2</v>
      </c>
      <c r="L71" s="471">
        <f>SUM('DUoS (t)'!L71,'TUoS (t)'!L71,'JSO (t)'!L71)</f>
        <v>0</v>
      </c>
      <c r="M71" s="471">
        <f>SUM('DUoS (t)'!M71,'TUoS (t)'!M71,'JSO (t)'!M71)</f>
        <v>0</v>
      </c>
      <c r="N71" s="471">
        <f>SUM('DUoS (t)'!N71,'TUoS (t)'!N71,'JSO (t)'!N71)</f>
        <v>0</v>
      </c>
      <c r="O71" s="472">
        <f>SUM('DUoS (t)'!O71,'TUoS (t)'!O71,'JSO (t)'!O71)</f>
        <v>0</v>
      </c>
      <c r="P71" s="494">
        <f>SUM('DUoS (t)'!P71,'TUoS (t)'!P71,'JSO (t)'!P71)</f>
        <v>0.77879999999999994</v>
      </c>
      <c r="Q71" s="471">
        <f>SUM('DUoS (t)'!Q71,'TUoS (t)'!Q71,'JSO (t)'!Q71)</f>
        <v>0</v>
      </c>
      <c r="R71" s="472">
        <f>SUM('DUoS (t)'!R71,'TUoS (t)'!R71,'JSO (t)'!R71)</f>
        <v>0</v>
      </c>
      <c r="S71" s="490">
        <f>SUM('DUoS (t)'!S71,'TUoS (t)'!S71,'JSO (t)'!S71)</f>
        <v>0</v>
      </c>
      <c r="T71" s="494">
        <f>SUM('DUoS (t)'!T71,'TUoS (t)'!T71,'JSO (t)'!T71)</f>
        <v>0.1036</v>
      </c>
      <c r="U71" s="491">
        <f>SUM('DUoS (t)'!U71,'TUoS (t)'!U71,'JSO (t)'!U71)</f>
        <v>0</v>
      </c>
      <c r="V71" s="492">
        <f>SUM('DUoS (t)'!V71,'TUoS (t)'!V71,'JSO (t)'!V71)</f>
        <v>0</v>
      </c>
      <c r="X71" s="183">
        <f>'Q (t)'!G71</f>
        <v>2190</v>
      </c>
      <c r="Y71" s="184">
        <f>'Q (t)'!H71</f>
        <v>0</v>
      </c>
      <c r="Z71" s="178">
        <f>'Q (t)'!I71</f>
        <v>7600</v>
      </c>
      <c r="AA71" s="178">
        <f>'Q (t)'!J71</f>
        <v>0</v>
      </c>
      <c r="AB71" s="179">
        <f>'Q (t)'!K71</f>
        <v>10800</v>
      </c>
      <c r="AC71" s="178">
        <f>'Q (t)'!L71</f>
        <v>0</v>
      </c>
      <c r="AD71" s="178">
        <f>'Q (t)'!M71</f>
        <v>0</v>
      </c>
      <c r="AE71" s="178">
        <f>'Q (t)'!N71</f>
        <v>0</v>
      </c>
      <c r="AF71" s="179">
        <f>'Q (t)'!O71</f>
        <v>0</v>
      </c>
      <c r="AG71" s="178">
        <f>'Q (t)'!P71</f>
        <v>546922</v>
      </c>
      <c r="AH71" s="178">
        <f>'Q (t)'!Q71</f>
        <v>0</v>
      </c>
      <c r="AI71" s="179">
        <f>'Q (t)'!R71</f>
        <v>0</v>
      </c>
      <c r="AJ71" s="184">
        <f>'Q (t)'!S71</f>
        <v>0</v>
      </c>
      <c r="AK71" s="178">
        <f>'Q (t)'!T71</f>
        <v>3293760</v>
      </c>
      <c r="AL71" s="184">
        <f>'Q (t)'!U71</f>
        <v>0</v>
      </c>
      <c r="AM71" s="179">
        <f>'Q (t)'!V71</f>
        <v>0</v>
      </c>
      <c r="AO71" s="183">
        <f t="shared" si="2"/>
        <v>90.000021000000004</v>
      </c>
      <c r="AP71" s="184">
        <f t="shared" si="44"/>
        <v>0</v>
      </c>
      <c r="AQ71" s="178">
        <f t="shared" si="44"/>
        <v>314.64000000000004</v>
      </c>
      <c r="AR71" s="178">
        <f t="shared" si="44"/>
        <v>0</v>
      </c>
      <c r="AS71" s="179">
        <f t="shared" si="44"/>
        <v>279.72000000000003</v>
      </c>
      <c r="AT71" s="178">
        <f t="shared" si="44"/>
        <v>0</v>
      </c>
      <c r="AU71" s="178">
        <f t="shared" si="44"/>
        <v>0</v>
      </c>
      <c r="AV71" s="178">
        <f t="shared" si="44"/>
        <v>0</v>
      </c>
      <c r="AW71" s="179">
        <f t="shared" si="44"/>
        <v>0</v>
      </c>
      <c r="AX71" s="178">
        <f t="shared" si="41"/>
        <v>425.94285359999998</v>
      </c>
      <c r="AY71" s="178">
        <f t="shared" si="41"/>
        <v>0</v>
      </c>
      <c r="AZ71" s="179">
        <f t="shared" si="41"/>
        <v>0</v>
      </c>
      <c r="BA71" s="184">
        <f t="shared" si="40"/>
        <v>0</v>
      </c>
      <c r="BB71" s="178">
        <f t="shared" si="40"/>
        <v>341.23353599999996</v>
      </c>
      <c r="BC71" s="184">
        <f t="shared" si="40"/>
        <v>0</v>
      </c>
      <c r="BD71" s="178">
        <f t="shared" si="40"/>
        <v>0</v>
      </c>
      <c r="BE71" s="251">
        <f t="shared" si="3"/>
        <v>6</v>
      </c>
      <c r="BF71" s="252">
        <f t="shared" si="39"/>
        <v>18400</v>
      </c>
      <c r="BH71" s="262">
        <f t="shared" si="45"/>
        <v>90.000021000000004</v>
      </c>
      <c r="BI71" s="262">
        <f t="shared" si="46"/>
        <v>594.36000000000013</v>
      </c>
      <c r="BJ71" s="262">
        <f t="shared" si="47"/>
        <v>0</v>
      </c>
      <c r="BK71" s="263">
        <f t="shared" si="48"/>
        <v>767.17638959999999</v>
      </c>
      <c r="BL71" s="269">
        <f t="shared" si="49"/>
        <v>0</v>
      </c>
      <c r="BM71" s="264">
        <f t="shared" si="5"/>
        <v>1451.5364106000002</v>
      </c>
      <c r="BO71" s="732">
        <f t="shared" si="6"/>
        <v>78.88784840217393</v>
      </c>
      <c r="BT71" s="137"/>
    </row>
    <row r="72" spans="2:72" ht="15" customHeight="1" x14ac:dyDescent="0.25">
      <c r="B72" s="156">
        <f t="shared" si="26"/>
        <v>3</v>
      </c>
      <c r="C72" s="180" t="s">
        <v>609</v>
      </c>
      <c r="D72" s="181" t="s">
        <v>610</v>
      </c>
      <c r="E72" s="210" t="s">
        <v>106</v>
      </c>
      <c r="G72" s="488">
        <f>SUM('DUoS (t)'!G72,'TUoS (t)'!G72,'JSO (t)'!G72)</f>
        <v>0</v>
      </c>
      <c r="H72" s="490">
        <f>SUM('DUoS (t)'!H72,'TUoS (t)'!H72,'JSO (t)'!H72)</f>
        <v>0</v>
      </c>
      <c r="I72" s="494">
        <f>SUM('DUoS (t)'!I72,'TUoS (t)'!I72,'JSO (t)'!I72)</f>
        <v>0</v>
      </c>
      <c r="J72" s="471">
        <f>SUM('DUoS (t)'!J72,'TUoS (t)'!J72,'JSO (t)'!J72)</f>
        <v>0</v>
      </c>
      <c r="K72" s="495">
        <f>SUM('DUoS (t)'!K72,'TUoS (t)'!K72,'JSO (t)'!K72)</f>
        <v>0</v>
      </c>
      <c r="L72" s="471">
        <f>SUM('DUoS (t)'!L72,'TUoS (t)'!L72,'JSO (t)'!L72)</f>
        <v>0</v>
      </c>
      <c r="M72" s="471">
        <f>SUM('DUoS (t)'!M72,'TUoS (t)'!M72,'JSO (t)'!M72)</f>
        <v>0</v>
      </c>
      <c r="N72" s="471">
        <f>SUM('DUoS (t)'!N72,'TUoS (t)'!N72,'JSO (t)'!N72)</f>
        <v>0</v>
      </c>
      <c r="O72" s="472">
        <f>SUM('DUoS (t)'!O72,'TUoS (t)'!O72,'JSO (t)'!O72)</f>
        <v>0</v>
      </c>
      <c r="P72" s="471">
        <f>SUM('DUoS (t)'!P72,'TUoS (t)'!P72,'JSO (t)'!P72)</f>
        <v>0</v>
      </c>
      <c r="Q72" s="471">
        <f>SUM('DUoS (t)'!Q72,'TUoS (t)'!Q72,'JSO (t)'!Q72)</f>
        <v>0</v>
      </c>
      <c r="R72" s="472">
        <f>SUM('DUoS (t)'!R72,'TUoS (t)'!R72,'JSO (t)'!R72)</f>
        <v>0</v>
      </c>
      <c r="S72" s="490">
        <f>SUM('DUoS (t)'!S72,'TUoS (t)'!S72,'JSO (t)'!S72)</f>
        <v>0</v>
      </c>
      <c r="T72" s="471">
        <f>SUM('DUoS (t)'!T72,'TUoS (t)'!T72,'JSO (t)'!T72)</f>
        <v>0</v>
      </c>
      <c r="U72" s="490">
        <f>SUM('DUoS (t)'!U72,'TUoS (t)'!U72,'JSO (t)'!U72)</f>
        <v>0</v>
      </c>
      <c r="V72" s="472">
        <f>SUM('DUoS (t)'!V72,'TUoS (t)'!V72,'JSO (t)'!V72)</f>
        <v>0</v>
      </c>
      <c r="X72" s="183">
        <f>'Q (t)'!G72</f>
        <v>0</v>
      </c>
      <c r="Y72" s="184">
        <f>'Q (t)'!H72</f>
        <v>0</v>
      </c>
      <c r="Z72" s="178">
        <f>'Q (t)'!I72</f>
        <v>0</v>
      </c>
      <c r="AA72" s="178">
        <f>'Q (t)'!J72</f>
        <v>0</v>
      </c>
      <c r="AB72" s="179">
        <f>'Q (t)'!K72</f>
        <v>0</v>
      </c>
      <c r="AC72" s="178">
        <f>'Q (t)'!L72</f>
        <v>0</v>
      </c>
      <c r="AD72" s="178">
        <f>'Q (t)'!M72</f>
        <v>0</v>
      </c>
      <c r="AE72" s="178">
        <f>'Q (t)'!N72</f>
        <v>0</v>
      </c>
      <c r="AF72" s="179">
        <f>'Q (t)'!O72</f>
        <v>0</v>
      </c>
      <c r="AG72" s="178">
        <f>'Q (t)'!P72</f>
        <v>0</v>
      </c>
      <c r="AH72" s="178">
        <f>'Q (t)'!Q72</f>
        <v>0</v>
      </c>
      <c r="AI72" s="179">
        <f>'Q (t)'!R72</f>
        <v>0</v>
      </c>
      <c r="AJ72" s="184">
        <f>'Q (t)'!S72</f>
        <v>0</v>
      </c>
      <c r="AK72" s="178">
        <f>'Q (t)'!T72</f>
        <v>0</v>
      </c>
      <c r="AL72" s="184">
        <f>'Q (t)'!U72</f>
        <v>0</v>
      </c>
      <c r="AM72" s="179">
        <f>'Q (t)'!V72</f>
        <v>0</v>
      </c>
      <c r="AO72" s="183">
        <f t="shared" si="2"/>
        <v>0</v>
      </c>
      <c r="AP72" s="184">
        <f t="shared" si="44"/>
        <v>0</v>
      </c>
      <c r="AQ72" s="178">
        <f t="shared" si="44"/>
        <v>0</v>
      </c>
      <c r="AR72" s="178">
        <f t="shared" si="44"/>
        <v>0</v>
      </c>
      <c r="AS72" s="179">
        <f t="shared" si="44"/>
        <v>0</v>
      </c>
      <c r="AT72" s="178">
        <f t="shared" si="44"/>
        <v>0</v>
      </c>
      <c r="AU72" s="178">
        <f t="shared" si="44"/>
        <v>0</v>
      </c>
      <c r="AV72" s="178">
        <f t="shared" si="44"/>
        <v>0</v>
      </c>
      <c r="AW72" s="179">
        <f t="shared" si="44"/>
        <v>0</v>
      </c>
      <c r="AX72" s="178">
        <f t="shared" si="41"/>
        <v>0</v>
      </c>
      <c r="AY72" s="178">
        <f t="shared" si="41"/>
        <v>0</v>
      </c>
      <c r="AZ72" s="179">
        <f t="shared" si="41"/>
        <v>0</v>
      </c>
      <c r="BA72" s="184">
        <f t="shared" si="40"/>
        <v>0</v>
      </c>
      <c r="BB72" s="178">
        <f t="shared" si="40"/>
        <v>0</v>
      </c>
      <c r="BC72" s="184">
        <f t="shared" si="40"/>
        <v>0</v>
      </c>
      <c r="BD72" s="178">
        <f t="shared" si="40"/>
        <v>0</v>
      </c>
      <c r="BE72" s="251">
        <f t="shared" si="3"/>
        <v>0</v>
      </c>
      <c r="BF72" s="252">
        <f t="shared" si="39"/>
        <v>0</v>
      </c>
      <c r="BH72" s="262">
        <f t="shared" si="45"/>
        <v>0</v>
      </c>
      <c r="BI72" s="262">
        <f t="shared" si="46"/>
        <v>0</v>
      </c>
      <c r="BJ72" s="262">
        <f t="shared" si="47"/>
        <v>0</v>
      </c>
      <c r="BK72" s="263">
        <f t="shared" si="48"/>
        <v>0</v>
      </c>
      <c r="BL72" s="269">
        <f t="shared" si="49"/>
        <v>0</v>
      </c>
      <c r="BM72" s="264">
        <f t="shared" si="5"/>
        <v>0</v>
      </c>
      <c r="BO72" s="732" t="str">
        <f t="shared" si="6"/>
        <v/>
      </c>
      <c r="BT72" s="137"/>
    </row>
    <row r="73" spans="2:72" ht="15" customHeight="1" x14ac:dyDescent="0.25">
      <c r="B73" s="156">
        <f t="shared" si="26"/>
        <v>4</v>
      </c>
      <c r="C73" s="180" t="s">
        <v>107</v>
      </c>
      <c r="D73" s="181" t="s">
        <v>107</v>
      </c>
      <c r="E73" s="210" t="s">
        <v>108</v>
      </c>
      <c r="G73" s="488">
        <f>SUM('DUoS (t)'!G73,'TUoS (t)'!G73,'JSO (t)'!G73)</f>
        <v>2.7397</v>
      </c>
      <c r="H73" s="489">
        <f>SUM('DUoS (t)'!H73,'TUoS (t)'!H73,'JSO (t)'!H73)</f>
        <v>7.5400000000000009E-2</v>
      </c>
      <c r="I73" s="471">
        <f>SUM('DUoS (t)'!I73,'TUoS (t)'!I73,'JSO (t)'!I73)</f>
        <v>0</v>
      </c>
      <c r="J73" s="471">
        <f>SUM('DUoS (t)'!J73,'TUoS (t)'!J73,'JSO (t)'!J73)</f>
        <v>0</v>
      </c>
      <c r="K73" s="472">
        <f>SUM('DUoS (t)'!K73,'TUoS (t)'!K73,'JSO (t)'!K73)</f>
        <v>0</v>
      </c>
      <c r="L73" s="471">
        <f>SUM('DUoS (t)'!L73,'TUoS (t)'!L73,'JSO (t)'!L73)</f>
        <v>0</v>
      </c>
      <c r="M73" s="471">
        <f>SUM('DUoS (t)'!M73,'TUoS (t)'!M73,'JSO (t)'!M73)</f>
        <v>0</v>
      </c>
      <c r="N73" s="471">
        <f>SUM('DUoS (t)'!N73,'TUoS (t)'!N73,'JSO (t)'!N73)</f>
        <v>0</v>
      </c>
      <c r="O73" s="472">
        <f>SUM('DUoS (t)'!O73,'TUoS (t)'!O73,'JSO (t)'!O73)</f>
        <v>0</v>
      </c>
      <c r="P73" s="471">
        <f>SUM('DUoS (t)'!P73,'TUoS (t)'!P73,'JSO (t)'!P73)</f>
        <v>0</v>
      </c>
      <c r="Q73" s="494">
        <f>SUM('DUoS (t)'!Q73,'TUoS (t)'!Q73,'JSO (t)'!Q73)</f>
        <v>0.3962</v>
      </c>
      <c r="R73" s="495">
        <f>SUM('DUoS (t)'!R73,'TUoS (t)'!R73,'JSO (t)'!R73)</f>
        <v>0.19600000000000001</v>
      </c>
      <c r="S73" s="490">
        <f>SUM('DUoS (t)'!S73,'TUoS (t)'!S73,'JSO (t)'!S73)</f>
        <v>0</v>
      </c>
      <c r="T73" s="471">
        <f>SUM('DUoS (t)'!T73,'TUoS (t)'!T73,'JSO (t)'!T73)</f>
        <v>0</v>
      </c>
      <c r="U73" s="490">
        <f>SUM('DUoS (t)'!U73,'TUoS (t)'!U73,'JSO (t)'!U73)</f>
        <v>0</v>
      </c>
      <c r="V73" s="472">
        <f>SUM('DUoS (t)'!V73,'TUoS (t)'!V73,'JSO (t)'!V73)</f>
        <v>0</v>
      </c>
      <c r="X73" s="183">
        <f>'Q (t)'!G73</f>
        <v>4745</v>
      </c>
      <c r="Y73" s="184">
        <f>'Q (t)'!H73</f>
        <v>12500</v>
      </c>
      <c r="Z73" s="178">
        <f>'Q (t)'!I73</f>
        <v>0</v>
      </c>
      <c r="AA73" s="178">
        <f>'Q (t)'!J73</f>
        <v>0</v>
      </c>
      <c r="AB73" s="179">
        <f>'Q (t)'!K73</f>
        <v>0</v>
      </c>
      <c r="AC73" s="178">
        <f>'Q (t)'!L73</f>
        <v>0</v>
      </c>
      <c r="AD73" s="178">
        <f>'Q (t)'!M73</f>
        <v>0</v>
      </c>
      <c r="AE73" s="178">
        <f>'Q (t)'!N73</f>
        <v>0</v>
      </c>
      <c r="AF73" s="179">
        <f>'Q (t)'!O73</f>
        <v>0</v>
      </c>
      <c r="AG73" s="178">
        <f>'Q (t)'!P73</f>
        <v>0</v>
      </c>
      <c r="AH73" s="178">
        <f>'Q (t)'!Q73</f>
        <v>449678</v>
      </c>
      <c r="AI73" s="179">
        <f>'Q (t)'!R73</f>
        <v>1623520</v>
      </c>
      <c r="AJ73" s="184">
        <f>'Q (t)'!S73</f>
        <v>0</v>
      </c>
      <c r="AK73" s="178">
        <f>'Q (t)'!T73</f>
        <v>0</v>
      </c>
      <c r="AL73" s="184">
        <f>'Q (t)'!U73</f>
        <v>0</v>
      </c>
      <c r="AM73" s="179">
        <f>'Q (t)'!V73</f>
        <v>0</v>
      </c>
      <c r="AO73" s="183">
        <f t="shared" si="2"/>
        <v>12.999876500000001</v>
      </c>
      <c r="AP73" s="184">
        <f t="shared" si="44"/>
        <v>942.50000000000011</v>
      </c>
      <c r="AQ73" s="178">
        <f t="shared" si="44"/>
        <v>0</v>
      </c>
      <c r="AR73" s="178">
        <f t="shared" si="44"/>
        <v>0</v>
      </c>
      <c r="AS73" s="179">
        <f t="shared" si="44"/>
        <v>0</v>
      </c>
      <c r="AT73" s="178">
        <f t="shared" si="44"/>
        <v>0</v>
      </c>
      <c r="AU73" s="178">
        <f t="shared" si="44"/>
        <v>0</v>
      </c>
      <c r="AV73" s="178">
        <f t="shared" si="44"/>
        <v>0</v>
      </c>
      <c r="AW73" s="179">
        <f t="shared" si="44"/>
        <v>0</v>
      </c>
      <c r="AX73" s="178">
        <f t="shared" si="41"/>
        <v>0</v>
      </c>
      <c r="AY73" s="178">
        <f t="shared" si="41"/>
        <v>178.16242360000001</v>
      </c>
      <c r="AZ73" s="179">
        <f t="shared" si="41"/>
        <v>318.20992000000001</v>
      </c>
      <c r="BA73" s="184">
        <f t="shared" si="40"/>
        <v>0</v>
      </c>
      <c r="BB73" s="178">
        <f t="shared" si="40"/>
        <v>0</v>
      </c>
      <c r="BC73" s="184">
        <f t="shared" si="40"/>
        <v>0</v>
      </c>
      <c r="BD73" s="178">
        <f t="shared" si="40"/>
        <v>0</v>
      </c>
      <c r="BE73" s="251">
        <f t="shared" si="3"/>
        <v>13</v>
      </c>
      <c r="BF73" s="252">
        <f t="shared" si="39"/>
        <v>12500</v>
      </c>
      <c r="BH73" s="262">
        <f t="shared" si="45"/>
        <v>12.999876500000001</v>
      </c>
      <c r="BI73" s="262">
        <f t="shared" si="46"/>
        <v>942.50000000000011</v>
      </c>
      <c r="BJ73" s="262">
        <f t="shared" si="47"/>
        <v>0</v>
      </c>
      <c r="BK73" s="263">
        <f t="shared" si="48"/>
        <v>496.37234360000002</v>
      </c>
      <c r="BL73" s="269">
        <f t="shared" si="49"/>
        <v>0</v>
      </c>
      <c r="BM73" s="264">
        <f t="shared" si="5"/>
        <v>1451.8722201</v>
      </c>
      <c r="BO73" s="732">
        <f t="shared" si="6"/>
        <v>116.14977760800001</v>
      </c>
      <c r="BT73" s="137"/>
    </row>
    <row r="74" spans="2:72" ht="15" customHeight="1" x14ac:dyDescent="0.25">
      <c r="B74" s="156">
        <f t="shared" si="26"/>
        <v>5</v>
      </c>
      <c r="C74" s="180" t="s">
        <v>611</v>
      </c>
      <c r="D74" s="181" t="s">
        <v>612</v>
      </c>
      <c r="E74" s="210" t="s">
        <v>109</v>
      </c>
      <c r="G74" s="488">
        <f>SUM('DUoS (t)'!G74,'TUoS (t)'!G74,'JSO (t)'!G74)</f>
        <v>6.8493000000000004</v>
      </c>
      <c r="H74" s="490">
        <f>SUM('DUoS (t)'!H74,'TUoS (t)'!H74,'JSO (t)'!H74)</f>
        <v>0</v>
      </c>
      <c r="I74" s="494">
        <f>SUM('DUoS (t)'!I74,'TUoS (t)'!I74,'JSO (t)'!I74)</f>
        <v>6.4100000000000004E-2</v>
      </c>
      <c r="J74" s="471">
        <f>SUM('DUoS (t)'!J74,'TUoS (t)'!J74,'JSO (t)'!J74)</f>
        <v>0</v>
      </c>
      <c r="K74" s="495">
        <f>SUM('DUoS (t)'!K74,'TUoS (t)'!K74,'JSO (t)'!K74)</f>
        <v>4.0099999999999997E-2</v>
      </c>
      <c r="L74" s="471">
        <f>SUM('DUoS (t)'!L74,'TUoS (t)'!L74,'JSO (t)'!L74)</f>
        <v>0</v>
      </c>
      <c r="M74" s="471">
        <f>SUM('DUoS (t)'!M74,'TUoS (t)'!M74,'JSO (t)'!M74)</f>
        <v>0</v>
      </c>
      <c r="N74" s="471">
        <f>SUM('DUoS (t)'!N74,'TUoS (t)'!N74,'JSO (t)'!N74)</f>
        <v>0</v>
      </c>
      <c r="O74" s="472">
        <f>SUM('DUoS (t)'!O74,'TUoS (t)'!O74,'JSO (t)'!O74)</f>
        <v>0</v>
      </c>
      <c r="P74" s="843">
        <f>SUM('DUoS (t)'!P74,'TUoS (t)'!P74,'JSO (t)'!P74)</f>
        <v>0</v>
      </c>
      <c r="Q74" s="471">
        <f>SUM('DUoS (t)'!Q74,'TUoS (t)'!Q74,'JSO (t)'!Q74)</f>
        <v>0</v>
      </c>
      <c r="R74" s="472">
        <f>SUM('DUoS (t)'!R74,'TUoS (t)'!R74,'JSO (t)'!R74)</f>
        <v>0</v>
      </c>
      <c r="S74" s="489">
        <f>SUM('DUoS (t)'!S74,'TUoS (t)'!S74,'JSO (t)'!S74)</f>
        <v>0.25329999999999997</v>
      </c>
      <c r="T74" s="494">
        <f>SUM('DUoS (t)'!T74,'TUoS (t)'!T74,'JSO (t)'!T74)</f>
        <v>0.1036</v>
      </c>
      <c r="U74" s="490">
        <f>SUM('DUoS (t)'!U74,'TUoS (t)'!U74,'JSO (t)'!U74)</f>
        <v>0</v>
      </c>
      <c r="V74" s="472">
        <f>SUM('DUoS (t)'!V74,'TUoS (t)'!V74,'JSO (t)'!V74)</f>
        <v>0</v>
      </c>
      <c r="X74" s="183">
        <f>'Q (t)'!G74</f>
        <v>9125</v>
      </c>
      <c r="Y74" s="184">
        <f>'Q (t)'!H74</f>
        <v>0</v>
      </c>
      <c r="Z74" s="178">
        <f>'Q (t)'!I74</f>
        <v>3700</v>
      </c>
      <c r="AA74" s="178">
        <f>'Q (t)'!J74</f>
        <v>0</v>
      </c>
      <c r="AB74" s="179">
        <f>'Q (t)'!K74</f>
        <v>3700</v>
      </c>
      <c r="AC74" s="178">
        <f>'Q (t)'!L74</f>
        <v>0</v>
      </c>
      <c r="AD74" s="178">
        <f>'Q (t)'!M74</f>
        <v>0</v>
      </c>
      <c r="AE74" s="178">
        <f>'Q (t)'!N74</f>
        <v>0</v>
      </c>
      <c r="AF74" s="179">
        <f>'Q (t)'!O74</f>
        <v>0</v>
      </c>
      <c r="AG74" s="178">
        <f>'Q (t)'!P74</f>
        <v>0</v>
      </c>
      <c r="AH74" s="178">
        <f>'Q (t)'!Q74</f>
        <v>0</v>
      </c>
      <c r="AI74" s="179">
        <f>'Q (t)'!R74</f>
        <v>0</v>
      </c>
      <c r="AJ74" s="184">
        <f>'Q (t)'!S74</f>
        <v>662840</v>
      </c>
      <c r="AK74" s="178">
        <f>'Q (t)'!T74</f>
        <v>1369115</v>
      </c>
      <c r="AL74" s="184">
        <f>'Q (t)'!U74</f>
        <v>0</v>
      </c>
      <c r="AM74" s="179">
        <f>'Q (t)'!V74</f>
        <v>0</v>
      </c>
      <c r="AO74" s="183">
        <f t="shared" si="2"/>
        <v>62.499862500000006</v>
      </c>
      <c r="AP74" s="184">
        <f t="shared" si="44"/>
        <v>0</v>
      </c>
      <c r="AQ74" s="178">
        <f t="shared" si="44"/>
        <v>237.17000000000002</v>
      </c>
      <c r="AR74" s="178">
        <f t="shared" si="44"/>
        <v>0</v>
      </c>
      <c r="AS74" s="179">
        <f t="shared" si="44"/>
        <v>148.36999999999998</v>
      </c>
      <c r="AT74" s="178">
        <f t="shared" si="44"/>
        <v>0</v>
      </c>
      <c r="AU74" s="178">
        <f t="shared" si="44"/>
        <v>0</v>
      </c>
      <c r="AV74" s="178">
        <f t="shared" si="44"/>
        <v>0</v>
      </c>
      <c r="AW74" s="179">
        <f t="shared" si="44"/>
        <v>0</v>
      </c>
      <c r="AX74" s="178">
        <f t="shared" si="41"/>
        <v>0</v>
      </c>
      <c r="AY74" s="178">
        <f t="shared" si="41"/>
        <v>0</v>
      </c>
      <c r="AZ74" s="179">
        <f t="shared" si="41"/>
        <v>0</v>
      </c>
      <c r="BA74" s="184">
        <f t="shared" si="40"/>
        <v>167.89737199999996</v>
      </c>
      <c r="BB74" s="178">
        <f t="shared" si="40"/>
        <v>141.84031399999998</v>
      </c>
      <c r="BC74" s="184">
        <f t="shared" si="40"/>
        <v>0</v>
      </c>
      <c r="BD74" s="178">
        <f t="shared" si="40"/>
        <v>0</v>
      </c>
      <c r="BE74" s="251">
        <f t="shared" si="3"/>
        <v>25</v>
      </c>
      <c r="BF74" s="252">
        <f t="shared" si="39"/>
        <v>7400</v>
      </c>
      <c r="BH74" s="262">
        <f t="shared" si="45"/>
        <v>62.499862500000006</v>
      </c>
      <c r="BI74" s="262">
        <f t="shared" si="46"/>
        <v>385.53999999999996</v>
      </c>
      <c r="BJ74" s="262">
        <f t="shared" si="47"/>
        <v>0</v>
      </c>
      <c r="BK74" s="263">
        <f t="shared" si="48"/>
        <v>309.73768599999994</v>
      </c>
      <c r="BL74" s="269">
        <f t="shared" si="49"/>
        <v>0</v>
      </c>
      <c r="BM74" s="264">
        <f t="shared" si="5"/>
        <v>757.77754849999997</v>
      </c>
      <c r="BO74" s="732">
        <f t="shared" si="6"/>
        <v>102.4023714189189</v>
      </c>
      <c r="BT74" s="137"/>
    </row>
    <row r="75" spans="2:72" ht="15" customHeight="1" x14ac:dyDescent="0.25">
      <c r="B75" s="156">
        <f t="shared" si="26"/>
        <v>6</v>
      </c>
      <c r="C75" s="180" t="s">
        <v>613</v>
      </c>
      <c r="D75" s="181" t="s">
        <v>614</v>
      </c>
      <c r="E75" s="210" t="s">
        <v>110</v>
      </c>
      <c r="G75" s="488">
        <f>SUM('DUoS (t)'!G75,'TUoS (t)'!G75,'JSO (t)'!G75)</f>
        <v>0</v>
      </c>
      <c r="H75" s="490">
        <f>SUM('DUoS (t)'!H75,'TUoS (t)'!H75,'JSO (t)'!H75)</f>
        <v>0</v>
      </c>
      <c r="I75" s="494">
        <f>SUM('DUoS (t)'!I75,'TUoS (t)'!I75,'JSO (t)'!I75)</f>
        <v>0</v>
      </c>
      <c r="J75" s="471">
        <f>SUM('DUoS (t)'!J75,'TUoS (t)'!J75,'JSO (t)'!J75)</f>
        <v>0</v>
      </c>
      <c r="K75" s="495">
        <f>SUM('DUoS (t)'!K75,'TUoS (t)'!K75,'JSO (t)'!K75)</f>
        <v>0</v>
      </c>
      <c r="L75" s="471">
        <f>SUM('DUoS (t)'!L75,'TUoS (t)'!L75,'JSO (t)'!L75)</f>
        <v>0</v>
      </c>
      <c r="M75" s="471">
        <f>SUM('DUoS (t)'!M75,'TUoS (t)'!M75,'JSO (t)'!M75)</f>
        <v>0</v>
      </c>
      <c r="N75" s="471">
        <f>SUM('DUoS (t)'!N75,'TUoS (t)'!N75,'JSO (t)'!N75)</f>
        <v>0</v>
      </c>
      <c r="O75" s="472">
        <f>SUM('DUoS (t)'!O75,'TUoS (t)'!O75,'JSO (t)'!O75)</f>
        <v>0</v>
      </c>
      <c r="P75" s="471">
        <f>SUM('DUoS (t)'!P75,'TUoS (t)'!P75,'JSO (t)'!P75)</f>
        <v>0</v>
      </c>
      <c r="Q75" s="471">
        <f>SUM('DUoS (t)'!Q75,'TUoS (t)'!Q75,'JSO (t)'!Q75)</f>
        <v>0</v>
      </c>
      <c r="R75" s="472">
        <f>SUM('DUoS (t)'!R75,'TUoS (t)'!R75,'JSO (t)'!R75)</f>
        <v>0</v>
      </c>
      <c r="S75" s="489">
        <f>SUM('DUoS (t)'!S75,'TUoS (t)'!S75,'JSO (t)'!S75)</f>
        <v>0.21479999999999999</v>
      </c>
      <c r="T75" s="494">
        <f>SUM('DUoS (t)'!T75,'TUoS (t)'!T75,'JSO (t)'!T75)</f>
        <v>0.1036</v>
      </c>
      <c r="U75" s="490">
        <f>SUM('DUoS (t)'!U75,'TUoS (t)'!U75,'JSO (t)'!U75)</f>
        <v>0</v>
      </c>
      <c r="V75" s="472">
        <f>SUM('DUoS (t)'!V75,'TUoS (t)'!V75,'JSO (t)'!V75)</f>
        <v>0</v>
      </c>
      <c r="X75" s="183">
        <f>'Q (t)'!G75</f>
        <v>0</v>
      </c>
      <c r="Y75" s="184">
        <f>'Q (t)'!H75</f>
        <v>0</v>
      </c>
      <c r="Z75" s="178">
        <f>'Q (t)'!I75</f>
        <v>0</v>
      </c>
      <c r="AA75" s="178">
        <f>'Q (t)'!J75</f>
        <v>0</v>
      </c>
      <c r="AB75" s="179">
        <f>'Q (t)'!K75</f>
        <v>0</v>
      </c>
      <c r="AC75" s="178">
        <f>'Q (t)'!L75</f>
        <v>0</v>
      </c>
      <c r="AD75" s="178">
        <f>'Q (t)'!M75</f>
        <v>0</v>
      </c>
      <c r="AE75" s="178">
        <f>'Q (t)'!N75</f>
        <v>0</v>
      </c>
      <c r="AF75" s="179">
        <f>'Q (t)'!O75</f>
        <v>0</v>
      </c>
      <c r="AG75" s="178">
        <f>'Q (t)'!P75</f>
        <v>0</v>
      </c>
      <c r="AH75" s="178">
        <f>'Q (t)'!Q75</f>
        <v>0</v>
      </c>
      <c r="AI75" s="179">
        <f>'Q (t)'!R75</f>
        <v>0</v>
      </c>
      <c r="AJ75" s="184">
        <f>'Q (t)'!S75</f>
        <v>0</v>
      </c>
      <c r="AK75" s="178">
        <f>'Q (t)'!T75</f>
        <v>0</v>
      </c>
      <c r="AL75" s="184">
        <f>'Q (t)'!U75</f>
        <v>0</v>
      </c>
      <c r="AM75" s="179">
        <f>'Q (t)'!V75</f>
        <v>0</v>
      </c>
      <c r="AO75" s="183">
        <f t="shared" si="2"/>
        <v>0</v>
      </c>
      <c r="AP75" s="184">
        <f t="shared" si="44"/>
        <v>0</v>
      </c>
      <c r="AQ75" s="178">
        <f t="shared" si="44"/>
        <v>0</v>
      </c>
      <c r="AR75" s="178">
        <f t="shared" si="44"/>
        <v>0</v>
      </c>
      <c r="AS75" s="179">
        <f t="shared" si="44"/>
        <v>0</v>
      </c>
      <c r="AT75" s="178">
        <f t="shared" si="44"/>
        <v>0</v>
      </c>
      <c r="AU75" s="178">
        <f t="shared" si="44"/>
        <v>0</v>
      </c>
      <c r="AV75" s="178">
        <f t="shared" si="44"/>
        <v>0</v>
      </c>
      <c r="AW75" s="179">
        <f t="shared" si="44"/>
        <v>0</v>
      </c>
      <c r="AX75" s="178">
        <f t="shared" si="41"/>
        <v>0</v>
      </c>
      <c r="AY75" s="178">
        <f t="shared" si="41"/>
        <v>0</v>
      </c>
      <c r="AZ75" s="179">
        <f t="shared" si="41"/>
        <v>0</v>
      </c>
      <c r="BA75" s="184">
        <f t="shared" si="40"/>
        <v>0</v>
      </c>
      <c r="BB75" s="178">
        <f t="shared" si="40"/>
        <v>0</v>
      </c>
      <c r="BC75" s="184">
        <f t="shared" si="40"/>
        <v>0</v>
      </c>
      <c r="BD75" s="178">
        <f t="shared" si="40"/>
        <v>0</v>
      </c>
      <c r="BE75" s="251">
        <f t="shared" si="3"/>
        <v>0</v>
      </c>
      <c r="BF75" s="252">
        <f t="shared" si="39"/>
        <v>0</v>
      </c>
      <c r="BH75" s="262">
        <f t="shared" si="45"/>
        <v>0</v>
      </c>
      <c r="BI75" s="262">
        <f t="shared" si="46"/>
        <v>0</v>
      </c>
      <c r="BJ75" s="262">
        <f t="shared" si="47"/>
        <v>0</v>
      </c>
      <c r="BK75" s="263">
        <f t="shared" si="48"/>
        <v>0</v>
      </c>
      <c r="BL75" s="269">
        <f t="shared" si="49"/>
        <v>0</v>
      </c>
      <c r="BM75" s="264">
        <f t="shared" si="5"/>
        <v>0</v>
      </c>
      <c r="BO75" s="732" t="str">
        <f t="shared" si="6"/>
        <v/>
      </c>
      <c r="BT75" s="137"/>
    </row>
    <row r="76" spans="2:72" ht="15" customHeight="1" x14ac:dyDescent="0.25">
      <c r="B76" s="156">
        <f t="shared" si="26"/>
        <v>7</v>
      </c>
      <c r="C76" s="211"/>
      <c r="D76" s="212"/>
      <c r="E76" s="217" t="s">
        <v>111</v>
      </c>
      <c r="G76" s="493">
        <f>SUM('DUoS (t)'!G76,'TUoS (t)'!G76,'JSO (t)'!G76)</f>
        <v>0</v>
      </c>
      <c r="H76" s="490">
        <f>SUM('DUoS (t)'!H76,'TUoS (t)'!H76,'JSO (t)'!H76)</f>
        <v>0</v>
      </c>
      <c r="I76" s="471">
        <f>SUM('DUoS (t)'!I76,'TUoS (t)'!I76,'JSO (t)'!I76)</f>
        <v>0</v>
      </c>
      <c r="J76" s="471">
        <f>SUM('DUoS (t)'!J76,'TUoS (t)'!J76,'JSO (t)'!J76)</f>
        <v>0</v>
      </c>
      <c r="K76" s="472">
        <f>SUM('DUoS (t)'!K76,'TUoS (t)'!K76,'JSO (t)'!K76)</f>
        <v>0</v>
      </c>
      <c r="L76" s="471">
        <f>SUM('DUoS (t)'!L76,'TUoS (t)'!L76,'JSO (t)'!L76)</f>
        <v>0</v>
      </c>
      <c r="M76" s="471">
        <f>SUM('DUoS (t)'!M76,'TUoS (t)'!M76,'JSO (t)'!M76)</f>
        <v>0</v>
      </c>
      <c r="N76" s="471">
        <f>SUM('DUoS (t)'!N76,'TUoS (t)'!N76,'JSO (t)'!N76)</f>
        <v>0</v>
      </c>
      <c r="O76" s="472">
        <f>SUM('DUoS (t)'!O76,'TUoS (t)'!O76,'JSO (t)'!O76)</f>
        <v>0</v>
      </c>
      <c r="P76" s="471">
        <f>SUM('DUoS (t)'!P76,'TUoS (t)'!P76,'JSO (t)'!P76)</f>
        <v>0</v>
      </c>
      <c r="Q76" s="471">
        <f>SUM('DUoS (t)'!Q76,'TUoS (t)'!Q76,'JSO (t)'!Q76)</f>
        <v>0</v>
      </c>
      <c r="R76" s="472">
        <f>SUM('DUoS (t)'!R76,'TUoS (t)'!R76,'JSO (t)'!R76)</f>
        <v>0</v>
      </c>
      <c r="S76" s="490">
        <f>SUM('DUoS (t)'!S76,'TUoS (t)'!S76,'JSO (t)'!S76)</f>
        <v>0</v>
      </c>
      <c r="T76" s="471">
        <f>SUM('DUoS (t)'!T76,'TUoS (t)'!T76,'JSO (t)'!T76)</f>
        <v>0</v>
      </c>
      <c r="U76" s="490">
        <f>SUM('DUoS (t)'!U76,'TUoS (t)'!U76,'JSO (t)'!U76)</f>
        <v>0</v>
      </c>
      <c r="V76" s="472">
        <f>SUM('DUoS (t)'!V76,'TUoS (t)'!V76,'JSO (t)'!V76)</f>
        <v>0</v>
      </c>
      <c r="X76" s="183">
        <f>'Q (t)'!G76</f>
        <v>0</v>
      </c>
      <c r="Y76" s="184">
        <f>'Q (t)'!H76</f>
        <v>0</v>
      </c>
      <c r="Z76" s="178">
        <f>'Q (t)'!I76</f>
        <v>0</v>
      </c>
      <c r="AA76" s="178">
        <f>'Q (t)'!J76</f>
        <v>0</v>
      </c>
      <c r="AB76" s="179">
        <f>'Q (t)'!K76</f>
        <v>0</v>
      </c>
      <c r="AC76" s="178">
        <f>'Q (t)'!L76</f>
        <v>0</v>
      </c>
      <c r="AD76" s="178">
        <f>'Q (t)'!M76</f>
        <v>0</v>
      </c>
      <c r="AE76" s="178">
        <f>'Q (t)'!N76</f>
        <v>0</v>
      </c>
      <c r="AF76" s="179">
        <f>'Q (t)'!O76</f>
        <v>0</v>
      </c>
      <c r="AG76" s="178">
        <f>'Q (t)'!P76</f>
        <v>0</v>
      </c>
      <c r="AH76" s="178">
        <f>'Q (t)'!Q76</f>
        <v>0</v>
      </c>
      <c r="AI76" s="179">
        <f>'Q (t)'!R76</f>
        <v>0</v>
      </c>
      <c r="AJ76" s="184">
        <f>'Q (t)'!S76</f>
        <v>0</v>
      </c>
      <c r="AK76" s="178">
        <f>'Q (t)'!T76</f>
        <v>0</v>
      </c>
      <c r="AL76" s="184">
        <f>'Q (t)'!U76</f>
        <v>0</v>
      </c>
      <c r="AM76" s="179">
        <f>'Q (t)'!V76</f>
        <v>0</v>
      </c>
      <c r="AO76" s="183">
        <f t="shared" si="2"/>
        <v>0</v>
      </c>
      <c r="AP76" s="184">
        <f t="shared" si="44"/>
        <v>0</v>
      </c>
      <c r="AQ76" s="178">
        <f t="shared" si="44"/>
        <v>0</v>
      </c>
      <c r="AR76" s="178">
        <f t="shared" si="44"/>
        <v>0</v>
      </c>
      <c r="AS76" s="179">
        <f t="shared" si="44"/>
        <v>0</v>
      </c>
      <c r="AT76" s="178">
        <f t="shared" si="44"/>
        <v>0</v>
      </c>
      <c r="AU76" s="178">
        <f t="shared" si="44"/>
        <v>0</v>
      </c>
      <c r="AV76" s="178">
        <f t="shared" si="44"/>
        <v>0</v>
      </c>
      <c r="AW76" s="179">
        <f t="shared" si="44"/>
        <v>0</v>
      </c>
      <c r="AX76" s="178">
        <f t="shared" si="41"/>
        <v>0</v>
      </c>
      <c r="AY76" s="178">
        <f t="shared" si="41"/>
        <v>0</v>
      </c>
      <c r="AZ76" s="179">
        <f t="shared" si="41"/>
        <v>0</v>
      </c>
      <c r="BA76" s="184">
        <f t="shared" si="40"/>
        <v>0</v>
      </c>
      <c r="BB76" s="178">
        <f t="shared" si="40"/>
        <v>0</v>
      </c>
      <c r="BC76" s="184">
        <f t="shared" si="40"/>
        <v>0</v>
      </c>
      <c r="BD76" s="178">
        <f t="shared" si="40"/>
        <v>0</v>
      </c>
      <c r="BE76" s="251">
        <f t="shared" si="3"/>
        <v>0</v>
      </c>
      <c r="BF76" s="252">
        <f t="shared" si="39"/>
        <v>0</v>
      </c>
      <c r="BH76" s="262">
        <f t="shared" si="45"/>
        <v>0</v>
      </c>
      <c r="BI76" s="262">
        <f t="shared" si="46"/>
        <v>0</v>
      </c>
      <c r="BJ76" s="262">
        <f t="shared" si="47"/>
        <v>0</v>
      </c>
      <c r="BK76" s="263">
        <f t="shared" si="48"/>
        <v>0</v>
      </c>
      <c r="BL76" s="269">
        <f t="shared" si="49"/>
        <v>0</v>
      </c>
      <c r="BM76" s="264">
        <f t="shared" si="5"/>
        <v>0</v>
      </c>
      <c r="BO76" s="732" t="str">
        <f t="shared" si="6"/>
        <v/>
      </c>
      <c r="BT76" s="137"/>
    </row>
    <row r="77" spans="2:72" ht="15" customHeight="1" x14ac:dyDescent="0.25">
      <c r="B77" s="156">
        <f t="shared" si="26"/>
        <v>8</v>
      </c>
      <c r="C77" s="180" t="s">
        <v>571</v>
      </c>
      <c r="D77" s="181"/>
      <c r="E77" s="210" t="s">
        <v>104</v>
      </c>
      <c r="G77" s="488">
        <f>SUM('DUoS (t)'!G77,'TUoS (t)'!G77,'JSO (t)'!G77)</f>
        <v>1382.1958999999999</v>
      </c>
      <c r="H77" s="490">
        <f>SUM('DUoS (t)'!H77,'TUoS (t)'!H77,'JSO (t)'!H77)</f>
        <v>0</v>
      </c>
      <c r="I77" s="494">
        <f>SUM('DUoS (t)'!I77,'TUoS (t)'!I77,'JSO (t)'!I77)</f>
        <v>2.8300000000000002E-2</v>
      </c>
      <c r="J77" s="471">
        <f>SUM('DUoS (t)'!J77,'TUoS (t)'!J77,'JSO (t)'!J77)</f>
        <v>0</v>
      </c>
      <c r="K77" s="495">
        <f>SUM('DUoS (t)'!K77,'TUoS (t)'!K77,'JSO (t)'!K77)</f>
        <v>1.77E-2</v>
      </c>
      <c r="L77" s="471">
        <f>SUM('DUoS (t)'!L77,'TUoS (t)'!L77,'JSO (t)'!L77)</f>
        <v>0</v>
      </c>
      <c r="M77" s="471">
        <f>SUM('DUoS (t)'!M77,'TUoS (t)'!M77,'JSO (t)'!M77)</f>
        <v>0</v>
      </c>
      <c r="N77" s="471">
        <f>SUM('DUoS (t)'!N77,'TUoS (t)'!N77,'JSO (t)'!N77)</f>
        <v>0</v>
      </c>
      <c r="O77" s="472">
        <f>SUM('DUoS (t)'!O77,'TUoS (t)'!O77,'JSO (t)'!O77)</f>
        <v>0</v>
      </c>
      <c r="P77" s="471">
        <f>SUM('DUoS (t)'!P77,'TUoS (t)'!P77,'JSO (t)'!P77)</f>
        <v>0</v>
      </c>
      <c r="Q77" s="471">
        <f>SUM('DUoS (t)'!Q77,'TUoS (t)'!Q77,'JSO (t)'!Q77)</f>
        <v>0</v>
      </c>
      <c r="R77" s="472">
        <f>SUM('DUoS (t)'!R77,'TUoS (t)'!R77,'JSO (t)'!R77)</f>
        <v>0</v>
      </c>
      <c r="S77" s="489">
        <f>SUM('DUoS (t)'!S77,'TUoS (t)'!S77,'JSO (t)'!S77)</f>
        <v>0.1065</v>
      </c>
      <c r="T77" s="494">
        <f>SUM('DUoS (t)'!T77,'TUoS (t)'!T77,'JSO (t)'!T77)</f>
        <v>0.1036</v>
      </c>
      <c r="U77" s="491">
        <f>SUM('DUoS (t)'!U77,'TUoS (t)'!U77,'JSO (t)'!U77)</f>
        <v>0</v>
      </c>
      <c r="V77" s="492">
        <f>SUM('DUoS (t)'!V77,'TUoS (t)'!V77,'JSO (t)'!V77)</f>
        <v>0</v>
      </c>
      <c r="X77" s="183">
        <f>'Q (t)'!G77</f>
        <v>365</v>
      </c>
      <c r="Y77" s="184">
        <f>'Q (t)'!H77</f>
        <v>0</v>
      </c>
      <c r="Z77" s="178">
        <f>'Q (t)'!I77</f>
        <v>12700</v>
      </c>
      <c r="AA77" s="178">
        <f>'Q (t)'!J77</f>
        <v>0</v>
      </c>
      <c r="AB77" s="179">
        <f>'Q (t)'!K77</f>
        <v>12500</v>
      </c>
      <c r="AC77" s="178">
        <f>'Q (t)'!L77</f>
        <v>0</v>
      </c>
      <c r="AD77" s="178">
        <f>'Q (t)'!M77</f>
        <v>0</v>
      </c>
      <c r="AE77" s="178">
        <f>'Q (t)'!N77</f>
        <v>0</v>
      </c>
      <c r="AF77" s="179">
        <f>'Q (t)'!O77</f>
        <v>0</v>
      </c>
      <c r="AG77" s="178">
        <f>'Q (t)'!P77</f>
        <v>0</v>
      </c>
      <c r="AH77" s="178">
        <f>'Q (t)'!Q77</f>
        <v>0</v>
      </c>
      <c r="AI77" s="179">
        <f>'Q (t)'!R77</f>
        <v>0</v>
      </c>
      <c r="AJ77" s="184">
        <f>'Q (t)'!S77</f>
        <v>1564390</v>
      </c>
      <c r="AK77" s="178">
        <f>'Q (t)'!T77</f>
        <v>2384180</v>
      </c>
      <c r="AL77" s="184">
        <f>'Q (t)'!U77</f>
        <v>0</v>
      </c>
      <c r="AM77" s="179">
        <f>'Q (t)'!V77</f>
        <v>0</v>
      </c>
      <c r="AO77" s="183">
        <f t="shared" si="2"/>
        <v>504.50150350000001</v>
      </c>
      <c r="AP77" s="184">
        <f t="shared" si="44"/>
        <v>0</v>
      </c>
      <c r="AQ77" s="178">
        <f t="shared" si="44"/>
        <v>359.41</v>
      </c>
      <c r="AR77" s="178">
        <f t="shared" si="44"/>
        <v>0</v>
      </c>
      <c r="AS77" s="179">
        <f t="shared" si="44"/>
        <v>221.25</v>
      </c>
      <c r="AT77" s="178">
        <f t="shared" si="44"/>
        <v>0</v>
      </c>
      <c r="AU77" s="178">
        <f t="shared" si="44"/>
        <v>0</v>
      </c>
      <c r="AV77" s="178">
        <f t="shared" si="44"/>
        <v>0</v>
      </c>
      <c r="AW77" s="179">
        <f t="shared" si="44"/>
        <v>0</v>
      </c>
      <c r="AX77" s="178">
        <f t="shared" si="41"/>
        <v>0</v>
      </c>
      <c r="AY77" s="178">
        <f t="shared" si="41"/>
        <v>0</v>
      </c>
      <c r="AZ77" s="179">
        <f t="shared" si="41"/>
        <v>0</v>
      </c>
      <c r="BA77" s="184">
        <f t="shared" si="40"/>
        <v>166.60753500000001</v>
      </c>
      <c r="BB77" s="178">
        <f t="shared" si="40"/>
        <v>247.00104799999997</v>
      </c>
      <c r="BC77" s="184">
        <f t="shared" si="40"/>
        <v>0</v>
      </c>
      <c r="BD77" s="178">
        <f t="shared" si="40"/>
        <v>0</v>
      </c>
      <c r="BE77" s="251">
        <f t="shared" si="3"/>
        <v>1</v>
      </c>
      <c r="BF77" s="252">
        <f t="shared" si="39"/>
        <v>25200</v>
      </c>
      <c r="BH77" s="262">
        <f t="shared" si="45"/>
        <v>504.50150350000001</v>
      </c>
      <c r="BI77" s="262">
        <f t="shared" si="46"/>
        <v>580.66000000000008</v>
      </c>
      <c r="BJ77" s="262">
        <f t="shared" si="47"/>
        <v>0</v>
      </c>
      <c r="BK77" s="263">
        <f t="shared" si="48"/>
        <v>413.60858299999995</v>
      </c>
      <c r="BL77" s="269">
        <f t="shared" si="49"/>
        <v>0</v>
      </c>
      <c r="BM77" s="264">
        <f t="shared" si="5"/>
        <v>1498.7700864999999</v>
      </c>
      <c r="BO77" s="732">
        <f t="shared" si="6"/>
        <v>59.47500343253968</v>
      </c>
      <c r="BT77" s="137"/>
    </row>
    <row r="78" spans="2:72" ht="15" customHeight="1" x14ac:dyDescent="0.25">
      <c r="B78" s="156">
        <f t="shared" si="26"/>
        <v>9</v>
      </c>
      <c r="C78" s="180" t="s">
        <v>572</v>
      </c>
      <c r="D78" s="181"/>
      <c r="E78" s="210" t="s">
        <v>104</v>
      </c>
      <c r="G78" s="488">
        <f>SUM('DUoS (t)'!G78,'TUoS (t)'!G78,'JSO (t)'!G78)</f>
        <v>1011.5459000000001</v>
      </c>
      <c r="H78" s="490">
        <f>SUM('DUoS (t)'!H78,'TUoS (t)'!H78,'JSO (t)'!H78)</f>
        <v>0</v>
      </c>
      <c r="I78" s="494">
        <f>SUM('DUoS (t)'!I78,'TUoS (t)'!I78,'JSO (t)'!I78)</f>
        <v>2.8300000000000002E-2</v>
      </c>
      <c r="J78" s="471">
        <f>SUM('DUoS (t)'!J78,'TUoS (t)'!J78,'JSO (t)'!J78)</f>
        <v>0</v>
      </c>
      <c r="K78" s="495">
        <f>SUM('DUoS (t)'!K78,'TUoS (t)'!K78,'JSO (t)'!K78)</f>
        <v>1.77E-2</v>
      </c>
      <c r="L78" s="471">
        <f>SUM('DUoS (t)'!L78,'TUoS (t)'!L78,'JSO (t)'!L78)</f>
        <v>0</v>
      </c>
      <c r="M78" s="471">
        <f>SUM('DUoS (t)'!M78,'TUoS (t)'!M78,'JSO (t)'!M78)</f>
        <v>0</v>
      </c>
      <c r="N78" s="471">
        <f>SUM('DUoS (t)'!N78,'TUoS (t)'!N78,'JSO (t)'!N78)</f>
        <v>0</v>
      </c>
      <c r="O78" s="472">
        <f>SUM('DUoS (t)'!O78,'TUoS (t)'!O78,'JSO (t)'!O78)</f>
        <v>0</v>
      </c>
      <c r="P78" s="471">
        <f>SUM('DUoS (t)'!P78,'TUoS (t)'!P78,'JSO (t)'!P78)</f>
        <v>0</v>
      </c>
      <c r="Q78" s="471">
        <f>SUM('DUoS (t)'!Q78,'TUoS (t)'!Q78,'JSO (t)'!Q78)</f>
        <v>0</v>
      </c>
      <c r="R78" s="472">
        <f>SUM('DUoS (t)'!R78,'TUoS (t)'!R78,'JSO (t)'!R78)</f>
        <v>0</v>
      </c>
      <c r="S78" s="489">
        <f>SUM('DUoS (t)'!S78,'TUoS (t)'!S78,'JSO (t)'!S78)</f>
        <v>0.1065</v>
      </c>
      <c r="T78" s="494">
        <f>SUM('DUoS (t)'!T78,'TUoS (t)'!T78,'JSO (t)'!T78)</f>
        <v>0.1036</v>
      </c>
      <c r="U78" s="491">
        <f>SUM('DUoS (t)'!U78,'TUoS (t)'!U78,'JSO (t)'!U78)</f>
        <v>0</v>
      </c>
      <c r="V78" s="492">
        <f>SUM('DUoS (t)'!V78,'TUoS (t)'!V78,'JSO (t)'!V78)</f>
        <v>0</v>
      </c>
      <c r="X78" s="183">
        <f>'Q (t)'!G78</f>
        <v>365</v>
      </c>
      <c r="Y78" s="184">
        <f>'Q (t)'!H78</f>
        <v>0</v>
      </c>
      <c r="Z78" s="178">
        <f>'Q (t)'!I78</f>
        <v>7300</v>
      </c>
      <c r="AA78" s="178">
        <f>'Q (t)'!J78</f>
        <v>0</v>
      </c>
      <c r="AB78" s="179">
        <f>'Q (t)'!K78</f>
        <v>5700</v>
      </c>
      <c r="AC78" s="178">
        <f>'Q (t)'!L78</f>
        <v>0</v>
      </c>
      <c r="AD78" s="178">
        <f>'Q (t)'!M78</f>
        <v>0</v>
      </c>
      <c r="AE78" s="178">
        <f>'Q (t)'!N78</f>
        <v>0</v>
      </c>
      <c r="AF78" s="179">
        <f>'Q (t)'!O78</f>
        <v>0</v>
      </c>
      <c r="AG78" s="178">
        <f>'Q (t)'!P78</f>
        <v>0</v>
      </c>
      <c r="AH78" s="178">
        <f>'Q (t)'!Q78</f>
        <v>0</v>
      </c>
      <c r="AI78" s="179">
        <f>'Q (t)'!R78</f>
        <v>0</v>
      </c>
      <c r="AJ78" s="184">
        <f>'Q (t)'!S78</f>
        <v>1600890</v>
      </c>
      <c r="AK78" s="178">
        <f>'Q (t)'!T78</f>
        <v>1700170</v>
      </c>
      <c r="AL78" s="184">
        <f>'Q (t)'!U78</f>
        <v>0</v>
      </c>
      <c r="AM78" s="179">
        <f>'Q (t)'!V78</f>
        <v>0</v>
      </c>
      <c r="AO78" s="183">
        <f t="shared" ref="AO78:AO126" si="50">G78*X78/1000</f>
        <v>369.21425350000004</v>
      </c>
      <c r="AP78" s="184">
        <f t="shared" ref="AP78:AW94" si="51">H78*Y78</f>
        <v>0</v>
      </c>
      <c r="AQ78" s="178">
        <f t="shared" si="51"/>
        <v>206.59</v>
      </c>
      <c r="AR78" s="178">
        <f t="shared" si="51"/>
        <v>0</v>
      </c>
      <c r="AS78" s="179">
        <f t="shared" si="51"/>
        <v>100.89</v>
      </c>
      <c r="AT78" s="178">
        <f t="shared" si="51"/>
        <v>0</v>
      </c>
      <c r="AU78" s="178">
        <f t="shared" si="51"/>
        <v>0</v>
      </c>
      <c r="AV78" s="178">
        <f t="shared" si="51"/>
        <v>0</v>
      </c>
      <c r="AW78" s="179">
        <f t="shared" si="51"/>
        <v>0</v>
      </c>
      <c r="AX78" s="178">
        <f t="shared" si="41"/>
        <v>0</v>
      </c>
      <c r="AY78" s="178">
        <f t="shared" si="41"/>
        <v>0</v>
      </c>
      <c r="AZ78" s="179">
        <f t="shared" si="41"/>
        <v>0</v>
      </c>
      <c r="BA78" s="184">
        <f t="shared" si="40"/>
        <v>170.49478500000001</v>
      </c>
      <c r="BB78" s="178">
        <f t="shared" si="40"/>
        <v>176.13761199999999</v>
      </c>
      <c r="BC78" s="184">
        <f t="shared" si="40"/>
        <v>0</v>
      </c>
      <c r="BD78" s="178">
        <f t="shared" si="40"/>
        <v>0</v>
      </c>
      <c r="BE78" s="251">
        <f t="shared" ref="BE78:BE126" si="52">X78/$BE$7</f>
        <v>1</v>
      </c>
      <c r="BF78" s="252">
        <f t="shared" ref="BF78:BF108" si="53">SUM(Y78:AF78)</f>
        <v>13000</v>
      </c>
      <c r="BH78" s="262">
        <f t="shared" si="45"/>
        <v>369.21425350000004</v>
      </c>
      <c r="BI78" s="262">
        <f t="shared" si="46"/>
        <v>307.48</v>
      </c>
      <c r="BJ78" s="262">
        <f t="shared" si="47"/>
        <v>0</v>
      </c>
      <c r="BK78" s="263">
        <f t="shared" si="48"/>
        <v>346.63239699999997</v>
      </c>
      <c r="BL78" s="269">
        <f t="shared" si="49"/>
        <v>0</v>
      </c>
      <c r="BM78" s="264">
        <f t="shared" ref="BM78:BM126" si="54">SUM(BH78:BL78)</f>
        <v>1023.3266505</v>
      </c>
      <c r="BO78" s="732">
        <f t="shared" ref="BO78:BO126" si="55">IF(BF78=0,"",BM78*1000/BF78)</f>
        <v>78.717434653846155</v>
      </c>
      <c r="BT78" s="137"/>
    </row>
    <row r="79" spans="2:72" ht="15" customHeight="1" x14ac:dyDescent="0.25">
      <c r="B79" s="156">
        <f t="shared" si="26"/>
        <v>10</v>
      </c>
      <c r="C79" s="180" t="s">
        <v>584</v>
      </c>
      <c r="D79" s="181"/>
      <c r="E79" s="210" t="s">
        <v>104</v>
      </c>
      <c r="G79" s="488">
        <f>SUM('DUoS (t)'!G79,'TUoS (t)'!G79,'JSO (t)'!G79)</f>
        <v>123.2877</v>
      </c>
      <c r="H79" s="490">
        <f>SUM('DUoS (t)'!H79,'TUoS (t)'!H79,'JSO (t)'!H79)</f>
        <v>0</v>
      </c>
      <c r="I79" s="494">
        <f>SUM('DUoS (t)'!I79,'TUoS (t)'!I79,'JSO (t)'!I79)</f>
        <v>4.1400000000000006E-2</v>
      </c>
      <c r="J79" s="471">
        <f>SUM('DUoS (t)'!J79,'TUoS (t)'!J79,'JSO (t)'!J79)</f>
        <v>0</v>
      </c>
      <c r="K79" s="495">
        <f>SUM('DUoS (t)'!K79,'TUoS (t)'!K79,'JSO (t)'!K79)</f>
        <v>2.5900000000000003E-2</v>
      </c>
      <c r="L79" s="471">
        <f>SUM('DUoS (t)'!L79,'TUoS (t)'!L79,'JSO (t)'!L79)</f>
        <v>0</v>
      </c>
      <c r="M79" s="471">
        <f>SUM('DUoS (t)'!M79,'TUoS (t)'!M79,'JSO (t)'!M79)</f>
        <v>0</v>
      </c>
      <c r="N79" s="471">
        <f>SUM('DUoS (t)'!N79,'TUoS (t)'!N79,'JSO (t)'!N79)</f>
        <v>0</v>
      </c>
      <c r="O79" s="472">
        <f>SUM('DUoS (t)'!O79,'TUoS (t)'!O79,'JSO (t)'!O79)</f>
        <v>0</v>
      </c>
      <c r="P79" s="471">
        <f>SUM('DUoS (t)'!P79,'TUoS (t)'!P79,'JSO (t)'!P79)</f>
        <v>0</v>
      </c>
      <c r="Q79" s="471">
        <f>SUM('DUoS (t)'!Q79,'TUoS (t)'!Q79,'JSO (t)'!Q79)</f>
        <v>0</v>
      </c>
      <c r="R79" s="472">
        <f>SUM('DUoS (t)'!R79,'TUoS (t)'!R79,'JSO (t)'!R79)</f>
        <v>0</v>
      </c>
      <c r="S79" s="489">
        <f>SUM('DUoS (t)'!S79,'TUoS (t)'!S79,'JSO (t)'!S79)</f>
        <v>0.21479999999999999</v>
      </c>
      <c r="T79" s="494">
        <f>SUM('DUoS (t)'!T79,'TUoS (t)'!T79,'JSO (t)'!T79)</f>
        <v>0.1036</v>
      </c>
      <c r="U79" s="491">
        <f>SUM('DUoS (t)'!U79,'TUoS (t)'!U79,'JSO (t)'!U79)</f>
        <v>0</v>
      </c>
      <c r="V79" s="492">
        <f>SUM('DUoS (t)'!V79,'TUoS (t)'!V79,'JSO (t)'!V79)</f>
        <v>0</v>
      </c>
      <c r="X79" s="183">
        <f>'Q (t)'!G79</f>
        <v>365</v>
      </c>
      <c r="Y79" s="184">
        <f>'Q (t)'!H79</f>
        <v>0</v>
      </c>
      <c r="Z79" s="178">
        <f>'Q (t)'!I79</f>
        <v>5000</v>
      </c>
      <c r="AA79" s="178">
        <f>'Q (t)'!J79</f>
        <v>0</v>
      </c>
      <c r="AB79" s="179">
        <f>'Q (t)'!K79</f>
        <v>16000</v>
      </c>
      <c r="AC79" s="178">
        <f>'Q (t)'!L79</f>
        <v>0</v>
      </c>
      <c r="AD79" s="178">
        <f>'Q (t)'!M79</f>
        <v>0</v>
      </c>
      <c r="AE79" s="178">
        <f>'Q (t)'!N79</f>
        <v>0</v>
      </c>
      <c r="AF79" s="179">
        <f>'Q (t)'!O79</f>
        <v>0</v>
      </c>
      <c r="AG79" s="178">
        <f>'Q (t)'!P79</f>
        <v>0</v>
      </c>
      <c r="AH79" s="178">
        <f>'Q (t)'!Q79</f>
        <v>0</v>
      </c>
      <c r="AI79" s="179">
        <f>'Q (t)'!R79</f>
        <v>0</v>
      </c>
      <c r="AJ79" s="184">
        <f>'Q (t)'!S79</f>
        <v>0</v>
      </c>
      <c r="AK79" s="178">
        <f>'Q (t)'!T79</f>
        <v>2117000</v>
      </c>
      <c r="AL79" s="184">
        <f>'Q (t)'!U79</f>
        <v>0</v>
      </c>
      <c r="AM79" s="179">
        <f>'Q (t)'!V79</f>
        <v>0</v>
      </c>
      <c r="AO79" s="183">
        <f t="shared" si="50"/>
        <v>45.000010500000002</v>
      </c>
      <c r="AP79" s="184">
        <f t="shared" si="51"/>
        <v>0</v>
      </c>
      <c r="AQ79" s="178">
        <f t="shared" si="51"/>
        <v>207.00000000000003</v>
      </c>
      <c r="AR79" s="178">
        <f t="shared" si="51"/>
        <v>0</v>
      </c>
      <c r="AS79" s="179">
        <f t="shared" si="51"/>
        <v>414.40000000000003</v>
      </c>
      <c r="AT79" s="178">
        <f t="shared" si="51"/>
        <v>0</v>
      </c>
      <c r="AU79" s="178">
        <f t="shared" si="51"/>
        <v>0</v>
      </c>
      <c r="AV79" s="178">
        <f t="shared" si="51"/>
        <v>0</v>
      </c>
      <c r="AW79" s="179">
        <f t="shared" si="51"/>
        <v>0</v>
      </c>
      <c r="AX79" s="178">
        <f t="shared" si="41"/>
        <v>0</v>
      </c>
      <c r="AY79" s="178">
        <f t="shared" si="41"/>
        <v>0</v>
      </c>
      <c r="AZ79" s="179">
        <f t="shared" si="41"/>
        <v>0</v>
      </c>
      <c r="BA79" s="184">
        <f t="shared" si="40"/>
        <v>0</v>
      </c>
      <c r="BB79" s="178">
        <f t="shared" si="40"/>
        <v>219.32119999999998</v>
      </c>
      <c r="BC79" s="184">
        <f t="shared" si="40"/>
        <v>0</v>
      </c>
      <c r="BD79" s="178">
        <f t="shared" si="40"/>
        <v>0</v>
      </c>
      <c r="BE79" s="251">
        <f t="shared" ref="BE79" si="56">X79/$BE$7</f>
        <v>1</v>
      </c>
      <c r="BF79" s="252">
        <f t="shared" si="53"/>
        <v>21000</v>
      </c>
      <c r="BH79" s="262">
        <f t="shared" si="45"/>
        <v>45.000010500000002</v>
      </c>
      <c r="BI79" s="262">
        <f t="shared" si="46"/>
        <v>621.40000000000009</v>
      </c>
      <c r="BJ79" s="262">
        <f t="shared" si="47"/>
        <v>0</v>
      </c>
      <c r="BK79" s="263">
        <f t="shared" si="48"/>
        <v>219.32119999999998</v>
      </c>
      <c r="BL79" s="269">
        <f t="shared" si="49"/>
        <v>0</v>
      </c>
      <c r="BM79" s="264">
        <f t="shared" si="54"/>
        <v>885.7212105000001</v>
      </c>
      <c r="BO79" s="732">
        <f t="shared" si="55"/>
        <v>42.177200500000005</v>
      </c>
      <c r="BT79" s="137"/>
    </row>
    <row r="80" spans="2:72" ht="15" customHeight="1" x14ac:dyDescent="0.25">
      <c r="B80" s="156">
        <f t="shared" si="26"/>
        <v>11</v>
      </c>
      <c r="C80" s="180" t="s">
        <v>573</v>
      </c>
      <c r="D80" s="181"/>
      <c r="E80" s="210" t="s">
        <v>104</v>
      </c>
      <c r="G80" s="488">
        <f>SUM('DUoS (t)'!G80,'TUoS (t)'!G80,'JSO (t)'!G80)</f>
        <v>1198.1459</v>
      </c>
      <c r="H80" s="490">
        <f>SUM('DUoS (t)'!H80,'TUoS (t)'!H80,'JSO (t)'!H80)</f>
        <v>0</v>
      </c>
      <c r="I80" s="494">
        <f>SUM('DUoS (t)'!I80,'TUoS (t)'!I80,'JSO (t)'!I80)</f>
        <v>2.8300000000000002E-2</v>
      </c>
      <c r="J80" s="471">
        <f>SUM('DUoS (t)'!J80,'TUoS (t)'!J80,'JSO (t)'!J80)</f>
        <v>0</v>
      </c>
      <c r="K80" s="495">
        <f>SUM('DUoS (t)'!K80,'TUoS (t)'!K80,'JSO (t)'!K80)</f>
        <v>1.77E-2</v>
      </c>
      <c r="L80" s="471">
        <f>SUM('DUoS (t)'!L80,'TUoS (t)'!L80,'JSO (t)'!L80)</f>
        <v>0</v>
      </c>
      <c r="M80" s="471">
        <f>SUM('DUoS (t)'!M80,'TUoS (t)'!M80,'JSO (t)'!M80)</f>
        <v>0</v>
      </c>
      <c r="N80" s="471">
        <f>SUM('DUoS (t)'!N80,'TUoS (t)'!N80,'JSO (t)'!N80)</f>
        <v>0</v>
      </c>
      <c r="O80" s="472">
        <f>SUM('DUoS (t)'!O80,'TUoS (t)'!O80,'JSO (t)'!O80)</f>
        <v>0</v>
      </c>
      <c r="P80" s="471">
        <f>SUM('DUoS (t)'!P80,'TUoS (t)'!P80,'JSO (t)'!P80)</f>
        <v>0</v>
      </c>
      <c r="Q80" s="471">
        <f>SUM('DUoS (t)'!Q80,'TUoS (t)'!Q80,'JSO (t)'!Q80)</f>
        <v>0</v>
      </c>
      <c r="R80" s="472">
        <f>SUM('DUoS (t)'!R80,'TUoS (t)'!R80,'JSO (t)'!R80)</f>
        <v>0</v>
      </c>
      <c r="S80" s="489">
        <f>SUM('DUoS (t)'!S80,'TUoS (t)'!S80,'JSO (t)'!S80)</f>
        <v>0.1065</v>
      </c>
      <c r="T80" s="494">
        <f>SUM('DUoS (t)'!T80,'TUoS (t)'!T80,'JSO (t)'!T80)</f>
        <v>0.1036</v>
      </c>
      <c r="U80" s="491">
        <f>SUM('DUoS (t)'!U80,'TUoS (t)'!U80,'JSO (t)'!U80)</f>
        <v>0</v>
      </c>
      <c r="V80" s="492">
        <f>SUM('DUoS (t)'!V80,'TUoS (t)'!V80,'JSO (t)'!V80)</f>
        <v>0</v>
      </c>
      <c r="X80" s="183">
        <f>'Q (t)'!G80</f>
        <v>365</v>
      </c>
      <c r="Y80" s="184">
        <f>'Q (t)'!H80</f>
        <v>0</v>
      </c>
      <c r="Z80" s="178">
        <f>'Q (t)'!I80</f>
        <v>10700</v>
      </c>
      <c r="AA80" s="178">
        <f>'Q (t)'!J80</f>
        <v>0</v>
      </c>
      <c r="AB80" s="179">
        <f>'Q (t)'!K80</f>
        <v>8500</v>
      </c>
      <c r="AC80" s="178">
        <f>'Q (t)'!L80</f>
        <v>0</v>
      </c>
      <c r="AD80" s="178">
        <f>'Q (t)'!M80</f>
        <v>0</v>
      </c>
      <c r="AE80" s="178">
        <f>'Q (t)'!N80</f>
        <v>0</v>
      </c>
      <c r="AF80" s="179">
        <f>'Q (t)'!O80</f>
        <v>0</v>
      </c>
      <c r="AG80" s="178">
        <f>'Q (t)'!P80</f>
        <v>0</v>
      </c>
      <c r="AH80" s="178">
        <f>'Q (t)'!Q80</f>
        <v>0</v>
      </c>
      <c r="AI80" s="179">
        <f>'Q (t)'!R80</f>
        <v>0</v>
      </c>
      <c r="AJ80" s="184">
        <f>'Q (t)'!S80</f>
        <v>1764410</v>
      </c>
      <c r="AK80" s="178">
        <f>'Q (t)'!T80</f>
        <v>2027210</v>
      </c>
      <c r="AL80" s="184">
        <f>'Q (t)'!U80</f>
        <v>0</v>
      </c>
      <c r="AM80" s="179">
        <f>'Q (t)'!V80</f>
        <v>0</v>
      </c>
      <c r="AO80" s="183">
        <f t="shared" si="50"/>
        <v>437.32325349999996</v>
      </c>
      <c r="AP80" s="184">
        <f t="shared" si="51"/>
        <v>0</v>
      </c>
      <c r="AQ80" s="178">
        <f t="shared" si="51"/>
        <v>302.81</v>
      </c>
      <c r="AR80" s="178">
        <f t="shared" si="51"/>
        <v>0</v>
      </c>
      <c r="AS80" s="179">
        <f t="shared" si="51"/>
        <v>150.45000000000002</v>
      </c>
      <c r="AT80" s="178">
        <f t="shared" si="51"/>
        <v>0</v>
      </c>
      <c r="AU80" s="178">
        <f t="shared" si="51"/>
        <v>0</v>
      </c>
      <c r="AV80" s="178">
        <f t="shared" si="51"/>
        <v>0</v>
      </c>
      <c r="AW80" s="179">
        <f t="shared" si="51"/>
        <v>0</v>
      </c>
      <c r="AX80" s="178">
        <f t="shared" si="41"/>
        <v>0</v>
      </c>
      <c r="AY80" s="178">
        <f t="shared" si="41"/>
        <v>0</v>
      </c>
      <c r="AZ80" s="179">
        <f t="shared" si="41"/>
        <v>0</v>
      </c>
      <c r="BA80" s="184">
        <f t="shared" si="40"/>
        <v>187.90966500000002</v>
      </c>
      <c r="BB80" s="178">
        <f t="shared" si="40"/>
        <v>210.018956</v>
      </c>
      <c r="BC80" s="184">
        <f t="shared" si="40"/>
        <v>0</v>
      </c>
      <c r="BD80" s="178">
        <f t="shared" si="40"/>
        <v>0</v>
      </c>
      <c r="BE80" s="251">
        <f t="shared" si="52"/>
        <v>1</v>
      </c>
      <c r="BF80" s="252">
        <f t="shared" si="53"/>
        <v>19200</v>
      </c>
      <c r="BH80" s="262">
        <f t="shared" si="45"/>
        <v>437.32325349999996</v>
      </c>
      <c r="BI80" s="262">
        <f t="shared" si="46"/>
        <v>453.26</v>
      </c>
      <c r="BJ80" s="262">
        <f t="shared" si="47"/>
        <v>0</v>
      </c>
      <c r="BK80" s="263">
        <f t="shared" si="48"/>
        <v>397.92862100000002</v>
      </c>
      <c r="BL80" s="269">
        <f t="shared" si="49"/>
        <v>0</v>
      </c>
      <c r="BM80" s="264">
        <f t="shared" si="54"/>
        <v>1288.5118745</v>
      </c>
      <c r="BO80" s="732">
        <f t="shared" si="55"/>
        <v>67.109993463541656</v>
      </c>
      <c r="BT80" s="137"/>
    </row>
    <row r="81" spans="2:72" ht="15" customHeight="1" x14ac:dyDescent="0.25">
      <c r="B81" s="156">
        <f t="shared" si="26"/>
        <v>12</v>
      </c>
      <c r="C81" s="180" t="s">
        <v>574</v>
      </c>
      <c r="D81" s="181"/>
      <c r="E81" s="210" t="s">
        <v>104</v>
      </c>
      <c r="G81" s="488">
        <f>SUM('DUoS (t)'!G81,'TUoS (t)'!G81,'JSO (t)'!G81)</f>
        <v>897.95590000000004</v>
      </c>
      <c r="H81" s="490">
        <f>SUM('DUoS (t)'!H81,'TUoS (t)'!H81,'JSO (t)'!H81)</f>
        <v>0</v>
      </c>
      <c r="I81" s="494">
        <f>SUM('DUoS (t)'!I81,'TUoS (t)'!I81,'JSO (t)'!I81)</f>
        <v>2.8300000000000002E-2</v>
      </c>
      <c r="J81" s="471">
        <f>SUM('DUoS (t)'!J81,'TUoS (t)'!J81,'JSO (t)'!J81)</f>
        <v>0</v>
      </c>
      <c r="K81" s="495">
        <f>SUM('DUoS (t)'!K81,'TUoS (t)'!K81,'JSO (t)'!K81)</f>
        <v>1.77E-2</v>
      </c>
      <c r="L81" s="471">
        <f>SUM('DUoS (t)'!L81,'TUoS (t)'!L81,'JSO (t)'!L81)</f>
        <v>0</v>
      </c>
      <c r="M81" s="471">
        <f>SUM('DUoS (t)'!M81,'TUoS (t)'!M81,'JSO (t)'!M81)</f>
        <v>0</v>
      </c>
      <c r="N81" s="471">
        <f>SUM('DUoS (t)'!N81,'TUoS (t)'!N81,'JSO (t)'!N81)</f>
        <v>0</v>
      </c>
      <c r="O81" s="472">
        <f>SUM('DUoS (t)'!O81,'TUoS (t)'!O81,'JSO (t)'!O81)</f>
        <v>0</v>
      </c>
      <c r="P81" s="471">
        <f>SUM('DUoS (t)'!P81,'TUoS (t)'!P81,'JSO (t)'!P81)</f>
        <v>0</v>
      </c>
      <c r="Q81" s="471">
        <f>SUM('DUoS (t)'!Q81,'TUoS (t)'!Q81,'JSO (t)'!Q81)</f>
        <v>0</v>
      </c>
      <c r="R81" s="472">
        <f>SUM('DUoS (t)'!R81,'TUoS (t)'!R81,'JSO (t)'!R81)</f>
        <v>0</v>
      </c>
      <c r="S81" s="489">
        <f>SUM('DUoS (t)'!S81,'TUoS (t)'!S81,'JSO (t)'!S81)</f>
        <v>0.1065</v>
      </c>
      <c r="T81" s="494">
        <f>SUM('DUoS (t)'!T81,'TUoS (t)'!T81,'JSO (t)'!T81)</f>
        <v>0.1036</v>
      </c>
      <c r="U81" s="491">
        <f>SUM('DUoS (t)'!U81,'TUoS (t)'!U81,'JSO (t)'!U81)</f>
        <v>0</v>
      </c>
      <c r="V81" s="492">
        <f>SUM('DUoS (t)'!V81,'TUoS (t)'!V81,'JSO (t)'!V81)</f>
        <v>0</v>
      </c>
      <c r="X81" s="183">
        <f>'Q (t)'!G81</f>
        <v>365</v>
      </c>
      <c r="Y81" s="184">
        <f>'Q (t)'!H81</f>
        <v>0</v>
      </c>
      <c r="Z81" s="178">
        <f>'Q (t)'!I81</f>
        <v>6600</v>
      </c>
      <c r="AA81" s="178">
        <f>'Q (t)'!J81</f>
        <v>0</v>
      </c>
      <c r="AB81" s="179">
        <f>'Q (t)'!K81</f>
        <v>4500</v>
      </c>
      <c r="AC81" s="178">
        <f>'Q (t)'!L81</f>
        <v>0</v>
      </c>
      <c r="AD81" s="178">
        <f>'Q (t)'!M81</f>
        <v>0</v>
      </c>
      <c r="AE81" s="178">
        <f>'Q (t)'!N81</f>
        <v>0</v>
      </c>
      <c r="AF81" s="179">
        <f>'Q (t)'!O81</f>
        <v>0</v>
      </c>
      <c r="AG81" s="178">
        <f>'Q (t)'!P81</f>
        <v>0</v>
      </c>
      <c r="AH81" s="178">
        <f>'Q (t)'!Q81</f>
        <v>0</v>
      </c>
      <c r="AI81" s="179">
        <f>'Q (t)'!R81</f>
        <v>0</v>
      </c>
      <c r="AJ81" s="184">
        <f>'Q (t)'!S81</f>
        <v>1330425</v>
      </c>
      <c r="AK81" s="178">
        <f>'Q (t)'!T81</f>
        <v>1372400</v>
      </c>
      <c r="AL81" s="184">
        <f>'Q (t)'!U81</f>
        <v>0</v>
      </c>
      <c r="AM81" s="179">
        <f>'Q (t)'!V81</f>
        <v>0</v>
      </c>
      <c r="AO81" s="183">
        <f t="shared" si="50"/>
        <v>327.75390350000004</v>
      </c>
      <c r="AP81" s="184">
        <f t="shared" si="51"/>
        <v>0</v>
      </c>
      <c r="AQ81" s="178">
        <f t="shared" si="51"/>
        <v>186.78</v>
      </c>
      <c r="AR81" s="178">
        <f t="shared" si="51"/>
        <v>0</v>
      </c>
      <c r="AS81" s="179">
        <f t="shared" si="51"/>
        <v>79.650000000000006</v>
      </c>
      <c r="AT81" s="178">
        <f t="shared" si="51"/>
        <v>0</v>
      </c>
      <c r="AU81" s="178">
        <f t="shared" si="51"/>
        <v>0</v>
      </c>
      <c r="AV81" s="178">
        <f t="shared" si="51"/>
        <v>0</v>
      </c>
      <c r="AW81" s="179">
        <f t="shared" si="51"/>
        <v>0</v>
      </c>
      <c r="AX81" s="178">
        <f t="shared" si="41"/>
        <v>0</v>
      </c>
      <c r="AY81" s="178">
        <f t="shared" si="41"/>
        <v>0</v>
      </c>
      <c r="AZ81" s="179">
        <f t="shared" si="41"/>
        <v>0</v>
      </c>
      <c r="BA81" s="184">
        <f t="shared" si="40"/>
        <v>141.69026249999999</v>
      </c>
      <c r="BB81" s="178">
        <f t="shared" si="40"/>
        <v>142.18063999999998</v>
      </c>
      <c r="BC81" s="184">
        <f t="shared" si="40"/>
        <v>0</v>
      </c>
      <c r="BD81" s="178">
        <f t="shared" si="40"/>
        <v>0</v>
      </c>
      <c r="BE81" s="251">
        <f t="shared" si="52"/>
        <v>1</v>
      </c>
      <c r="BF81" s="252">
        <f t="shared" si="53"/>
        <v>11100</v>
      </c>
      <c r="BH81" s="262">
        <f t="shared" si="45"/>
        <v>327.75390350000004</v>
      </c>
      <c r="BI81" s="262">
        <f t="shared" si="46"/>
        <v>266.43</v>
      </c>
      <c r="BJ81" s="262">
        <f t="shared" si="47"/>
        <v>0</v>
      </c>
      <c r="BK81" s="263">
        <f t="shared" si="48"/>
        <v>283.87090249999994</v>
      </c>
      <c r="BL81" s="269">
        <f t="shared" si="49"/>
        <v>0</v>
      </c>
      <c r="BM81" s="264">
        <f t="shared" si="54"/>
        <v>878.05480599999999</v>
      </c>
      <c r="BO81" s="732">
        <f t="shared" si="55"/>
        <v>79.104036576576576</v>
      </c>
      <c r="BT81" s="137"/>
    </row>
    <row r="82" spans="2:72" ht="15" customHeight="1" x14ac:dyDescent="0.25">
      <c r="B82" s="156">
        <f t="shared" si="26"/>
        <v>13</v>
      </c>
      <c r="C82" s="180" t="s">
        <v>575</v>
      </c>
      <c r="D82" s="181"/>
      <c r="E82" s="210" t="s">
        <v>104</v>
      </c>
      <c r="G82" s="488">
        <f>SUM('DUoS (t)'!G82,'TUoS (t)'!G82,'JSO (t)'!G82)</f>
        <v>829.53590000000008</v>
      </c>
      <c r="H82" s="490">
        <f>SUM('DUoS (t)'!H82,'TUoS (t)'!H82,'JSO (t)'!H82)</f>
        <v>0</v>
      </c>
      <c r="I82" s="494">
        <f>SUM('DUoS (t)'!I82,'TUoS (t)'!I82,'JSO (t)'!I82)</f>
        <v>2.8300000000000002E-2</v>
      </c>
      <c r="J82" s="471">
        <f>SUM('DUoS (t)'!J82,'TUoS (t)'!J82,'JSO (t)'!J82)</f>
        <v>0</v>
      </c>
      <c r="K82" s="495">
        <f>SUM('DUoS (t)'!K82,'TUoS (t)'!K82,'JSO (t)'!K82)</f>
        <v>1.77E-2</v>
      </c>
      <c r="L82" s="471">
        <f>SUM('DUoS (t)'!L82,'TUoS (t)'!L82,'JSO (t)'!L82)</f>
        <v>0</v>
      </c>
      <c r="M82" s="471">
        <f>SUM('DUoS (t)'!M82,'TUoS (t)'!M82,'JSO (t)'!M82)</f>
        <v>0</v>
      </c>
      <c r="N82" s="471">
        <f>SUM('DUoS (t)'!N82,'TUoS (t)'!N82,'JSO (t)'!N82)</f>
        <v>0</v>
      </c>
      <c r="O82" s="472">
        <f>SUM('DUoS (t)'!O82,'TUoS (t)'!O82,'JSO (t)'!O82)</f>
        <v>0</v>
      </c>
      <c r="P82" s="471">
        <f>SUM('DUoS (t)'!P82,'TUoS (t)'!P82,'JSO (t)'!P82)</f>
        <v>0</v>
      </c>
      <c r="Q82" s="471">
        <f>SUM('DUoS (t)'!Q82,'TUoS (t)'!Q82,'JSO (t)'!Q82)</f>
        <v>0</v>
      </c>
      <c r="R82" s="472">
        <f>SUM('DUoS (t)'!R82,'TUoS (t)'!R82,'JSO (t)'!R82)</f>
        <v>0</v>
      </c>
      <c r="S82" s="489">
        <f>SUM('DUoS (t)'!S82,'TUoS (t)'!S82,'JSO (t)'!S82)</f>
        <v>0.1065</v>
      </c>
      <c r="T82" s="494">
        <f>SUM('DUoS (t)'!T82,'TUoS (t)'!T82,'JSO (t)'!T82)</f>
        <v>0.1036</v>
      </c>
      <c r="U82" s="491">
        <f>SUM('DUoS (t)'!U82,'TUoS (t)'!U82,'JSO (t)'!U82)</f>
        <v>0</v>
      </c>
      <c r="V82" s="492">
        <f>SUM('DUoS (t)'!V82,'TUoS (t)'!V82,'JSO (t)'!V82)</f>
        <v>0</v>
      </c>
      <c r="X82" s="183">
        <f>'Q (t)'!G82</f>
        <v>365</v>
      </c>
      <c r="Y82" s="184">
        <f>'Q (t)'!H82</f>
        <v>0</v>
      </c>
      <c r="Z82" s="178">
        <f>'Q (t)'!I82</f>
        <v>6300</v>
      </c>
      <c r="AA82" s="178">
        <f>'Q (t)'!J82</f>
        <v>0</v>
      </c>
      <c r="AB82" s="179">
        <f>'Q (t)'!K82</f>
        <v>5100</v>
      </c>
      <c r="AC82" s="178">
        <f>'Q (t)'!L82</f>
        <v>0</v>
      </c>
      <c r="AD82" s="178">
        <f>'Q (t)'!M82</f>
        <v>0</v>
      </c>
      <c r="AE82" s="178">
        <f>'Q (t)'!N82</f>
        <v>0</v>
      </c>
      <c r="AF82" s="179">
        <f>'Q (t)'!O82</f>
        <v>0</v>
      </c>
      <c r="AG82" s="178">
        <f>'Q (t)'!P82</f>
        <v>0</v>
      </c>
      <c r="AH82" s="178">
        <f>'Q (t)'!Q82</f>
        <v>0</v>
      </c>
      <c r="AI82" s="179">
        <f>'Q (t)'!R82</f>
        <v>0</v>
      </c>
      <c r="AJ82" s="184">
        <f>'Q (t)'!S82</f>
        <v>1231875</v>
      </c>
      <c r="AK82" s="178">
        <f>'Q (t)'!T82</f>
        <v>1259250</v>
      </c>
      <c r="AL82" s="184">
        <f>'Q (t)'!U82</f>
        <v>0</v>
      </c>
      <c r="AM82" s="179">
        <f>'Q (t)'!V82</f>
        <v>0</v>
      </c>
      <c r="AO82" s="183">
        <f t="shared" si="50"/>
        <v>302.78060350000004</v>
      </c>
      <c r="AP82" s="184">
        <f t="shared" si="51"/>
        <v>0</v>
      </c>
      <c r="AQ82" s="178">
        <f t="shared" si="51"/>
        <v>178.29000000000002</v>
      </c>
      <c r="AR82" s="178">
        <f t="shared" si="51"/>
        <v>0</v>
      </c>
      <c r="AS82" s="179">
        <f t="shared" si="51"/>
        <v>90.27</v>
      </c>
      <c r="AT82" s="178">
        <f t="shared" si="51"/>
        <v>0</v>
      </c>
      <c r="AU82" s="178">
        <f t="shared" si="51"/>
        <v>0</v>
      </c>
      <c r="AV82" s="178">
        <f t="shared" si="51"/>
        <v>0</v>
      </c>
      <c r="AW82" s="179">
        <f t="shared" si="51"/>
        <v>0</v>
      </c>
      <c r="AX82" s="178">
        <f t="shared" si="41"/>
        <v>0</v>
      </c>
      <c r="AY82" s="178">
        <f t="shared" si="41"/>
        <v>0</v>
      </c>
      <c r="AZ82" s="179">
        <f t="shared" si="41"/>
        <v>0</v>
      </c>
      <c r="BA82" s="184">
        <f t="shared" si="40"/>
        <v>131.19468749999999</v>
      </c>
      <c r="BB82" s="178">
        <f t="shared" si="40"/>
        <v>130.45830000000001</v>
      </c>
      <c r="BC82" s="184">
        <f t="shared" si="40"/>
        <v>0</v>
      </c>
      <c r="BD82" s="178">
        <f t="shared" si="40"/>
        <v>0</v>
      </c>
      <c r="BE82" s="251">
        <f t="shared" si="52"/>
        <v>1</v>
      </c>
      <c r="BF82" s="252">
        <f t="shared" si="53"/>
        <v>11400</v>
      </c>
      <c r="BH82" s="262">
        <f t="shared" si="45"/>
        <v>302.78060350000004</v>
      </c>
      <c r="BI82" s="262">
        <f t="shared" si="46"/>
        <v>268.56</v>
      </c>
      <c r="BJ82" s="262">
        <f t="shared" si="47"/>
        <v>0</v>
      </c>
      <c r="BK82" s="263">
        <f t="shared" si="48"/>
        <v>261.65298749999999</v>
      </c>
      <c r="BL82" s="269">
        <f t="shared" si="49"/>
        <v>0</v>
      </c>
      <c r="BM82" s="264">
        <f t="shared" si="54"/>
        <v>832.99359100000004</v>
      </c>
      <c r="BO82" s="732">
        <f t="shared" si="55"/>
        <v>73.069613245614036</v>
      </c>
      <c r="BT82" s="137"/>
    </row>
    <row r="83" spans="2:72" ht="15" customHeight="1" x14ac:dyDescent="0.25">
      <c r="B83" s="156">
        <f t="shared" si="26"/>
        <v>14</v>
      </c>
      <c r="C83" s="180" t="s">
        <v>576</v>
      </c>
      <c r="D83" s="181"/>
      <c r="E83" s="210" t="s">
        <v>104</v>
      </c>
      <c r="G83" s="488">
        <f>SUM('DUoS (t)'!G83,'TUoS (t)'!G83,'JSO (t)'!G83)</f>
        <v>941.79590000000007</v>
      </c>
      <c r="H83" s="490">
        <f>SUM('DUoS (t)'!H83,'TUoS (t)'!H83,'JSO (t)'!H83)</f>
        <v>0</v>
      </c>
      <c r="I83" s="494">
        <f>SUM('DUoS (t)'!I83,'TUoS (t)'!I83,'JSO (t)'!I83)</f>
        <v>2.8300000000000002E-2</v>
      </c>
      <c r="J83" s="471">
        <f>SUM('DUoS (t)'!J83,'TUoS (t)'!J83,'JSO (t)'!J83)</f>
        <v>0</v>
      </c>
      <c r="K83" s="495">
        <f>SUM('DUoS (t)'!K83,'TUoS (t)'!K83,'JSO (t)'!K83)</f>
        <v>1.77E-2</v>
      </c>
      <c r="L83" s="471">
        <f>SUM('DUoS (t)'!L83,'TUoS (t)'!L83,'JSO (t)'!L83)</f>
        <v>0</v>
      </c>
      <c r="M83" s="471">
        <f>SUM('DUoS (t)'!M83,'TUoS (t)'!M83,'JSO (t)'!M83)</f>
        <v>0</v>
      </c>
      <c r="N83" s="471">
        <f>SUM('DUoS (t)'!N83,'TUoS (t)'!N83,'JSO (t)'!N83)</f>
        <v>0</v>
      </c>
      <c r="O83" s="472">
        <f>SUM('DUoS (t)'!O83,'TUoS (t)'!O83,'JSO (t)'!O83)</f>
        <v>0</v>
      </c>
      <c r="P83" s="471">
        <f>SUM('DUoS (t)'!P83,'TUoS (t)'!P83,'JSO (t)'!P83)</f>
        <v>0</v>
      </c>
      <c r="Q83" s="471">
        <f>SUM('DUoS (t)'!Q83,'TUoS (t)'!Q83,'JSO (t)'!Q83)</f>
        <v>0</v>
      </c>
      <c r="R83" s="472">
        <f>SUM('DUoS (t)'!R83,'TUoS (t)'!R83,'JSO (t)'!R83)</f>
        <v>0</v>
      </c>
      <c r="S83" s="489">
        <f>SUM('DUoS (t)'!S83,'TUoS (t)'!S83,'JSO (t)'!S83)</f>
        <v>0.1065</v>
      </c>
      <c r="T83" s="494">
        <f>SUM('DUoS (t)'!T83,'TUoS (t)'!T83,'JSO (t)'!T83)</f>
        <v>0.1036</v>
      </c>
      <c r="U83" s="491">
        <f>SUM('DUoS (t)'!U83,'TUoS (t)'!U83,'JSO (t)'!U83)</f>
        <v>0</v>
      </c>
      <c r="V83" s="492">
        <f>SUM('DUoS (t)'!V83,'TUoS (t)'!V83,'JSO (t)'!V83)</f>
        <v>0</v>
      </c>
      <c r="X83" s="183">
        <f>'Q (t)'!G83</f>
        <v>365</v>
      </c>
      <c r="Y83" s="184">
        <f>'Q (t)'!H83</f>
        <v>0</v>
      </c>
      <c r="Z83" s="178">
        <f>'Q (t)'!I83</f>
        <v>11600</v>
      </c>
      <c r="AA83" s="178">
        <f>'Q (t)'!J83</f>
        <v>0</v>
      </c>
      <c r="AB83" s="179">
        <f>'Q (t)'!K83</f>
        <v>11600</v>
      </c>
      <c r="AC83" s="178">
        <f>'Q (t)'!L83</f>
        <v>0</v>
      </c>
      <c r="AD83" s="178">
        <f>'Q (t)'!M83</f>
        <v>0</v>
      </c>
      <c r="AE83" s="178">
        <f>'Q (t)'!N83</f>
        <v>0</v>
      </c>
      <c r="AF83" s="179">
        <f>'Q (t)'!O83</f>
        <v>0</v>
      </c>
      <c r="AG83" s="178">
        <f>'Q (t)'!P83</f>
        <v>0</v>
      </c>
      <c r="AH83" s="178">
        <f>'Q (t)'!Q83</f>
        <v>0</v>
      </c>
      <c r="AI83" s="179">
        <f>'Q (t)'!R83</f>
        <v>0</v>
      </c>
      <c r="AJ83" s="184">
        <f>'Q (t)'!S83</f>
        <v>1614030</v>
      </c>
      <c r="AK83" s="178">
        <f>'Q (t)'!T83</f>
        <v>1665860</v>
      </c>
      <c r="AL83" s="184">
        <f>'Q (t)'!U83</f>
        <v>0</v>
      </c>
      <c r="AM83" s="179">
        <f>'Q (t)'!V83</f>
        <v>0</v>
      </c>
      <c r="AO83" s="183">
        <f t="shared" si="50"/>
        <v>343.75550350000003</v>
      </c>
      <c r="AP83" s="184">
        <f t="shared" si="51"/>
        <v>0</v>
      </c>
      <c r="AQ83" s="178">
        <f t="shared" si="51"/>
        <v>328.28000000000003</v>
      </c>
      <c r="AR83" s="178">
        <f t="shared" si="51"/>
        <v>0</v>
      </c>
      <c r="AS83" s="179">
        <f t="shared" si="51"/>
        <v>205.32</v>
      </c>
      <c r="AT83" s="178">
        <f t="shared" si="51"/>
        <v>0</v>
      </c>
      <c r="AU83" s="178">
        <f t="shared" si="51"/>
        <v>0</v>
      </c>
      <c r="AV83" s="178">
        <f t="shared" si="51"/>
        <v>0</v>
      </c>
      <c r="AW83" s="179">
        <f t="shared" si="51"/>
        <v>0</v>
      </c>
      <c r="AX83" s="178">
        <f t="shared" si="41"/>
        <v>0</v>
      </c>
      <c r="AY83" s="178">
        <f t="shared" si="41"/>
        <v>0</v>
      </c>
      <c r="AZ83" s="179">
        <f t="shared" si="41"/>
        <v>0</v>
      </c>
      <c r="BA83" s="184">
        <f t="shared" si="40"/>
        <v>171.894195</v>
      </c>
      <c r="BB83" s="178">
        <f t="shared" si="40"/>
        <v>172.58309599999998</v>
      </c>
      <c r="BC83" s="184">
        <f t="shared" si="40"/>
        <v>0</v>
      </c>
      <c r="BD83" s="178">
        <f t="shared" si="40"/>
        <v>0</v>
      </c>
      <c r="BE83" s="251">
        <f t="shared" si="52"/>
        <v>1</v>
      </c>
      <c r="BF83" s="252">
        <f t="shared" si="53"/>
        <v>23200</v>
      </c>
      <c r="BH83" s="262">
        <f t="shared" si="45"/>
        <v>343.75550350000003</v>
      </c>
      <c r="BI83" s="262">
        <f t="shared" si="46"/>
        <v>533.6</v>
      </c>
      <c r="BJ83" s="262">
        <f t="shared" si="47"/>
        <v>0</v>
      </c>
      <c r="BK83" s="263">
        <f t="shared" si="48"/>
        <v>344.47729099999998</v>
      </c>
      <c r="BL83" s="269">
        <f t="shared" si="49"/>
        <v>0</v>
      </c>
      <c r="BM83" s="264">
        <f t="shared" si="54"/>
        <v>1221.8327945000001</v>
      </c>
      <c r="BO83" s="732">
        <f t="shared" si="55"/>
        <v>52.665206659482763</v>
      </c>
      <c r="BT83" s="137"/>
    </row>
    <row r="84" spans="2:72" ht="15" customHeight="1" x14ac:dyDescent="0.25">
      <c r="B84" s="156">
        <f t="shared" si="26"/>
        <v>15</v>
      </c>
      <c r="C84" s="180" t="s">
        <v>659</v>
      </c>
      <c r="D84" s="181"/>
      <c r="E84" s="210" t="s">
        <v>104</v>
      </c>
      <c r="G84" s="488">
        <f>SUM('DUoS (t)'!G84,'TUoS (t)'!G84,'JSO (t)'!G84)</f>
        <v>391.32590000000005</v>
      </c>
      <c r="H84" s="490">
        <f>SUM('DUoS (t)'!H84,'TUoS (t)'!H84,'JSO (t)'!H84)</f>
        <v>0</v>
      </c>
      <c r="I84" s="494">
        <f>SUM('DUoS (t)'!I84,'TUoS (t)'!I84,'JSO (t)'!I84)</f>
        <v>4.1400000000000006E-2</v>
      </c>
      <c r="J84" s="471">
        <f>SUM('DUoS (t)'!J84,'TUoS (t)'!J84,'JSO (t)'!J84)</f>
        <v>0</v>
      </c>
      <c r="K84" s="495">
        <f>SUM('DUoS (t)'!K84,'TUoS (t)'!K84,'JSO (t)'!K84)</f>
        <v>2.5900000000000003E-2</v>
      </c>
      <c r="L84" s="471">
        <f>SUM('DUoS (t)'!L84,'TUoS (t)'!L84,'JSO (t)'!L84)</f>
        <v>0</v>
      </c>
      <c r="M84" s="471">
        <f>SUM('DUoS (t)'!M84,'TUoS (t)'!M84,'JSO (t)'!M84)</f>
        <v>0</v>
      </c>
      <c r="N84" s="471">
        <f>SUM('DUoS (t)'!N84,'TUoS (t)'!N84,'JSO (t)'!N84)</f>
        <v>0</v>
      </c>
      <c r="O84" s="472">
        <f>SUM('DUoS (t)'!O84,'TUoS (t)'!O84,'JSO (t)'!O84)</f>
        <v>0</v>
      </c>
      <c r="P84" s="471">
        <f>SUM('DUoS (t)'!P84,'TUoS (t)'!P84,'JSO (t)'!P84)</f>
        <v>0</v>
      </c>
      <c r="Q84" s="471">
        <f>SUM('DUoS (t)'!Q84,'TUoS (t)'!Q84,'JSO (t)'!Q84)</f>
        <v>0</v>
      </c>
      <c r="R84" s="472">
        <f>SUM('DUoS (t)'!R84,'TUoS (t)'!R84,'JSO (t)'!R84)</f>
        <v>0</v>
      </c>
      <c r="S84" s="489">
        <f>SUM('DUoS (t)'!S84,'TUoS (t)'!S84,'JSO (t)'!S84)</f>
        <v>0.21479999999999999</v>
      </c>
      <c r="T84" s="494">
        <f>SUM('DUoS (t)'!T84,'TUoS (t)'!T84,'JSO (t)'!T84)</f>
        <v>0.1036</v>
      </c>
      <c r="U84" s="491">
        <f>SUM('DUoS (t)'!U84,'TUoS (t)'!U84,'JSO (t)'!U84)</f>
        <v>0</v>
      </c>
      <c r="V84" s="492">
        <f>SUM('DUoS (t)'!V84,'TUoS (t)'!V84,'JSO (t)'!V84)</f>
        <v>0</v>
      </c>
      <c r="X84" s="183">
        <f>'Q (t)'!G84</f>
        <v>365</v>
      </c>
      <c r="Y84" s="184">
        <f>'Q (t)'!H84</f>
        <v>0</v>
      </c>
      <c r="Z84" s="178">
        <f>'Q (t)'!I84</f>
        <v>10400</v>
      </c>
      <c r="AA84" s="178">
        <f>'Q (t)'!J84</f>
        <v>0</v>
      </c>
      <c r="AB84" s="179">
        <f>'Q (t)'!K84</f>
        <v>9600</v>
      </c>
      <c r="AC84" s="178">
        <f>'Q (t)'!L84</f>
        <v>0</v>
      </c>
      <c r="AD84" s="178">
        <f>'Q (t)'!M84</f>
        <v>0</v>
      </c>
      <c r="AE84" s="178">
        <f>'Q (t)'!N84</f>
        <v>0</v>
      </c>
      <c r="AF84" s="179">
        <f>'Q (t)'!O84</f>
        <v>0</v>
      </c>
      <c r="AG84" s="178">
        <f>'Q (t)'!P84</f>
        <v>0</v>
      </c>
      <c r="AH84" s="178">
        <f>'Q (t)'!Q84</f>
        <v>0</v>
      </c>
      <c r="AI84" s="179">
        <f>'Q (t)'!R84</f>
        <v>0</v>
      </c>
      <c r="AJ84" s="184">
        <f>'Q (t)'!S84</f>
        <v>1488105</v>
      </c>
      <c r="AK84" s="178">
        <f>'Q (t)'!T84</f>
        <v>1766235</v>
      </c>
      <c r="AL84" s="184">
        <f>'Q (t)'!U84</f>
        <v>0</v>
      </c>
      <c r="AM84" s="179">
        <f>'Q (t)'!V84</f>
        <v>0</v>
      </c>
      <c r="AO84" s="183">
        <f t="shared" ref="AO84" si="57">G84*X84/1000</f>
        <v>142.83395350000001</v>
      </c>
      <c r="AP84" s="184">
        <f t="shared" ref="AP84" si="58">H84*Y84</f>
        <v>0</v>
      </c>
      <c r="AQ84" s="178">
        <f t="shared" ref="AQ84" si="59">I84*Z84</f>
        <v>430.56000000000006</v>
      </c>
      <c r="AR84" s="178">
        <f t="shared" ref="AR84" si="60">J84*AA84</f>
        <v>0</v>
      </c>
      <c r="AS84" s="179">
        <f t="shared" ref="AS84" si="61">K84*AB84</f>
        <v>248.64000000000001</v>
      </c>
      <c r="AT84" s="178">
        <f t="shared" ref="AT84" si="62">L84*AC84</f>
        <v>0</v>
      </c>
      <c r="AU84" s="178">
        <f t="shared" ref="AU84" si="63">M84*AD84</f>
        <v>0</v>
      </c>
      <c r="AV84" s="178">
        <f t="shared" ref="AV84" si="64">N84*AE84</f>
        <v>0</v>
      </c>
      <c r="AW84" s="179">
        <f t="shared" ref="AW84" si="65">O84*AF84</f>
        <v>0</v>
      </c>
      <c r="AX84" s="178">
        <f t="shared" ref="AX84" si="66">P84*AG84/1000</f>
        <v>0</v>
      </c>
      <c r="AY84" s="178">
        <f t="shared" ref="AY84" si="67">Q84*AH84/1000</f>
        <v>0</v>
      </c>
      <c r="AZ84" s="179">
        <f t="shared" ref="AZ84:BD84" si="68">R84*AI84/1000</f>
        <v>0</v>
      </c>
      <c r="BA84" s="184">
        <f t="shared" si="68"/>
        <v>319.64495399999998</v>
      </c>
      <c r="BB84" s="178">
        <f t="shared" si="68"/>
        <v>182.98194599999999</v>
      </c>
      <c r="BC84" s="184">
        <f t="shared" si="68"/>
        <v>0</v>
      </c>
      <c r="BD84" s="178">
        <f t="shared" si="68"/>
        <v>0</v>
      </c>
      <c r="BE84" s="251">
        <f t="shared" ref="BE84" si="69">X84/$BE$7</f>
        <v>1</v>
      </c>
      <c r="BF84" s="252">
        <f t="shared" ref="BF84" si="70">SUM(Y84:AF84)</f>
        <v>20000</v>
      </c>
      <c r="BH84" s="262">
        <f>SUM(AO84)</f>
        <v>142.83395350000001</v>
      </c>
      <c r="BI84" s="262">
        <f t="shared" ref="BI84" si="71">SUM(AP84:AS84)</f>
        <v>679.2</v>
      </c>
      <c r="BJ84" s="262">
        <f t="shared" ref="BJ84" si="72">SUM(AT84:AW84)</f>
        <v>0</v>
      </c>
      <c r="BK84" s="263">
        <f t="shared" ref="BK84" si="73">SUM(AX84:BB84)</f>
        <v>502.62689999999998</v>
      </c>
      <c r="BL84" s="269">
        <f t="shared" ref="BL84" si="74">SUM(BC84:BD84)</f>
        <v>0</v>
      </c>
      <c r="BM84" s="264">
        <f t="shared" ref="BM84" si="75">SUM(BH84:BL84)</f>
        <v>1324.6608535</v>
      </c>
      <c r="BO84" s="732">
        <f t="shared" ref="BO84" si="76">IF(BF84=0,"",BM84*1000/BF84)</f>
        <v>66.233042674999993</v>
      </c>
      <c r="BT84" s="137"/>
    </row>
    <row r="85" spans="2:72" ht="15" customHeight="1" x14ac:dyDescent="0.25">
      <c r="B85" s="156">
        <f t="shared" si="26"/>
        <v>16</v>
      </c>
      <c r="C85" s="180" t="s">
        <v>577</v>
      </c>
      <c r="D85" s="181"/>
      <c r="E85" s="210" t="s">
        <v>104</v>
      </c>
      <c r="G85" s="488">
        <f>SUM('DUoS (t)'!G85,'TUoS (t)'!G85,'JSO (t)'!G85)</f>
        <v>634.71590000000003</v>
      </c>
      <c r="H85" s="490">
        <f>SUM('DUoS (t)'!H85,'TUoS (t)'!H85,'JSO (t)'!H85)</f>
        <v>0</v>
      </c>
      <c r="I85" s="494">
        <f>SUM('DUoS (t)'!I85,'TUoS (t)'!I85,'JSO (t)'!I85)</f>
        <v>2.8300000000000002E-2</v>
      </c>
      <c r="J85" s="471">
        <f>SUM('DUoS (t)'!J85,'TUoS (t)'!J85,'JSO (t)'!J85)</f>
        <v>0</v>
      </c>
      <c r="K85" s="495">
        <f>SUM('DUoS (t)'!K85,'TUoS (t)'!K85,'JSO (t)'!K85)</f>
        <v>1.77E-2</v>
      </c>
      <c r="L85" s="471">
        <f>SUM('DUoS (t)'!L85,'TUoS (t)'!L85,'JSO (t)'!L85)</f>
        <v>0</v>
      </c>
      <c r="M85" s="471">
        <f>SUM('DUoS (t)'!M85,'TUoS (t)'!M85,'JSO (t)'!M85)</f>
        <v>0</v>
      </c>
      <c r="N85" s="471">
        <f>SUM('DUoS (t)'!N85,'TUoS (t)'!N85,'JSO (t)'!N85)</f>
        <v>0</v>
      </c>
      <c r="O85" s="472">
        <f>SUM('DUoS (t)'!O85,'TUoS (t)'!O85,'JSO (t)'!O85)</f>
        <v>0</v>
      </c>
      <c r="P85" s="471">
        <f>SUM('DUoS (t)'!P85,'TUoS (t)'!P85,'JSO (t)'!P85)</f>
        <v>0</v>
      </c>
      <c r="Q85" s="471">
        <f>SUM('DUoS (t)'!Q85,'TUoS (t)'!Q85,'JSO (t)'!Q85)</f>
        <v>0</v>
      </c>
      <c r="R85" s="472">
        <f>SUM('DUoS (t)'!R85,'TUoS (t)'!R85,'JSO (t)'!R85)</f>
        <v>0</v>
      </c>
      <c r="S85" s="489">
        <f>SUM('DUoS (t)'!S85,'TUoS (t)'!S85,'JSO (t)'!S85)</f>
        <v>0.1065</v>
      </c>
      <c r="T85" s="494">
        <f>SUM('DUoS (t)'!T85,'TUoS (t)'!T85,'JSO (t)'!T85)</f>
        <v>0.1036</v>
      </c>
      <c r="U85" s="491">
        <f>SUM('DUoS (t)'!U85,'TUoS (t)'!U85,'JSO (t)'!U85)</f>
        <v>0</v>
      </c>
      <c r="V85" s="492">
        <f>SUM('DUoS (t)'!V85,'TUoS (t)'!V85,'JSO (t)'!V85)</f>
        <v>0</v>
      </c>
      <c r="X85" s="183">
        <f>'Q (t)'!G85</f>
        <v>365</v>
      </c>
      <c r="Y85" s="184">
        <f>'Q (t)'!H85</f>
        <v>0</v>
      </c>
      <c r="Z85" s="178">
        <f>'Q (t)'!I85</f>
        <v>6100</v>
      </c>
      <c r="AA85" s="178">
        <f>'Q (t)'!J85</f>
        <v>0</v>
      </c>
      <c r="AB85" s="179">
        <f>'Q (t)'!K85</f>
        <v>4900</v>
      </c>
      <c r="AC85" s="178">
        <f>'Q (t)'!L85</f>
        <v>0</v>
      </c>
      <c r="AD85" s="178">
        <f>'Q (t)'!M85</f>
        <v>0</v>
      </c>
      <c r="AE85" s="178">
        <f>'Q (t)'!N85</f>
        <v>0</v>
      </c>
      <c r="AF85" s="179">
        <f>'Q (t)'!O85</f>
        <v>0</v>
      </c>
      <c r="AG85" s="178">
        <f>'Q (t)'!P85</f>
        <v>0</v>
      </c>
      <c r="AH85" s="178">
        <f>'Q (t)'!Q85</f>
        <v>0</v>
      </c>
      <c r="AI85" s="179">
        <f>'Q (t)'!R85</f>
        <v>0</v>
      </c>
      <c r="AJ85" s="184">
        <f>'Q (t)'!S85</f>
        <v>968710</v>
      </c>
      <c r="AK85" s="178">
        <f>'Q (t)'!T85</f>
        <v>1090620</v>
      </c>
      <c r="AL85" s="184">
        <f>'Q (t)'!U85</f>
        <v>0</v>
      </c>
      <c r="AM85" s="179">
        <f>'Q (t)'!V85</f>
        <v>0</v>
      </c>
      <c r="AO85" s="183">
        <f t="shared" si="50"/>
        <v>231.67130350000002</v>
      </c>
      <c r="AP85" s="184">
        <f t="shared" si="51"/>
        <v>0</v>
      </c>
      <c r="AQ85" s="178">
        <f t="shared" si="51"/>
        <v>172.63000000000002</v>
      </c>
      <c r="AR85" s="178">
        <f t="shared" si="51"/>
        <v>0</v>
      </c>
      <c r="AS85" s="179">
        <f t="shared" si="51"/>
        <v>86.73</v>
      </c>
      <c r="AT85" s="178">
        <f t="shared" si="51"/>
        <v>0</v>
      </c>
      <c r="AU85" s="178">
        <f t="shared" si="51"/>
        <v>0</v>
      </c>
      <c r="AV85" s="178">
        <f t="shared" si="51"/>
        <v>0</v>
      </c>
      <c r="AW85" s="179">
        <f t="shared" si="51"/>
        <v>0</v>
      </c>
      <c r="AX85" s="178">
        <f t="shared" si="41"/>
        <v>0</v>
      </c>
      <c r="AY85" s="178">
        <f t="shared" si="41"/>
        <v>0</v>
      </c>
      <c r="AZ85" s="179">
        <f t="shared" si="41"/>
        <v>0</v>
      </c>
      <c r="BA85" s="184">
        <f t="shared" si="40"/>
        <v>103.16761499999998</v>
      </c>
      <c r="BB85" s="178">
        <f t="shared" si="40"/>
        <v>112.98823200000001</v>
      </c>
      <c r="BC85" s="184">
        <f t="shared" si="40"/>
        <v>0</v>
      </c>
      <c r="BD85" s="178">
        <f t="shared" si="40"/>
        <v>0</v>
      </c>
      <c r="BE85" s="251">
        <f t="shared" si="52"/>
        <v>1</v>
      </c>
      <c r="BF85" s="252">
        <f t="shared" si="53"/>
        <v>11000</v>
      </c>
      <c r="BH85" s="262">
        <f t="shared" si="45"/>
        <v>231.67130350000002</v>
      </c>
      <c r="BI85" s="262">
        <f t="shared" si="46"/>
        <v>259.36</v>
      </c>
      <c r="BJ85" s="262">
        <f t="shared" si="47"/>
        <v>0</v>
      </c>
      <c r="BK85" s="263">
        <f t="shared" si="48"/>
        <v>216.15584699999999</v>
      </c>
      <c r="BL85" s="269">
        <f t="shared" si="49"/>
        <v>0</v>
      </c>
      <c r="BM85" s="264">
        <f t="shared" si="54"/>
        <v>707.18715050000003</v>
      </c>
      <c r="BO85" s="732">
        <f t="shared" si="55"/>
        <v>64.289740954545451</v>
      </c>
      <c r="BT85" s="137"/>
    </row>
    <row r="86" spans="2:72" ht="15" customHeight="1" x14ac:dyDescent="0.25">
      <c r="B86" s="156">
        <f t="shared" si="26"/>
        <v>17</v>
      </c>
      <c r="C86" s="211"/>
      <c r="D86" s="212"/>
      <c r="E86" s="217"/>
      <c r="G86" s="493">
        <f>SUM('DUoS (t)'!G86,'TUoS (t)'!G86,'JSO (t)'!G86)</f>
        <v>0</v>
      </c>
      <c r="H86" s="490">
        <f>SUM('DUoS (t)'!H86,'TUoS (t)'!H86,'JSO (t)'!H86)</f>
        <v>0</v>
      </c>
      <c r="I86" s="471">
        <f>SUM('DUoS (t)'!I86,'TUoS (t)'!I86,'JSO (t)'!I86)</f>
        <v>0</v>
      </c>
      <c r="J86" s="471">
        <f>SUM('DUoS (t)'!J86,'TUoS (t)'!J86,'JSO (t)'!J86)</f>
        <v>0</v>
      </c>
      <c r="K86" s="472">
        <f>SUM('DUoS (t)'!K86,'TUoS (t)'!K86,'JSO (t)'!K86)</f>
        <v>0</v>
      </c>
      <c r="L86" s="471">
        <f>SUM('DUoS (t)'!L86,'TUoS (t)'!L86,'JSO (t)'!L86)</f>
        <v>0</v>
      </c>
      <c r="M86" s="471">
        <f>SUM('DUoS (t)'!M86,'TUoS (t)'!M86,'JSO (t)'!M86)</f>
        <v>0</v>
      </c>
      <c r="N86" s="471">
        <f>SUM('DUoS (t)'!N86,'TUoS (t)'!N86,'JSO (t)'!N86)</f>
        <v>0</v>
      </c>
      <c r="O86" s="472">
        <f>SUM('DUoS (t)'!O86,'TUoS (t)'!O86,'JSO (t)'!O86)</f>
        <v>0</v>
      </c>
      <c r="P86" s="471">
        <f>SUM('DUoS (t)'!P86,'TUoS (t)'!P86,'JSO (t)'!P86)</f>
        <v>0</v>
      </c>
      <c r="Q86" s="471">
        <f>SUM('DUoS (t)'!Q86,'TUoS (t)'!Q86,'JSO (t)'!Q86)</f>
        <v>0</v>
      </c>
      <c r="R86" s="472">
        <f>SUM('DUoS (t)'!R86,'TUoS (t)'!R86,'JSO (t)'!R86)</f>
        <v>0</v>
      </c>
      <c r="S86" s="490">
        <f>SUM('DUoS (t)'!S86,'TUoS (t)'!S86,'JSO (t)'!S86)</f>
        <v>0</v>
      </c>
      <c r="T86" s="471">
        <f>SUM('DUoS (t)'!T86,'TUoS (t)'!T86,'JSO (t)'!T86)</f>
        <v>0</v>
      </c>
      <c r="U86" s="490">
        <f>SUM('DUoS (t)'!U86,'TUoS (t)'!U86,'JSO (t)'!U86)</f>
        <v>0</v>
      </c>
      <c r="V86" s="472">
        <f>SUM('DUoS (t)'!V86,'TUoS (t)'!V86,'JSO (t)'!V86)</f>
        <v>0</v>
      </c>
      <c r="X86" s="183">
        <f>'Q (t)'!G86</f>
        <v>0</v>
      </c>
      <c r="Y86" s="184">
        <f>'Q (t)'!H86</f>
        <v>0</v>
      </c>
      <c r="Z86" s="178">
        <f>'Q (t)'!I86</f>
        <v>0</v>
      </c>
      <c r="AA86" s="178">
        <f>'Q (t)'!J86</f>
        <v>0</v>
      </c>
      <c r="AB86" s="179">
        <f>'Q (t)'!K86</f>
        <v>0</v>
      </c>
      <c r="AC86" s="178">
        <f>'Q (t)'!L86</f>
        <v>0</v>
      </c>
      <c r="AD86" s="178">
        <f>'Q (t)'!M86</f>
        <v>0</v>
      </c>
      <c r="AE86" s="178">
        <f>'Q (t)'!N86</f>
        <v>0</v>
      </c>
      <c r="AF86" s="179">
        <f>'Q (t)'!O86</f>
        <v>0</v>
      </c>
      <c r="AG86" s="178">
        <f>'Q (t)'!P86</f>
        <v>0</v>
      </c>
      <c r="AH86" s="178">
        <f>'Q (t)'!Q86</f>
        <v>0</v>
      </c>
      <c r="AI86" s="179">
        <f>'Q (t)'!R86</f>
        <v>0</v>
      </c>
      <c r="AJ86" s="184">
        <f>'Q (t)'!S86</f>
        <v>0</v>
      </c>
      <c r="AK86" s="178">
        <f>'Q (t)'!T86</f>
        <v>0</v>
      </c>
      <c r="AL86" s="184">
        <f>'Q (t)'!U86</f>
        <v>0</v>
      </c>
      <c r="AM86" s="179">
        <f>'Q (t)'!V86</f>
        <v>0</v>
      </c>
      <c r="AO86" s="183">
        <f t="shared" si="50"/>
        <v>0</v>
      </c>
      <c r="AP86" s="184">
        <f t="shared" si="51"/>
        <v>0</v>
      </c>
      <c r="AQ86" s="178">
        <f t="shared" si="51"/>
        <v>0</v>
      </c>
      <c r="AR86" s="178">
        <f t="shared" si="51"/>
        <v>0</v>
      </c>
      <c r="AS86" s="179">
        <f t="shared" si="51"/>
        <v>0</v>
      </c>
      <c r="AT86" s="178">
        <f t="shared" si="51"/>
        <v>0</v>
      </c>
      <c r="AU86" s="178">
        <f t="shared" si="51"/>
        <v>0</v>
      </c>
      <c r="AV86" s="178">
        <f t="shared" si="51"/>
        <v>0</v>
      </c>
      <c r="AW86" s="179">
        <f t="shared" si="51"/>
        <v>0</v>
      </c>
      <c r="AX86" s="178">
        <f t="shared" si="41"/>
        <v>0</v>
      </c>
      <c r="AY86" s="178">
        <f t="shared" si="41"/>
        <v>0</v>
      </c>
      <c r="AZ86" s="179">
        <f t="shared" si="41"/>
        <v>0</v>
      </c>
      <c r="BA86" s="184">
        <f t="shared" si="40"/>
        <v>0</v>
      </c>
      <c r="BB86" s="178">
        <f t="shared" si="40"/>
        <v>0</v>
      </c>
      <c r="BC86" s="184">
        <f t="shared" si="40"/>
        <v>0</v>
      </c>
      <c r="BD86" s="178">
        <f t="shared" si="40"/>
        <v>0</v>
      </c>
      <c r="BE86" s="251">
        <f t="shared" si="52"/>
        <v>0</v>
      </c>
      <c r="BF86" s="252">
        <f t="shared" si="53"/>
        <v>0</v>
      </c>
      <c r="BH86" s="262">
        <f t="shared" si="45"/>
        <v>0</v>
      </c>
      <c r="BI86" s="262">
        <f t="shared" si="46"/>
        <v>0</v>
      </c>
      <c r="BJ86" s="262">
        <f t="shared" si="47"/>
        <v>0</v>
      </c>
      <c r="BK86" s="263">
        <f t="shared" si="48"/>
        <v>0</v>
      </c>
      <c r="BL86" s="269">
        <f t="shared" si="49"/>
        <v>0</v>
      </c>
      <c r="BM86" s="264">
        <f t="shared" si="54"/>
        <v>0</v>
      </c>
      <c r="BO86" s="732" t="str">
        <f t="shared" si="55"/>
        <v/>
      </c>
    </row>
    <row r="87" spans="2:72" ht="15" customHeight="1" x14ac:dyDescent="0.25">
      <c r="B87" s="156">
        <f>B86+1</f>
        <v>18</v>
      </c>
      <c r="C87" s="211"/>
      <c r="D87" s="212"/>
      <c r="E87" s="217"/>
      <c r="G87" s="493">
        <f>SUM('DUoS (t)'!G87,'TUoS (t)'!G87,'JSO (t)'!G87)</f>
        <v>0</v>
      </c>
      <c r="H87" s="490">
        <f>SUM('DUoS (t)'!H87,'TUoS (t)'!H87,'JSO (t)'!H87)</f>
        <v>0</v>
      </c>
      <c r="I87" s="471">
        <f>SUM('DUoS (t)'!I87,'TUoS (t)'!I87,'JSO (t)'!I87)</f>
        <v>0</v>
      </c>
      <c r="J87" s="471">
        <f>SUM('DUoS (t)'!J87,'TUoS (t)'!J87,'JSO (t)'!J87)</f>
        <v>0</v>
      </c>
      <c r="K87" s="472">
        <f>SUM('DUoS (t)'!K87,'TUoS (t)'!K87,'JSO (t)'!K87)</f>
        <v>0</v>
      </c>
      <c r="L87" s="471">
        <f>SUM('DUoS (t)'!L87,'TUoS (t)'!L87,'JSO (t)'!L87)</f>
        <v>0</v>
      </c>
      <c r="M87" s="471">
        <f>SUM('DUoS (t)'!M87,'TUoS (t)'!M87,'JSO (t)'!M87)</f>
        <v>0</v>
      </c>
      <c r="N87" s="471">
        <f>SUM('DUoS (t)'!N87,'TUoS (t)'!N87,'JSO (t)'!N87)</f>
        <v>0</v>
      </c>
      <c r="O87" s="472">
        <f>SUM('DUoS (t)'!O87,'TUoS (t)'!O87,'JSO (t)'!O87)</f>
        <v>0</v>
      </c>
      <c r="P87" s="471">
        <f>SUM('DUoS (t)'!P87,'TUoS (t)'!P87,'JSO (t)'!P87)</f>
        <v>0</v>
      </c>
      <c r="Q87" s="471">
        <f>SUM('DUoS (t)'!Q87,'TUoS (t)'!Q87,'JSO (t)'!Q87)</f>
        <v>0</v>
      </c>
      <c r="R87" s="472">
        <f>SUM('DUoS (t)'!R87,'TUoS (t)'!R87,'JSO (t)'!R87)</f>
        <v>0</v>
      </c>
      <c r="S87" s="490">
        <f>SUM('DUoS (t)'!S87,'TUoS (t)'!S87,'JSO (t)'!S87)</f>
        <v>0</v>
      </c>
      <c r="T87" s="471">
        <f>SUM('DUoS (t)'!T87,'TUoS (t)'!T87,'JSO (t)'!T87)</f>
        <v>0</v>
      </c>
      <c r="U87" s="490">
        <f>SUM('DUoS (t)'!U87,'TUoS (t)'!U87,'JSO (t)'!U87)</f>
        <v>0</v>
      </c>
      <c r="V87" s="472">
        <f>SUM('DUoS (t)'!V87,'TUoS (t)'!V87,'JSO (t)'!V87)</f>
        <v>0</v>
      </c>
      <c r="X87" s="183">
        <f>'Q (t)'!G87</f>
        <v>0</v>
      </c>
      <c r="Y87" s="184">
        <f>'Q (t)'!H87</f>
        <v>0</v>
      </c>
      <c r="Z87" s="178">
        <f>'Q (t)'!I87</f>
        <v>0</v>
      </c>
      <c r="AA87" s="178">
        <f>'Q (t)'!J87</f>
        <v>0</v>
      </c>
      <c r="AB87" s="179">
        <f>'Q (t)'!K87</f>
        <v>0</v>
      </c>
      <c r="AC87" s="178">
        <f>'Q (t)'!L87</f>
        <v>0</v>
      </c>
      <c r="AD87" s="178">
        <f>'Q (t)'!M87</f>
        <v>0</v>
      </c>
      <c r="AE87" s="178">
        <f>'Q (t)'!N87</f>
        <v>0</v>
      </c>
      <c r="AF87" s="179">
        <f>'Q (t)'!O87</f>
        <v>0</v>
      </c>
      <c r="AG87" s="178">
        <f>'Q (t)'!P87</f>
        <v>0</v>
      </c>
      <c r="AH87" s="178">
        <f>'Q (t)'!Q87</f>
        <v>0</v>
      </c>
      <c r="AI87" s="179">
        <f>'Q (t)'!R87</f>
        <v>0</v>
      </c>
      <c r="AJ87" s="184">
        <f>'Q (t)'!S87</f>
        <v>0</v>
      </c>
      <c r="AK87" s="178">
        <f>'Q (t)'!T87</f>
        <v>0</v>
      </c>
      <c r="AL87" s="184">
        <f>'Q (t)'!U87</f>
        <v>0</v>
      </c>
      <c r="AM87" s="179">
        <f>'Q (t)'!V87</f>
        <v>0</v>
      </c>
      <c r="AO87" s="183">
        <f t="shared" si="50"/>
        <v>0</v>
      </c>
      <c r="AP87" s="184">
        <f t="shared" si="51"/>
        <v>0</v>
      </c>
      <c r="AQ87" s="178">
        <f t="shared" si="51"/>
        <v>0</v>
      </c>
      <c r="AR87" s="178">
        <f t="shared" si="51"/>
        <v>0</v>
      </c>
      <c r="AS87" s="179">
        <f t="shared" si="51"/>
        <v>0</v>
      </c>
      <c r="AT87" s="178">
        <f t="shared" si="51"/>
        <v>0</v>
      </c>
      <c r="AU87" s="178">
        <f t="shared" si="51"/>
        <v>0</v>
      </c>
      <c r="AV87" s="178">
        <f t="shared" si="51"/>
        <v>0</v>
      </c>
      <c r="AW87" s="179">
        <f t="shared" si="51"/>
        <v>0</v>
      </c>
      <c r="AX87" s="178">
        <f t="shared" si="41"/>
        <v>0</v>
      </c>
      <c r="AY87" s="178">
        <f t="shared" si="41"/>
        <v>0</v>
      </c>
      <c r="AZ87" s="179">
        <f t="shared" si="41"/>
        <v>0</v>
      </c>
      <c r="BA87" s="184">
        <f t="shared" si="40"/>
        <v>0</v>
      </c>
      <c r="BB87" s="178">
        <f t="shared" si="40"/>
        <v>0</v>
      </c>
      <c r="BC87" s="184">
        <f t="shared" si="40"/>
        <v>0</v>
      </c>
      <c r="BD87" s="178">
        <f t="shared" si="40"/>
        <v>0</v>
      </c>
      <c r="BE87" s="251">
        <f t="shared" si="52"/>
        <v>0</v>
      </c>
      <c r="BF87" s="252">
        <f t="shared" si="53"/>
        <v>0</v>
      </c>
      <c r="BH87" s="262">
        <f t="shared" si="45"/>
        <v>0</v>
      </c>
      <c r="BI87" s="262">
        <f t="shared" si="46"/>
        <v>0</v>
      </c>
      <c r="BJ87" s="262">
        <f t="shared" si="47"/>
        <v>0</v>
      </c>
      <c r="BK87" s="263">
        <f t="shared" si="48"/>
        <v>0</v>
      </c>
      <c r="BL87" s="269">
        <f t="shared" si="49"/>
        <v>0</v>
      </c>
      <c r="BM87" s="264">
        <f t="shared" si="54"/>
        <v>0</v>
      </c>
      <c r="BO87" s="732" t="str">
        <f t="shared" si="55"/>
        <v/>
      </c>
    </row>
    <row r="88" spans="2:72" ht="15" customHeight="1" x14ac:dyDescent="0.25">
      <c r="B88" s="156">
        <f t="shared" ref="B88:B91" si="77">B86+1</f>
        <v>18</v>
      </c>
      <c r="C88" s="211"/>
      <c r="D88" s="212"/>
      <c r="E88" s="217"/>
      <c r="G88" s="493">
        <f>SUM('DUoS (t)'!G88,'TUoS (t)'!G88,'JSO (t)'!G88)</f>
        <v>0</v>
      </c>
      <c r="H88" s="490">
        <f>SUM('DUoS (t)'!H88,'TUoS (t)'!H88,'JSO (t)'!H88)</f>
        <v>0</v>
      </c>
      <c r="I88" s="471">
        <f>SUM('DUoS (t)'!I88,'TUoS (t)'!I88,'JSO (t)'!I88)</f>
        <v>0</v>
      </c>
      <c r="J88" s="471">
        <f>SUM('DUoS (t)'!J88,'TUoS (t)'!J88,'JSO (t)'!J88)</f>
        <v>0</v>
      </c>
      <c r="K88" s="472">
        <f>SUM('DUoS (t)'!K88,'TUoS (t)'!K88,'JSO (t)'!K88)</f>
        <v>0</v>
      </c>
      <c r="L88" s="471">
        <f>SUM('DUoS (t)'!L88,'TUoS (t)'!L88,'JSO (t)'!L88)</f>
        <v>0</v>
      </c>
      <c r="M88" s="471">
        <f>SUM('DUoS (t)'!M88,'TUoS (t)'!M88,'JSO (t)'!M88)</f>
        <v>0</v>
      </c>
      <c r="N88" s="471">
        <f>SUM('DUoS (t)'!N88,'TUoS (t)'!N88,'JSO (t)'!N88)</f>
        <v>0</v>
      </c>
      <c r="O88" s="472">
        <f>SUM('DUoS (t)'!O88,'TUoS (t)'!O88,'JSO (t)'!O88)</f>
        <v>0</v>
      </c>
      <c r="P88" s="471">
        <f>SUM('DUoS (t)'!P88,'TUoS (t)'!P88,'JSO (t)'!P88)</f>
        <v>0</v>
      </c>
      <c r="Q88" s="471">
        <f>SUM('DUoS (t)'!Q88,'TUoS (t)'!Q88,'JSO (t)'!Q88)</f>
        <v>0</v>
      </c>
      <c r="R88" s="472">
        <f>SUM('DUoS (t)'!R88,'TUoS (t)'!R88,'JSO (t)'!R88)</f>
        <v>0</v>
      </c>
      <c r="S88" s="490">
        <f>SUM('DUoS (t)'!S88,'TUoS (t)'!S88,'JSO (t)'!S88)</f>
        <v>0</v>
      </c>
      <c r="T88" s="471">
        <f>SUM('DUoS (t)'!T88,'TUoS (t)'!T88,'JSO (t)'!T88)</f>
        <v>0</v>
      </c>
      <c r="U88" s="490">
        <f>SUM('DUoS (t)'!U88,'TUoS (t)'!U88,'JSO (t)'!U88)</f>
        <v>0</v>
      </c>
      <c r="V88" s="472">
        <f>SUM('DUoS (t)'!V88,'TUoS (t)'!V88,'JSO (t)'!V88)</f>
        <v>0</v>
      </c>
      <c r="X88" s="183">
        <f>'Q (t)'!G88</f>
        <v>0</v>
      </c>
      <c r="Y88" s="184">
        <f>'Q (t)'!H88</f>
        <v>0</v>
      </c>
      <c r="Z88" s="178">
        <f>'Q (t)'!I88</f>
        <v>0</v>
      </c>
      <c r="AA88" s="178">
        <f>'Q (t)'!J88</f>
        <v>0</v>
      </c>
      <c r="AB88" s="179">
        <f>'Q (t)'!K88</f>
        <v>0</v>
      </c>
      <c r="AC88" s="178">
        <f>'Q (t)'!L88</f>
        <v>0</v>
      </c>
      <c r="AD88" s="178">
        <f>'Q (t)'!M88</f>
        <v>0</v>
      </c>
      <c r="AE88" s="178">
        <f>'Q (t)'!N88</f>
        <v>0</v>
      </c>
      <c r="AF88" s="179">
        <f>'Q (t)'!O88</f>
        <v>0</v>
      </c>
      <c r="AG88" s="178">
        <f>'Q (t)'!P88</f>
        <v>0</v>
      </c>
      <c r="AH88" s="178">
        <f>'Q (t)'!Q88</f>
        <v>0</v>
      </c>
      <c r="AI88" s="179">
        <f>'Q (t)'!R88</f>
        <v>0</v>
      </c>
      <c r="AJ88" s="184">
        <f>'Q (t)'!S88</f>
        <v>0</v>
      </c>
      <c r="AK88" s="178">
        <f>'Q (t)'!T88</f>
        <v>0</v>
      </c>
      <c r="AL88" s="184">
        <f>'Q (t)'!U88</f>
        <v>0</v>
      </c>
      <c r="AM88" s="179">
        <f>'Q (t)'!V88</f>
        <v>0</v>
      </c>
      <c r="AO88" s="183">
        <f t="shared" si="50"/>
        <v>0</v>
      </c>
      <c r="AP88" s="184">
        <f t="shared" si="51"/>
        <v>0</v>
      </c>
      <c r="AQ88" s="178">
        <f t="shared" si="51"/>
        <v>0</v>
      </c>
      <c r="AR88" s="178">
        <f t="shared" si="51"/>
        <v>0</v>
      </c>
      <c r="AS88" s="179">
        <f t="shared" si="51"/>
        <v>0</v>
      </c>
      <c r="AT88" s="178">
        <f t="shared" si="51"/>
        <v>0</v>
      </c>
      <c r="AU88" s="178">
        <f t="shared" si="51"/>
        <v>0</v>
      </c>
      <c r="AV88" s="178">
        <f t="shared" si="51"/>
        <v>0</v>
      </c>
      <c r="AW88" s="179">
        <f t="shared" si="51"/>
        <v>0</v>
      </c>
      <c r="AX88" s="178">
        <f t="shared" si="41"/>
        <v>0</v>
      </c>
      <c r="AY88" s="178">
        <f t="shared" si="41"/>
        <v>0</v>
      </c>
      <c r="AZ88" s="179">
        <f t="shared" si="41"/>
        <v>0</v>
      </c>
      <c r="BA88" s="184">
        <f t="shared" si="40"/>
        <v>0</v>
      </c>
      <c r="BB88" s="178">
        <f t="shared" si="40"/>
        <v>0</v>
      </c>
      <c r="BC88" s="184">
        <f t="shared" si="40"/>
        <v>0</v>
      </c>
      <c r="BD88" s="178">
        <f t="shared" si="40"/>
        <v>0</v>
      </c>
      <c r="BE88" s="251">
        <f t="shared" si="52"/>
        <v>0</v>
      </c>
      <c r="BF88" s="252">
        <f t="shared" si="53"/>
        <v>0</v>
      </c>
      <c r="BH88" s="262">
        <f t="shared" si="45"/>
        <v>0</v>
      </c>
      <c r="BI88" s="262">
        <f t="shared" si="46"/>
        <v>0</v>
      </c>
      <c r="BJ88" s="262">
        <f t="shared" si="47"/>
        <v>0</v>
      </c>
      <c r="BK88" s="263">
        <f t="shared" si="48"/>
        <v>0</v>
      </c>
      <c r="BL88" s="269">
        <f t="shared" si="49"/>
        <v>0</v>
      </c>
      <c r="BM88" s="264">
        <f t="shared" si="54"/>
        <v>0</v>
      </c>
      <c r="BO88" s="732" t="str">
        <f t="shared" si="55"/>
        <v/>
      </c>
    </row>
    <row r="89" spans="2:72" ht="15" customHeight="1" x14ac:dyDescent="0.25">
      <c r="B89" s="156">
        <f t="shared" si="77"/>
        <v>19</v>
      </c>
      <c r="C89" s="211"/>
      <c r="D89" s="212"/>
      <c r="E89" s="217"/>
      <c r="G89" s="493">
        <f>SUM('DUoS (t)'!G89,'TUoS (t)'!G89,'JSO (t)'!G89)</f>
        <v>0</v>
      </c>
      <c r="H89" s="490">
        <f>SUM('DUoS (t)'!H89,'TUoS (t)'!H89,'JSO (t)'!H89)</f>
        <v>0</v>
      </c>
      <c r="I89" s="471">
        <f>SUM('DUoS (t)'!I89,'TUoS (t)'!I89,'JSO (t)'!I89)</f>
        <v>0</v>
      </c>
      <c r="J89" s="471">
        <f>SUM('DUoS (t)'!J89,'TUoS (t)'!J89,'JSO (t)'!J89)</f>
        <v>0</v>
      </c>
      <c r="K89" s="472">
        <f>SUM('DUoS (t)'!K89,'TUoS (t)'!K89,'JSO (t)'!K89)</f>
        <v>0</v>
      </c>
      <c r="L89" s="471">
        <f>SUM('DUoS (t)'!L89,'TUoS (t)'!L89,'JSO (t)'!L89)</f>
        <v>0</v>
      </c>
      <c r="M89" s="471">
        <f>SUM('DUoS (t)'!M89,'TUoS (t)'!M89,'JSO (t)'!M89)</f>
        <v>0</v>
      </c>
      <c r="N89" s="471">
        <f>SUM('DUoS (t)'!N89,'TUoS (t)'!N89,'JSO (t)'!N89)</f>
        <v>0</v>
      </c>
      <c r="O89" s="472">
        <f>SUM('DUoS (t)'!O89,'TUoS (t)'!O89,'JSO (t)'!O89)</f>
        <v>0</v>
      </c>
      <c r="P89" s="471">
        <f>SUM('DUoS (t)'!P89,'TUoS (t)'!P89,'JSO (t)'!P89)</f>
        <v>0</v>
      </c>
      <c r="Q89" s="471">
        <f>SUM('DUoS (t)'!Q89,'TUoS (t)'!Q89,'JSO (t)'!Q89)</f>
        <v>0</v>
      </c>
      <c r="R89" s="472">
        <f>SUM('DUoS (t)'!R89,'TUoS (t)'!R89,'JSO (t)'!R89)</f>
        <v>0</v>
      </c>
      <c r="S89" s="490">
        <f>SUM('DUoS (t)'!S89,'TUoS (t)'!S89,'JSO (t)'!S89)</f>
        <v>0</v>
      </c>
      <c r="T89" s="471">
        <f>SUM('DUoS (t)'!T89,'TUoS (t)'!T89,'JSO (t)'!T89)</f>
        <v>0</v>
      </c>
      <c r="U89" s="490">
        <f>SUM('DUoS (t)'!U89,'TUoS (t)'!U89,'JSO (t)'!U89)</f>
        <v>0</v>
      </c>
      <c r="V89" s="472">
        <f>SUM('DUoS (t)'!V89,'TUoS (t)'!V89,'JSO (t)'!V89)</f>
        <v>0</v>
      </c>
      <c r="X89" s="183">
        <f>'Q (t)'!G89</f>
        <v>0</v>
      </c>
      <c r="Y89" s="184">
        <f>'Q (t)'!H89</f>
        <v>0</v>
      </c>
      <c r="Z89" s="178">
        <f>'Q (t)'!I89</f>
        <v>0</v>
      </c>
      <c r="AA89" s="178">
        <f>'Q (t)'!J89</f>
        <v>0</v>
      </c>
      <c r="AB89" s="179">
        <f>'Q (t)'!K89</f>
        <v>0</v>
      </c>
      <c r="AC89" s="178">
        <f>'Q (t)'!L89</f>
        <v>0</v>
      </c>
      <c r="AD89" s="178">
        <f>'Q (t)'!M89</f>
        <v>0</v>
      </c>
      <c r="AE89" s="178">
        <f>'Q (t)'!N89</f>
        <v>0</v>
      </c>
      <c r="AF89" s="179">
        <f>'Q (t)'!O89</f>
        <v>0</v>
      </c>
      <c r="AG89" s="178">
        <f>'Q (t)'!P89</f>
        <v>0</v>
      </c>
      <c r="AH89" s="178">
        <f>'Q (t)'!Q89</f>
        <v>0</v>
      </c>
      <c r="AI89" s="179">
        <f>'Q (t)'!R89</f>
        <v>0</v>
      </c>
      <c r="AJ89" s="184">
        <f>'Q (t)'!S89</f>
        <v>0</v>
      </c>
      <c r="AK89" s="178">
        <f>'Q (t)'!T89</f>
        <v>0</v>
      </c>
      <c r="AL89" s="184">
        <f>'Q (t)'!U89</f>
        <v>0</v>
      </c>
      <c r="AM89" s="179">
        <f>'Q (t)'!V89</f>
        <v>0</v>
      </c>
      <c r="AO89" s="183">
        <f t="shared" si="50"/>
        <v>0</v>
      </c>
      <c r="AP89" s="184">
        <f t="shared" si="51"/>
        <v>0</v>
      </c>
      <c r="AQ89" s="178">
        <f t="shared" si="51"/>
        <v>0</v>
      </c>
      <c r="AR89" s="178">
        <f t="shared" si="51"/>
        <v>0</v>
      </c>
      <c r="AS89" s="179">
        <f t="shared" si="51"/>
        <v>0</v>
      </c>
      <c r="AT89" s="178">
        <f t="shared" si="51"/>
        <v>0</v>
      </c>
      <c r="AU89" s="178">
        <f t="shared" si="51"/>
        <v>0</v>
      </c>
      <c r="AV89" s="178">
        <f t="shared" si="51"/>
        <v>0</v>
      </c>
      <c r="AW89" s="179">
        <f t="shared" si="51"/>
        <v>0</v>
      </c>
      <c r="AX89" s="178">
        <f t="shared" si="41"/>
        <v>0</v>
      </c>
      <c r="AY89" s="178">
        <f t="shared" si="41"/>
        <v>0</v>
      </c>
      <c r="AZ89" s="179">
        <f t="shared" si="41"/>
        <v>0</v>
      </c>
      <c r="BA89" s="184">
        <f t="shared" si="40"/>
        <v>0</v>
      </c>
      <c r="BB89" s="178">
        <f t="shared" si="40"/>
        <v>0</v>
      </c>
      <c r="BC89" s="184">
        <f t="shared" si="40"/>
        <v>0</v>
      </c>
      <c r="BD89" s="178">
        <f t="shared" si="40"/>
        <v>0</v>
      </c>
      <c r="BE89" s="251">
        <f t="shared" si="52"/>
        <v>0</v>
      </c>
      <c r="BF89" s="252">
        <f t="shared" si="53"/>
        <v>0</v>
      </c>
      <c r="BH89" s="262">
        <f t="shared" si="45"/>
        <v>0</v>
      </c>
      <c r="BI89" s="262">
        <f t="shared" si="46"/>
        <v>0</v>
      </c>
      <c r="BJ89" s="262">
        <f t="shared" si="47"/>
        <v>0</v>
      </c>
      <c r="BK89" s="263">
        <f t="shared" si="48"/>
        <v>0</v>
      </c>
      <c r="BL89" s="269">
        <f t="shared" si="49"/>
        <v>0</v>
      </c>
      <c r="BM89" s="264">
        <f t="shared" si="54"/>
        <v>0</v>
      </c>
      <c r="BO89" s="732" t="str">
        <f t="shared" si="55"/>
        <v/>
      </c>
    </row>
    <row r="90" spans="2:72" ht="15" customHeight="1" x14ac:dyDescent="0.25">
      <c r="B90" s="156">
        <f t="shared" si="77"/>
        <v>19</v>
      </c>
      <c r="C90" s="211"/>
      <c r="D90" s="212"/>
      <c r="E90" s="217"/>
      <c r="G90" s="493">
        <f>SUM('DUoS (t)'!G90,'TUoS (t)'!G90,'JSO (t)'!G90)</f>
        <v>0</v>
      </c>
      <c r="H90" s="490">
        <f>SUM('DUoS (t)'!H90,'TUoS (t)'!H90,'JSO (t)'!H90)</f>
        <v>0</v>
      </c>
      <c r="I90" s="471">
        <f>SUM('DUoS (t)'!I90,'TUoS (t)'!I90,'JSO (t)'!I90)</f>
        <v>0</v>
      </c>
      <c r="J90" s="471">
        <f>SUM('DUoS (t)'!J90,'TUoS (t)'!J90,'JSO (t)'!J90)</f>
        <v>0</v>
      </c>
      <c r="K90" s="472">
        <f>SUM('DUoS (t)'!K90,'TUoS (t)'!K90,'JSO (t)'!K90)</f>
        <v>0</v>
      </c>
      <c r="L90" s="471">
        <f>SUM('DUoS (t)'!L90,'TUoS (t)'!L90,'JSO (t)'!L90)</f>
        <v>0</v>
      </c>
      <c r="M90" s="471">
        <f>SUM('DUoS (t)'!M90,'TUoS (t)'!M90,'JSO (t)'!M90)</f>
        <v>0</v>
      </c>
      <c r="N90" s="471">
        <f>SUM('DUoS (t)'!N90,'TUoS (t)'!N90,'JSO (t)'!N90)</f>
        <v>0</v>
      </c>
      <c r="O90" s="472">
        <f>SUM('DUoS (t)'!O90,'TUoS (t)'!O90,'JSO (t)'!O90)</f>
        <v>0</v>
      </c>
      <c r="P90" s="471">
        <f>SUM('DUoS (t)'!P90,'TUoS (t)'!P90,'JSO (t)'!P90)</f>
        <v>0</v>
      </c>
      <c r="Q90" s="471">
        <f>SUM('DUoS (t)'!Q90,'TUoS (t)'!Q90,'JSO (t)'!Q90)</f>
        <v>0</v>
      </c>
      <c r="R90" s="472">
        <f>SUM('DUoS (t)'!R90,'TUoS (t)'!R90,'JSO (t)'!R90)</f>
        <v>0</v>
      </c>
      <c r="S90" s="490">
        <f>SUM('DUoS (t)'!S90,'TUoS (t)'!S90,'JSO (t)'!S90)</f>
        <v>0</v>
      </c>
      <c r="T90" s="471">
        <f>SUM('DUoS (t)'!T90,'TUoS (t)'!T90,'JSO (t)'!T90)</f>
        <v>0</v>
      </c>
      <c r="U90" s="490">
        <f>SUM('DUoS (t)'!U90,'TUoS (t)'!U90,'JSO (t)'!U90)</f>
        <v>0</v>
      </c>
      <c r="V90" s="472">
        <f>SUM('DUoS (t)'!V90,'TUoS (t)'!V90,'JSO (t)'!V90)</f>
        <v>0</v>
      </c>
      <c r="X90" s="183">
        <f>'Q (t)'!G90</f>
        <v>0</v>
      </c>
      <c r="Y90" s="184">
        <f>'Q (t)'!H90</f>
        <v>0</v>
      </c>
      <c r="Z90" s="178">
        <f>'Q (t)'!I90</f>
        <v>0</v>
      </c>
      <c r="AA90" s="178">
        <f>'Q (t)'!J90</f>
        <v>0</v>
      </c>
      <c r="AB90" s="179">
        <f>'Q (t)'!K90</f>
        <v>0</v>
      </c>
      <c r="AC90" s="178">
        <f>'Q (t)'!L90</f>
        <v>0</v>
      </c>
      <c r="AD90" s="178">
        <f>'Q (t)'!M90</f>
        <v>0</v>
      </c>
      <c r="AE90" s="178">
        <f>'Q (t)'!N90</f>
        <v>0</v>
      </c>
      <c r="AF90" s="179">
        <f>'Q (t)'!O90</f>
        <v>0</v>
      </c>
      <c r="AG90" s="178">
        <f>'Q (t)'!P90</f>
        <v>0</v>
      </c>
      <c r="AH90" s="178">
        <f>'Q (t)'!Q90</f>
        <v>0</v>
      </c>
      <c r="AI90" s="179">
        <f>'Q (t)'!R90</f>
        <v>0</v>
      </c>
      <c r="AJ90" s="184">
        <f>'Q (t)'!S90</f>
        <v>0</v>
      </c>
      <c r="AK90" s="178">
        <f>'Q (t)'!T90</f>
        <v>0</v>
      </c>
      <c r="AL90" s="184">
        <f>'Q (t)'!U90</f>
        <v>0</v>
      </c>
      <c r="AM90" s="179">
        <f>'Q (t)'!V90</f>
        <v>0</v>
      </c>
      <c r="AO90" s="183">
        <f t="shared" si="50"/>
        <v>0</v>
      </c>
      <c r="AP90" s="184">
        <f t="shared" si="51"/>
        <v>0</v>
      </c>
      <c r="AQ90" s="178">
        <f t="shared" si="51"/>
        <v>0</v>
      </c>
      <c r="AR90" s="178">
        <f t="shared" si="51"/>
        <v>0</v>
      </c>
      <c r="AS90" s="179">
        <f t="shared" si="51"/>
        <v>0</v>
      </c>
      <c r="AT90" s="178">
        <f t="shared" si="51"/>
        <v>0</v>
      </c>
      <c r="AU90" s="178">
        <f t="shared" si="51"/>
        <v>0</v>
      </c>
      <c r="AV90" s="178">
        <f t="shared" si="51"/>
        <v>0</v>
      </c>
      <c r="AW90" s="179">
        <f t="shared" si="51"/>
        <v>0</v>
      </c>
      <c r="AX90" s="178">
        <f t="shared" si="41"/>
        <v>0</v>
      </c>
      <c r="AY90" s="178">
        <f t="shared" si="41"/>
        <v>0</v>
      </c>
      <c r="AZ90" s="179">
        <f t="shared" si="41"/>
        <v>0</v>
      </c>
      <c r="BA90" s="184">
        <f t="shared" si="40"/>
        <v>0</v>
      </c>
      <c r="BB90" s="178">
        <f t="shared" si="40"/>
        <v>0</v>
      </c>
      <c r="BC90" s="184">
        <f t="shared" si="40"/>
        <v>0</v>
      </c>
      <c r="BD90" s="178">
        <f t="shared" si="40"/>
        <v>0</v>
      </c>
      <c r="BE90" s="251">
        <f t="shared" si="52"/>
        <v>0</v>
      </c>
      <c r="BF90" s="252">
        <f t="shared" si="53"/>
        <v>0</v>
      </c>
      <c r="BH90" s="262">
        <f t="shared" si="45"/>
        <v>0</v>
      </c>
      <c r="BI90" s="262">
        <f t="shared" si="46"/>
        <v>0</v>
      </c>
      <c r="BJ90" s="262">
        <f t="shared" si="47"/>
        <v>0</v>
      </c>
      <c r="BK90" s="263">
        <f t="shared" si="48"/>
        <v>0</v>
      </c>
      <c r="BL90" s="269">
        <f t="shared" si="49"/>
        <v>0</v>
      </c>
      <c r="BM90" s="264">
        <f t="shared" si="54"/>
        <v>0</v>
      </c>
      <c r="BO90" s="732" t="str">
        <f t="shared" si="55"/>
        <v/>
      </c>
    </row>
    <row r="91" spans="2:72" ht="15" customHeight="1" x14ac:dyDescent="0.25">
      <c r="B91" s="162">
        <f t="shared" si="77"/>
        <v>20</v>
      </c>
      <c r="C91" s="214"/>
      <c r="D91" s="215"/>
      <c r="E91" s="218"/>
      <c r="G91" s="509">
        <f>SUM('DUoS (t)'!G91,'TUoS (t)'!G91,'JSO (t)'!G91)</f>
        <v>0</v>
      </c>
      <c r="H91" s="502">
        <f>SUM('DUoS (t)'!H91,'TUoS (t)'!H91,'JSO (t)'!H91)</f>
        <v>0</v>
      </c>
      <c r="I91" s="498">
        <f>SUM('DUoS (t)'!I91,'TUoS (t)'!I91,'JSO (t)'!I91)</f>
        <v>0</v>
      </c>
      <c r="J91" s="498">
        <f>SUM('DUoS (t)'!J91,'TUoS (t)'!J91,'JSO (t)'!J91)</f>
        <v>0</v>
      </c>
      <c r="K91" s="499">
        <f>SUM('DUoS (t)'!K91,'TUoS (t)'!K91,'JSO (t)'!K91)</f>
        <v>0</v>
      </c>
      <c r="L91" s="498">
        <f>SUM('DUoS (t)'!L91,'TUoS (t)'!L91,'JSO (t)'!L91)</f>
        <v>0</v>
      </c>
      <c r="M91" s="498">
        <f>SUM('DUoS (t)'!M91,'TUoS (t)'!M91,'JSO (t)'!M91)</f>
        <v>0</v>
      </c>
      <c r="N91" s="498">
        <f>SUM('DUoS (t)'!N91,'TUoS (t)'!N91,'JSO (t)'!N91)</f>
        <v>0</v>
      </c>
      <c r="O91" s="499">
        <f>SUM('DUoS (t)'!O91,'TUoS (t)'!O91,'JSO (t)'!O91)</f>
        <v>0</v>
      </c>
      <c r="P91" s="498">
        <f>SUM('DUoS (t)'!P91,'TUoS (t)'!P91,'JSO (t)'!P91)</f>
        <v>0</v>
      </c>
      <c r="Q91" s="498">
        <f>SUM('DUoS (t)'!Q91,'TUoS (t)'!Q91,'JSO (t)'!Q91)</f>
        <v>0</v>
      </c>
      <c r="R91" s="499">
        <f>SUM('DUoS (t)'!R91,'TUoS (t)'!R91,'JSO (t)'!R91)</f>
        <v>0</v>
      </c>
      <c r="S91" s="502">
        <f>SUM('DUoS (t)'!S91,'TUoS (t)'!S91,'JSO (t)'!S91)</f>
        <v>0</v>
      </c>
      <c r="T91" s="498">
        <f>SUM('DUoS (t)'!T91,'TUoS (t)'!T91,'JSO (t)'!T91)</f>
        <v>0</v>
      </c>
      <c r="U91" s="502">
        <f>SUM('DUoS (t)'!U91,'TUoS (t)'!U91,'JSO (t)'!U91)</f>
        <v>0</v>
      </c>
      <c r="V91" s="499">
        <f>SUM('DUoS (t)'!V91,'TUoS (t)'!V91,'JSO (t)'!V91)</f>
        <v>0</v>
      </c>
      <c r="X91" s="190">
        <f>'Q (t)'!G91</f>
        <v>0</v>
      </c>
      <c r="Y91" s="197">
        <f>'Q (t)'!H91</f>
        <v>0</v>
      </c>
      <c r="Z91" s="192">
        <f>'Q (t)'!I91</f>
        <v>0</v>
      </c>
      <c r="AA91" s="192">
        <f>'Q (t)'!J91</f>
        <v>0</v>
      </c>
      <c r="AB91" s="193">
        <f>'Q (t)'!K91</f>
        <v>0</v>
      </c>
      <c r="AC91" s="192">
        <f>'Q (t)'!L91</f>
        <v>0</v>
      </c>
      <c r="AD91" s="192">
        <f>'Q (t)'!M91</f>
        <v>0</v>
      </c>
      <c r="AE91" s="192">
        <f>'Q (t)'!N91</f>
        <v>0</v>
      </c>
      <c r="AF91" s="193">
        <f>'Q (t)'!O91</f>
        <v>0</v>
      </c>
      <c r="AG91" s="192">
        <f>'Q (t)'!P91</f>
        <v>0</v>
      </c>
      <c r="AH91" s="192">
        <f>'Q (t)'!Q91</f>
        <v>0</v>
      </c>
      <c r="AI91" s="193">
        <f>'Q (t)'!R91</f>
        <v>0</v>
      </c>
      <c r="AJ91" s="197">
        <f>'Q (t)'!S91</f>
        <v>0</v>
      </c>
      <c r="AK91" s="192">
        <f>'Q (t)'!T91</f>
        <v>0</v>
      </c>
      <c r="AL91" s="197">
        <f>'Q (t)'!U91</f>
        <v>0</v>
      </c>
      <c r="AM91" s="193">
        <f>'Q (t)'!V91</f>
        <v>0</v>
      </c>
      <c r="AO91" s="190">
        <f t="shared" si="50"/>
        <v>0</v>
      </c>
      <c r="AP91" s="197">
        <f t="shared" si="51"/>
        <v>0</v>
      </c>
      <c r="AQ91" s="192">
        <f t="shared" si="51"/>
        <v>0</v>
      </c>
      <c r="AR91" s="192">
        <f t="shared" si="51"/>
        <v>0</v>
      </c>
      <c r="AS91" s="193">
        <f t="shared" si="51"/>
        <v>0</v>
      </c>
      <c r="AT91" s="192">
        <f t="shared" si="51"/>
        <v>0</v>
      </c>
      <c r="AU91" s="192">
        <f t="shared" si="51"/>
        <v>0</v>
      </c>
      <c r="AV91" s="192">
        <f t="shared" si="51"/>
        <v>0</v>
      </c>
      <c r="AW91" s="193">
        <f t="shared" si="51"/>
        <v>0</v>
      </c>
      <c r="AX91" s="192">
        <f t="shared" si="41"/>
        <v>0</v>
      </c>
      <c r="AY91" s="192">
        <f t="shared" si="41"/>
        <v>0</v>
      </c>
      <c r="AZ91" s="193">
        <f t="shared" si="41"/>
        <v>0</v>
      </c>
      <c r="BA91" s="197">
        <f t="shared" si="40"/>
        <v>0</v>
      </c>
      <c r="BB91" s="192">
        <f t="shared" si="40"/>
        <v>0</v>
      </c>
      <c r="BC91" s="197">
        <f t="shared" si="40"/>
        <v>0</v>
      </c>
      <c r="BD91" s="192">
        <f t="shared" si="40"/>
        <v>0</v>
      </c>
      <c r="BE91" s="253">
        <f t="shared" si="52"/>
        <v>0</v>
      </c>
      <c r="BF91" s="254">
        <f t="shared" si="53"/>
        <v>0</v>
      </c>
      <c r="BH91" s="262">
        <f t="shared" ref="BH91" si="78">SUM(AO91)</f>
        <v>0</v>
      </c>
      <c r="BI91" s="262">
        <f t="shared" ref="BI91" si="79">SUM(AP91:AS91)</f>
        <v>0</v>
      </c>
      <c r="BJ91" s="262">
        <f t="shared" ref="BJ91" si="80">SUM(AT91:AW91)</f>
        <v>0</v>
      </c>
      <c r="BK91" s="263">
        <f t="shared" ref="BK91" si="81">SUM(AX91:BB91)</f>
        <v>0</v>
      </c>
      <c r="BL91" s="269">
        <f t="shared" ref="BL91" si="82">SUM(BC91:BD91)</f>
        <v>0</v>
      </c>
      <c r="BM91" s="264">
        <f t="shared" si="54"/>
        <v>0</v>
      </c>
      <c r="BO91" s="732" t="str">
        <f t="shared" si="55"/>
        <v/>
      </c>
    </row>
    <row r="92" spans="2:72" ht="15" customHeight="1" x14ac:dyDescent="0.25">
      <c r="B92" s="172" t="s">
        <v>112</v>
      </c>
      <c r="C92" s="126" t="s">
        <v>113</v>
      </c>
      <c r="D92" s="126"/>
      <c r="E92" s="219"/>
      <c r="G92" s="493">
        <f>SUM('DUoS (t)'!G92,'TUoS (t)'!G92,'JSO (t)'!G92)</f>
        <v>0</v>
      </c>
      <c r="H92" s="490">
        <f>SUM('DUoS (t)'!H92,'TUoS (t)'!H92,'JSO (t)'!H92)</f>
        <v>0</v>
      </c>
      <c r="I92" s="471">
        <f>SUM('DUoS (t)'!I92,'TUoS (t)'!I92,'JSO (t)'!I92)</f>
        <v>0</v>
      </c>
      <c r="J92" s="471">
        <f>SUM('DUoS (t)'!J92,'TUoS (t)'!J92,'JSO (t)'!J92)</f>
        <v>0</v>
      </c>
      <c r="K92" s="472">
        <f>SUM('DUoS (t)'!K92,'TUoS (t)'!K92,'JSO (t)'!K92)</f>
        <v>0</v>
      </c>
      <c r="L92" s="471">
        <f>SUM('DUoS (t)'!L92,'TUoS (t)'!L92,'JSO (t)'!L92)</f>
        <v>0</v>
      </c>
      <c r="M92" s="471">
        <f>SUM('DUoS (t)'!M92,'TUoS (t)'!M92,'JSO (t)'!M92)</f>
        <v>0</v>
      </c>
      <c r="N92" s="471">
        <f>SUM('DUoS (t)'!N92,'TUoS (t)'!N92,'JSO (t)'!N92)</f>
        <v>0</v>
      </c>
      <c r="O92" s="472">
        <f>SUM('DUoS (t)'!O92,'TUoS (t)'!O92,'JSO (t)'!O92)</f>
        <v>0</v>
      </c>
      <c r="P92" s="471">
        <f>SUM('DUoS (t)'!P92,'TUoS (t)'!P92,'JSO (t)'!P92)</f>
        <v>0</v>
      </c>
      <c r="Q92" s="471">
        <f>SUM('DUoS (t)'!Q92,'TUoS (t)'!Q92,'JSO (t)'!Q92)</f>
        <v>0</v>
      </c>
      <c r="R92" s="472">
        <f>SUM('DUoS (t)'!R92,'TUoS (t)'!R92,'JSO (t)'!R92)</f>
        <v>0</v>
      </c>
      <c r="S92" s="490">
        <f>SUM('DUoS (t)'!S92,'TUoS (t)'!S92,'JSO (t)'!S92)</f>
        <v>0</v>
      </c>
      <c r="T92" s="471">
        <f>SUM('DUoS (t)'!T92,'TUoS (t)'!T92,'JSO (t)'!T92)</f>
        <v>0</v>
      </c>
      <c r="U92" s="490">
        <f>SUM('DUoS (t)'!U92,'TUoS (t)'!U92,'JSO (t)'!U92)</f>
        <v>0</v>
      </c>
      <c r="V92" s="472">
        <f>SUM('DUoS (t)'!V92,'TUoS (t)'!V92,'JSO (t)'!V92)</f>
        <v>0</v>
      </c>
      <c r="X92" s="183">
        <f>'Q (t)'!G92</f>
        <v>0</v>
      </c>
      <c r="Y92" s="184">
        <f>'Q (t)'!H92</f>
        <v>0</v>
      </c>
      <c r="Z92" s="178">
        <f>'Q (t)'!I92</f>
        <v>0</v>
      </c>
      <c r="AA92" s="178">
        <f>'Q (t)'!J92</f>
        <v>0</v>
      </c>
      <c r="AB92" s="179">
        <f>'Q (t)'!K92</f>
        <v>0</v>
      </c>
      <c r="AC92" s="178">
        <f>'Q (t)'!L92</f>
        <v>0</v>
      </c>
      <c r="AD92" s="178">
        <f>'Q (t)'!M92</f>
        <v>0</v>
      </c>
      <c r="AE92" s="178">
        <f>'Q (t)'!N92</f>
        <v>0</v>
      </c>
      <c r="AF92" s="179">
        <f>'Q (t)'!O92</f>
        <v>0</v>
      </c>
      <c r="AG92" s="178">
        <f>'Q (t)'!P92</f>
        <v>0</v>
      </c>
      <c r="AH92" s="178">
        <f>'Q (t)'!Q92</f>
        <v>0</v>
      </c>
      <c r="AI92" s="179">
        <f>'Q (t)'!R92</f>
        <v>0</v>
      </c>
      <c r="AJ92" s="184">
        <f>'Q (t)'!S92</f>
        <v>0</v>
      </c>
      <c r="AK92" s="178">
        <f>'Q (t)'!T92</f>
        <v>0</v>
      </c>
      <c r="AL92" s="184">
        <f>'Q (t)'!U92</f>
        <v>0</v>
      </c>
      <c r="AM92" s="179">
        <f>'Q (t)'!V92</f>
        <v>0</v>
      </c>
      <c r="AO92" s="183">
        <f t="shared" si="50"/>
        <v>0</v>
      </c>
      <c r="AP92" s="184">
        <f t="shared" si="51"/>
        <v>0</v>
      </c>
      <c r="AQ92" s="178">
        <f t="shared" si="51"/>
        <v>0</v>
      </c>
      <c r="AR92" s="178">
        <f t="shared" si="51"/>
        <v>0</v>
      </c>
      <c r="AS92" s="179">
        <f t="shared" si="51"/>
        <v>0</v>
      </c>
      <c r="AT92" s="178">
        <f t="shared" si="51"/>
        <v>0</v>
      </c>
      <c r="AU92" s="178">
        <f t="shared" si="51"/>
        <v>0</v>
      </c>
      <c r="AV92" s="178">
        <f t="shared" si="51"/>
        <v>0</v>
      </c>
      <c r="AW92" s="179">
        <f t="shared" si="51"/>
        <v>0</v>
      </c>
      <c r="AX92" s="178">
        <f t="shared" si="41"/>
        <v>0</v>
      </c>
      <c r="AY92" s="178">
        <f t="shared" si="41"/>
        <v>0</v>
      </c>
      <c r="AZ92" s="179">
        <f t="shared" si="41"/>
        <v>0</v>
      </c>
      <c r="BA92" s="184">
        <f t="shared" si="40"/>
        <v>0</v>
      </c>
      <c r="BB92" s="178">
        <f t="shared" si="40"/>
        <v>0</v>
      </c>
      <c r="BC92" s="184">
        <f t="shared" si="40"/>
        <v>0</v>
      </c>
      <c r="BD92" s="178">
        <f t="shared" si="40"/>
        <v>0</v>
      </c>
      <c r="BE92" s="251">
        <f t="shared" si="52"/>
        <v>0</v>
      </c>
      <c r="BF92" s="252">
        <f t="shared" si="53"/>
        <v>0</v>
      </c>
      <c r="BH92" s="260">
        <f>SUBTOTAL(9,BH93:BH126)</f>
        <v>11524.261800000002</v>
      </c>
      <c r="BI92" s="260">
        <f>SUBTOTAL(9,BI93:BI126)</f>
        <v>5342.8880047644998</v>
      </c>
      <c r="BJ92" s="260">
        <f>SUBTOTAL(9,BJ93:BJ126)</f>
        <v>0</v>
      </c>
      <c r="BK92" s="260">
        <f>SUBTOTAL(9,BK93:BK126)</f>
        <v>17186.147705626998</v>
      </c>
      <c r="BL92" s="260">
        <f>SUBTOTAL(9,BL93:BL126)</f>
        <v>0</v>
      </c>
      <c r="BM92" s="264">
        <f t="shared" si="54"/>
        <v>34053.297510391494</v>
      </c>
      <c r="BO92" s="732" t="str">
        <f t="shared" si="55"/>
        <v/>
      </c>
    </row>
    <row r="93" spans="2:72" ht="15" customHeight="1" x14ac:dyDescent="0.25">
      <c r="B93" s="156"/>
      <c r="C93" s="126" t="s">
        <v>114</v>
      </c>
      <c r="D93" s="202"/>
      <c r="E93" s="202"/>
      <c r="G93" s="493">
        <f>SUM('DUoS (t)'!G93,'TUoS (t)'!G93,'JSO (t)'!G93)</f>
        <v>0</v>
      </c>
      <c r="H93" s="490">
        <f>SUM('DUoS (t)'!H93,'TUoS (t)'!H93,'JSO (t)'!H93)</f>
        <v>0</v>
      </c>
      <c r="I93" s="471">
        <f>SUM('DUoS (t)'!I93,'TUoS (t)'!I93,'JSO (t)'!I93)</f>
        <v>0</v>
      </c>
      <c r="J93" s="471">
        <f>SUM('DUoS (t)'!J93,'TUoS (t)'!J93,'JSO (t)'!J93)</f>
        <v>0</v>
      </c>
      <c r="K93" s="472">
        <f>SUM('DUoS (t)'!K93,'TUoS (t)'!K93,'JSO (t)'!K93)</f>
        <v>0</v>
      </c>
      <c r="L93" s="471">
        <f>SUM('DUoS (t)'!L93,'TUoS (t)'!L93,'JSO (t)'!L93)</f>
        <v>0</v>
      </c>
      <c r="M93" s="471">
        <f>SUM('DUoS (t)'!M93,'TUoS (t)'!M93,'JSO (t)'!M93)</f>
        <v>0</v>
      </c>
      <c r="N93" s="471">
        <f>SUM('DUoS (t)'!N93,'TUoS (t)'!N93,'JSO (t)'!N93)</f>
        <v>0</v>
      </c>
      <c r="O93" s="472">
        <f>SUM('DUoS (t)'!O93,'TUoS (t)'!O93,'JSO (t)'!O93)</f>
        <v>0</v>
      </c>
      <c r="P93" s="471">
        <f>SUM('DUoS (t)'!P93,'TUoS (t)'!P93,'JSO (t)'!P93)</f>
        <v>0</v>
      </c>
      <c r="Q93" s="471">
        <f>SUM('DUoS (t)'!Q93,'TUoS (t)'!Q93,'JSO (t)'!Q93)</f>
        <v>0</v>
      </c>
      <c r="R93" s="472">
        <f>SUM('DUoS (t)'!R93,'TUoS (t)'!R93,'JSO (t)'!R93)</f>
        <v>0</v>
      </c>
      <c r="S93" s="490">
        <f>SUM('DUoS (t)'!S93,'TUoS (t)'!S93,'JSO (t)'!S93)</f>
        <v>0</v>
      </c>
      <c r="T93" s="471">
        <f>SUM('DUoS (t)'!T93,'TUoS (t)'!T93,'JSO (t)'!T93)</f>
        <v>0</v>
      </c>
      <c r="U93" s="490">
        <f>SUM('DUoS (t)'!U93,'TUoS (t)'!U93,'JSO (t)'!U93)</f>
        <v>0</v>
      </c>
      <c r="V93" s="472">
        <f>SUM('DUoS (t)'!V93,'TUoS (t)'!V93,'JSO (t)'!V93)</f>
        <v>0</v>
      </c>
      <c r="X93" s="183">
        <f>'Q (t)'!G93</f>
        <v>0</v>
      </c>
      <c r="Y93" s="184">
        <f>'Q (t)'!H93</f>
        <v>0</v>
      </c>
      <c r="Z93" s="178">
        <f>'Q (t)'!I93</f>
        <v>0</v>
      </c>
      <c r="AA93" s="178">
        <f>'Q (t)'!J93</f>
        <v>0</v>
      </c>
      <c r="AB93" s="179">
        <f>'Q (t)'!K93</f>
        <v>0</v>
      </c>
      <c r="AC93" s="178">
        <f>'Q (t)'!L93</f>
        <v>0</v>
      </c>
      <c r="AD93" s="178">
        <f>'Q (t)'!M93</f>
        <v>0</v>
      </c>
      <c r="AE93" s="178">
        <f>'Q (t)'!N93</f>
        <v>0</v>
      </c>
      <c r="AF93" s="179">
        <f>'Q (t)'!O93</f>
        <v>0</v>
      </c>
      <c r="AG93" s="178">
        <f>'Q (t)'!P93</f>
        <v>0</v>
      </c>
      <c r="AH93" s="178">
        <f>'Q (t)'!Q93</f>
        <v>0</v>
      </c>
      <c r="AI93" s="179">
        <f>'Q (t)'!R93</f>
        <v>0</v>
      </c>
      <c r="AJ93" s="184">
        <f>'Q (t)'!S93</f>
        <v>0</v>
      </c>
      <c r="AK93" s="178">
        <f>'Q (t)'!T93</f>
        <v>0</v>
      </c>
      <c r="AL93" s="184">
        <f>'Q (t)'!U93</f>
        <v>0</v>
      </c>
      <c r="AM93" s="179">
        <f>'Q (t)'!V93</f>
        <v>0</v>
      </c>
      <c r="AO93" s="183">
        <f t="shared" si="50"/>
        <v>0</v>
      </c>
      <c r="AP93" s="184">
        <f t="shared" si="51"/>
        <v>0</v>
      </c>
      <c r="AQ93" s="178">
        <f t="shared" si="51"/>
        <v>0</v>
      </c>
      <c r="AR93" s="178">
        <f t="shared" si="51"/>
        <v>0</v>
      </c>
      <c r="AS93" s="179">
        <f t="shared" si="51"/>
        <v>0</v>
      </c>
      <c r="AT93" s="178">
        <f t="shared" si="51"/>
        <v>0</v>
      </c>
      <c r="AU93" s="178">
        <f t="shared" si="51"/>
        <v>0</v>
      </c>
      <c r="AV93" s="178">
        <f t="shared" si="51"/>
        <v>0</v>
      </c>
      <c r="AW93" s="179">
        <f t="shared" si="51"/>
        <v>0</v>
      </c>
      <c r="AX93" s="178">
        <f t="shared" si="41"/>
        <v>0</v>
      </c>
      <c r="AY93" s="178">
        <f t="shared" si="41"/>
        <v>0</v>
      </c>
      <c r="AZ93" s="179">
        <f t="shared" si="41"/>
        <v>0</v>
      </c>
      <c r="BA93" s="184">
        <f t="shared" si="40"/>
        <v>0</v>
      </c>
      <c r="BB93" s="178">
        <f t="shared" si="40"/>
        <v>0</v>
      </c>
      <c r="BC93" s="184">
        <f t="shared" si="40"/>
        <v>0</v>
      </c>
      <c r="BD93" s="178">
        <f t="shared" si="40"/>
        <v>0</v>
      </c>
      <c r="BE93" s="251">
        <f t="shared" si="52"/>
        <v>0</v>
      </c>
      <c r="BF93" s="252">
        <f t="shared" si="53"/>
        <v>0</v>
      </c>
      <c r="BH93" s="259">
        <f>SUBTOTAL(9,BH94:BH100)</f>
        <v>1171.7814000000001</v>
      </c>
      <c r="BI93" s="259">
        <f>SUBTOTAL(9,BI94:BI100)</f>
        <v>1145.3261712020001</v>
      </c>
      <c r="BJ93" s="259">
        <f>SUBTOTAL(9,BJ94:BJ100)</f>
        <v>0</v>
      </c>
      <c r="BK93" s="259">
        <f>SUBTOTAL(9,BK94:BK100)</f>
        <v>2063.9538133205001</v>
      </c>
      <c r="BL93" s="259">
        <f>SUBTOTAL(9,BL94:BL100)</f>
        <v>0</v>
      </c>
      <c r="BM93" s="264">
        <f t="shared" si="54"/>
        <v>4381.0613845224998</v>
      </c>
      <c r="BO93" s="732" t="str">
        <f t="shared" si="55"/>
        <v/>
      </c>
    </row>
    <row r="94" spans="2:72" ht="15" customHeight="1" x14ac:dyDescent="0.25">
      <c r="B94" s="156">
        <v>1</v>
      </c>
      <c r="C94" s="180" t="s">
        <v>115</v>
      </c>
      <c r="D94" s="181"/>
      <c r="E94" s="210" t="s">
        <v>116</v>
      </c>
      <c r="G94" s="488">
        <f>SUM('DUoS (t)'!G94,'TUoS (t)'!G94,'JSO (t)'!G94)</f>
        <v>0</v>
      </c>
      <c r="H94" s="489">
        <f>SUM('DUoS (t)'!H94,'TUoS (t)'!H94,'JSO (t)'!H94)</f>
        <v>1.35E-2</v>
      </c>
      <c r="I94" s="471">
        <f>SUM('DUoS (t)'!I94,'TUoS (t)'!I94,'JSO (t)'!I94)</f>
        <v>0</v>
      </c>
      <c r="J94" s="471">
        <f>SUM('DUoS (t)'!J94,'TUoS (t)'!J94,'JSO (t)'!J94)</f>
        <v>0</v>
      </c>
      <c r="K94" s="472">
        <f>SUM('DUoS (t)'!K94,'TUoS (t)'!K94,'JSO (t)'!K94)</f>
        <v>0</v>
      </c>
      <c r="L94" s="471">
        <f>SUM('DUoS (t)'!L94,'TUoS (t)'!L94,'JSO (t)'!L94)</f>
        <v>0</v>
      </c>
      <c r="M94" s="471">
        <f>SUM('DUoS (t)'!M94,'TUoS (t)'!M94,'JSO (t)'!M94)</f>
        <v>0</v>
      </c>
      <c r="N94" s="471">
        <f>SUM('DUoS (t)'!N94,'TUoS (t)'!N94,'JSO (t)'!N94)</f>
        <v>0</v>
      </c>
      <c r="O94" s="472">
        <f>SUM('DUoS (t)'!O94,'TUoS (t)'!O94,'JSO (t)'!O94)</f>
        <v>0</v>
      </c>
      <c r="P94" s="471">
        <f>SUM('DUoS (t)'!P94,'TUoS (t)'!P94,'JSO (t)'!P94)</f>
        <v>0</v>
      </c>
      <c r="Q94" s="471">
        <f>SUM('DUoS (t)'!Q94,'TUoS (t)'!Q94,'JSO (t)'!Q94)</f>
        <v>0</v>
      </c>
      <c r="R94" s="472">
        <f>SUM('DUoS (t)'!R94,'TUoS (t)'!R94,'JSO (t)'!R94)</f>
        <v>0</v>
      </c>
      <c r="S94" s="489">
        <f>SUM('DUoS (t)'!S94,'TUoS (t)'!S94,'JSO (t)'!S94)</f>
        <v>0.1497</v>
      </c>
      <c r="T94" s="494">
        <f>SUM('DUoS (t)'!T94,'TUoS (t)'!T94,'JSO (t)'!T94)</f>
        <v>7.3999999999999996E-2</v>
      </c>
      <c r="U94" s="491">
        <f>SUM('DUoS (t)'!U94,'TUoS (t)'!U94,'JSO (t)'!U94)</f>
        <v>0</v>
      </c>
      <c r="V94" s="492">
        <f>SUM('DUoS (t)'!V94,'TUoS (t)'!V94,'JSO (t)'!V94)</f>
        <v>0</v>
      </c>
      <c r="X94" s="183">
        <f>'Q (t)'!G94</f>
        <v>0</v>
      </c>
      <c r="Y94" s="184">
        <f>'Q (t)'!H94</f>
        <v>0</v>
      </c>
      <c r="Z94" s="178">
        <f>'Q (t)'!I94</f>
        <v>0</v>
      </c>
      <c r="AA94" s="178">
        <f>'Q (t)'!J94</f>
        <v>0</v>
      </c>
      <c r="AB94" s="179">
        <f>'Q (t)'!K94</f>
        <v>0</v>
      </c>
      <c r="AC94" s="178">
        <f>'Q (t)'!L94</f>
        <v>0</v>
      </c>
      <c r="AD94" s="178">
        <f>'Q (t)'!M94</f>
        <v>0</v>
      </c>
      <c r="AE94" s="178">
        <f>'Q (t)'!N94</f>
        <v>0</v>
      </c>
      <c r="AF94" s="179">
        <f>'Q (t)'!O94</f>
        <v>0</v>
      </c>
      <c r="AG94" s="178">
        <f>'Q (t)'!P94</f>
        <v>0</v>
      </c>
      <c r="AH94" s="178">
        <f>'Q (t)'!Q94</f>
        <v>0</v>
      </c>
      <c r="AI94" s="179">
        <f>'Q (t)'!R94</f>
        <v>0</v>
      </c>
      <c r="AJ94" s="184">
        <f>'Q (t)'!S94</f>
        <v>0</v>
      </c>
      <c r="AK94" s="178">
        <f>'Q (t)'!T94</f>
        <v>0</v>
      </c>
      <c r="AL94" s="184">
        <f>'Q (t)'!U94</f>
        <v>0</v>
      </c>
      <c r="AM94" s="179">
        <f>'Q (t)'!V94</f>
        <v>0</v>
      </c>
      <c r="AO94" s="183">
        <f t="shared" si="50"/>
        <v>0</v>
      </c>
      <c r="AP94" s="184">
        <f t="shared" si="51"/>
        <v>0</v>
      </c>
      <c r="AQ94" s="178">
        <f t="shared" si="51"/>
        <v>0</v>
      </c>
      <c r="AR94" s="178">
        <f t="shared" si="51"/>
        <v>0</v>
      </c>
      <c r="AS94" s="179">
        <f t="shared" si="51"/>
        <v>0</v>
      </c>
      <c r="AT94" s="178">
        <f t="shared" si="51"/>
        <v>0</v>
      </c>
      <c r="AU94" s="178">
        <f t="shared" si="51"/>
        <v>0</v>
      </c>
      <c r="AV94" s="178">
        <f t="shared" si="51"/>
        <v>0</v>
      </c>
      <c r="AW94" s="179">
        <f t="shared" si="51"/>
        <v>0</v>
      </c>
      <c r="AX94" s="178">
        <f t="shared" si="41"/>
        <v>0</v>
      </c>
      <c r="AY94" s="178">
        <f t="shared" si="41"/>
        <v>0</v>
      </c>
      <c r="AZ94" s="179">
        <f t="shared" si="41"/>
        <v>0</v>
      </c>
      <c r="BA94" s="184">
        <f t="shared" si="40"/>
        <v>0</v>
      </c>
      <c r="BB94" s="178">
        <f t="shared" si="40"/>
        <v>0</v>
      </c>
      <c r="BC94" s="184">
        <f t="shared" si="40"/>
        <v>0</v>
      </c>
      <c r="BD94" s="178">
        <f t="shared" si="40"/>
        <v>0</v>
      </c>
      <c r="BE94" s="251">
        <f t="shared" si="52"/>
        <v>0</v>
      </c>
      <c r="BF94" s="252">
        <f t="shared" si="53"/>
        <v>0</v>
      </c>
      <c r="BH94" s="262">
        <f t="shared" ref="BH94:BH100" si="83">SUM(AO94)</f>
        <v>0</v>
      </c>
      <c r="BI94" s="262">
        <f t="shared" ref="BI94:BI100" si="84">SUM(AP94:AS94)</f>
        <v>0</v>
      </c>
      <c r="BJ94" s="262">
        <f t="shared" ref="BJ94:BJ100" si="85">SUM(AT94:AW94)</f>
        <v>0</v>
      </c>
      <c r="BK94" s="263">
        <f t="shared" ref="BK94:BK100" si="86">SUM(AX94:BB94)</f>
        <v>0</v>
      </c>
      <c r="BL94" s="269">
        <f t="shared" ref="BL94:BL100" si="87">SUM(BC94:BD94)</f>
        <v>0</v>
      </c>
      <c r="BM94" s="264">
        <f t="shared" si="54"/>
        <v>0</v>
      </c>
      <c r="BO94" s="732" t="str">
        <f t="shared" si="55"/>
        <v/>
      </c>
    </row>
    <row r="95" spans="2:72" ht="15" customHeight="1" x14ac:dyDescent="0.25">
      <c r="B95" s="156">
        <v>1</v>
      </c>
      <c r="C95" s="180" t="s">
        <v>117</v>
      </c>
      <c r="D95" s="181"/>
      <c r="E95" s="210" t="s">
        <v>118</v>
      </c>
      <c r="G95" s="488">
        <f>SUM('DUoS (t)'!G95,'TUoS (t)'!G95,'JSO (t)'!G95)</f>
        <v>0</v>
      </c>
      <c r="H95" s="489">
        <f>SUM('DUoS (t)'!H95,'TUoS (t)'!H95,'JSO (t)'!H95)</f>
        <v>1.35E-2</v>
      </c>
      <c r="I95" s="471">
        <f>SUM('DUoS (t)'!I95,'TUoS (t)'!I95,'JSO (t)'!I95)</f>
        <v>0</v>
      </c>
      <c r="J95" s="471">
        <f>SUM('DUoS (t)'!J95,'TUoS (t)'!J95,'JSO (t)'!J95)</f>
        <v>0</v>
      </c>
      <c r="K95" s="472">
        <f>SUM('DUoS (t)'!K95,'TUoS (t)'!K95,'JSO (t)'!K95)</f>
        <v>0</v>
      </c>
      <c r="L95" s="471">
        <f>SUM('DUoS (t)'!L95,'TUoS (t)'!L95,'JSO (t)'!L95)</f>
        <v>0</v>
      </c>
      <c r="M95" s="471">
        <f>SUM('DUoS (t)'!M95,'TUoS (t)'!M95,'JSO (t)'!M95)</f>
        <v>0</v>
      </c>
      <c r="N95" s="471">
        <f>SUM('DUoS (t)'!N95,'TUoS (t)'!N95,'JSO (t)'!N95)</f>
        <v>0</v>
      </c>
      <c r="O95" s="472">
        <f>SUM('DUoS (t)'!O95,'TUoS (t)'!O95,'JSO (t)'!O95)</f>
        <v>0</v>
      </c>
      <c r="P95" s="471">
        <f>SUM('DUoS (t)'!P95,'TUoS (t)'!P95,'JSO (t)'!P95)</f>
        <v>0</v>
      </c>
      <c r="Q95" s="471">
        <f>SUM('DUoS (t)'!Q95,'TUoS (t)'!Q95,'JSO (t)'!Q95)</f>
        <v>0</v>
      </c>
      <c r="R95" s="472">
        <f>SUM('DUoS (t)'!R95,'TUoS (t)'!R95,'JSO (t)'!R95)</f>
        <v>0</v>
      </c>
      <c r="S95" s="489">
        <f>SUM('DUoS (t)'!S95,'TUoS (t)'!S95,'JSO (t)'!S95)</f>
        <v>0.1497</v>
      </c>
      <c r="T95" s="494">
        <f>SUM('DUoS (t)'!T95,'TUoS (t)'!T95,'JSO (t)'!T95)</f>
        <v>7.3999999999999996E-2</v>
      </c>
      <c r="U95" s="491">
        <f>SUM('DUoS (t)'!U95,'TUoS (t)'!U95,'JSO (t)'!U95)</f>
        <v>0</v>
      </c>
      <c r="V95" s="492">
        <f>SUM('DUoS (t)'!V95,'TUoS (t)'!V95,'JSO (t)'!V95)</f>
        <v>0</v>
      </c>
      <c r="X95" s="183">
        <f>'Q (t)'!G95</f>
        <v>365</v>
      </c>
      <c r="Y95" s="184">
        <f>'Q (t)'!H95</f>
        <v>20561.394500000002</v>
      </c>
      <c r="Z95" s="178">
        <f>'Q (t)'!I95</f>
        <v>0</v>
      </c>
      <c r="AA95" s="178">
        <f>'Q (t)'!J95</f>
        <v>0</v>
      </c>
      <c r="AB95" s="179">
        <f>'Q (t)'!K95</f>
        <v>0</v>
      </c>
      <c r="AC95" s="178">
        <f>'Q (t)'!L95</f>
        <v>0</v>
      </c>
      <c r="AD95" s="178">
        <f>'Q (t)'!M95</f>
        <v>0</v>
      </c>
      <c r="AE95" s="178">
        <f>'Q (t)'!N95</f>
        <v>0</v>
      </c>
      <c r="AF95" s="179">
        <f>'Q (t)'!O95</f>
        <v>0</v>
      </c>
      <c r="AG95" s="178">
        <f>'Q (t)'!P95</f>
        <v>0</v>
      </c>
      <c r="AH95" s="178">
        <f>'Q (t)'!Q95</f>
        <v>0</v>
      </c>
      <c r="AI95" s="179">
        <f>'Q (t)'!R95</f>
        <v>0</v>
      </c>
      <c r="AJ95" s="184">
        <f>'Q (t)'!S95</f>
        <v>1573358.78</v>
      </c>
      <c r="AK95" s="178">
        <f>'Q (t)'!T95</f>
        <v>1825000</v>
      </c>
      <c r="AL95" s="184">
        <f>'Q (t)'!U95</f>
        <v>0</v>
      </c>
      <c r="AM95" s="179">
        <f>'Q (t)'!V95</f>
        <v>0</v>
      </c>
      <c r="AO95" s="183">
        <f t="shared" si="50"/>
        <v>0</v>
      </c>
      <c r="AP95" s="184">
        <f t="shared" ref="AP95:AW109" si="88">H95*Y95</f>
        <v>277.57882575000002</v>
      </c>
      <c r="AQ95" s="178">
        <f t="shared" si="88"/>
        <v>0</v>
      </c>
      <c r="AR95" s="178">
        <f t="shared" si="88"/>
        <v>0</v>
      </c>
      <c r="AS95" s="179">
        <f t="shared" si="88"/>
        <v>0</v>
      </c>
      <c r="AT95" s="178">
        <f t="shared" si="88"/>
        <v>0</v>
      </c>
      <c r="AU95" s="178">
        <f t="shared" si="88"/>
        <v>0</v>
      </c>
      <c r="AV95" s="178">
        <f t="shared" si="88"/>
        <v>0</v>
      </c>
      <c r="AW95" s="179">
        <f t="shared" si="88"/>
        <v>0</v>
      </c>
      <c r="AX95" s="178">
        <f t="shared" si="41"/>
        <v>0</v>
      </c>
      <c r="AY95" s="178">
        <f t="shared" si="41"/>
        <v>0</v>
      </c>
      <c r="AZ95" s="179">
        <f t="shared" si="41"/>
        <v>0</v>
      </c>
      <c r="BA95" s="184">
        <f t="shared" si="40"/>
        <v>235.531809366</v>
      </c>
      <c r="BB95" s="178">
        <f t="shared" si="40"/>
        <v>135.05000000000001</v>
      </c>
      <c r="BC95" s="184">
        <f t="shared" si="40"/>
        <v>0</v>
      </c>
      <c r="BD95" s="178">
        <f t="shared" si="40"/>
        <v>0</v>
      </c>
      <c r="BE95" s="251">
        <f t="shared" si="52"/>
        <v>1</v>
      </c>
      <c r="BF95" s="252">
        <f t="shared" si="53"/>
        <v>20561.394500000002</v>
      </c>
      <c r="BH95" s="262">
        <f t="shared" si="83"/>
        <v>0</v>
      </c>
      <c r="BI95" s="262">
        <f t="shared" si="84"/>
        <v>277.57882575000002</v>
      </c>
      <c r="BJ95" s="262">
        <f t="shared" si="85"/>
        <v>0</v>
      </c>
      <c r="BK95" s="263">
        <f t="shared" si="86"/>
        <v>370.58180936600002</v>
      </c>
      <c r="BL95" s="269">
        <f t="shared" si="87"/>
        <v>0</v>
      </c>
      <c r="BM95" s="264">
        <f t="shared" si="54"/>
        <v>648.16063511600009</v>
      </c>
      <c r="BO95" s="732">
        <f t="shared" si="55"/>
        <v>31.523184632054019</v>
      </c>
    </row>
    <row r="96" spans="2:72" ht="15" customHeight="1" x14ac:dyDescent="0.25">
      <c r="B96" s="156">
        <f t="shared" ref="B96:B111" si="89">B95+1</f>
        <v>2</v>
      </c>
      <c r="C96" s="180" t="s">
        <v>122</v>
      </c>
      <c r="D96" s="181"/>
      <c r="E96" s="210" t="s">
        <v>118</v>
      </c>
      <c r="G96" s="488">
        <f>SUM('DUoS (t)'!G96,'TUoS (t)'!G96,'JSO (t)'!G96)</f>
        <v>590.96</v>
      </c>
      <c r="H96" s="489">
        <f>SUM('DUoS (t)'!H96,'TUoS (t)'!H96,'JSO (t)'!H96)</f>
        <v>1.35E-2</v>
      </c>
      <c r="I96" s="471">
        <f>SUM('DUoS (t)'!I96,'TUoS (t)'!I96,'JSO (t)'!I96)</f>
        <v>0</v>
      </c>
      <c r="J96" s="471">
        <f>SUM('DUoS (t)'!J96,'TUoS (t)'!J96,'JSO (t)'!J96)</f>
        <v>0</v>
      </c>
      <c r="K96" s="472">
        <f>SUM('DUoS (t)'!K96,'TUoS (t)'!K96,'JSO (t)'!K96)</f>
        <v>0</v>
      </c>
      <c r="L96" s="471">
        <f>SUM('DUoS (t)'!L96,'TUoS (t)'!L96,'JSO (t)'!L96)</f>
        <v>0</v>
      </c>
      <c r="M96" s="471">
        <f>SUM('DUoS (t)'!M96,'TUoS (t)'!M96,'JSO (t)'!M96)</f>
        <v>0</v>
      </c>
      <c r="N96" s="471">
        <f>SUM('DUoS (t)'!N96,'TUoS (t)'!N96,'JSO (t)'!N96)</f>
        <v>0</v>
      </c>
      <c r="O96" s="472">
        <f>SUM('DUoS (t)'!O96,'TUoS (t)'!O96,'JSO (t)'!O96)</f>
        <v>0</v>
      </c>
      <c r="P96" s="471">
        <f>SUM('DUoS (t)'!P96,'TUoS (t)'!P96,'JSO (t)'!P96)</f>
        <v>0</v>
      </c>
      <c r="Q96" s="471">
        <f>SUM('DUoS (t)'!Q96,'TUoS (t)'!Q96,'JSO (t)'!Q96)</f>
        <v>0</v>
      </c>
      <c r="R96" s="472">
        <f>SUM('DUoS (t)'!R96,'TUoS (t)'!R96,'JSO (t)'!R96)</f>
        <v>0</v>
      </c>
      <c r="S96" s="489">
        <f>SUM('DUoS (t)'!S96,'TUoS (t)'!S96,'JSO (t)'!S96)</f>
        <v>0.1497</v>
      </c>
      <c r="T96" s="494">
        <f>SUM('DUoS (t)'!T96,'TUoS (t)'!T96,'JSO (t)'!T96)</f>
        <v>7.3999999999999996E-2</v>
      </c>
      <c r="U96" s="491">
        <f>SUM('DUoS (t)'!U96,'TUoS (t)'!U96,'JSO (t)'!U96)</f>
        <v>0</v>
      </c>
      <c r="V96" s="492">
        <f>SUM('DUoS (t)'!V96,'TUoS (t)'!V96,'JSO (t)'!V96)</f>
        <v>0</v>
      </c>
      <c r="X96" s="183">
        <f>'Q (t)'!G96</f>
        <v>365</v>
      </c>
      <c r="Y96" s="184">
        <f>'Q (t)'!H96</f>
        <v>24905.050000000003</v>
      </c>
      <c r="Z96" s="178">
        <f>'Q (t)'!I96</f>
        <v>0</v>
      </c>
      <c r="AA96" s="178">
        <f>'Q (t)'!J96</f>
        <v>0</v>
      </c>
      <c r="AB96" s="179">
        <f>'Q (t)'!K96</f>
        <v>0</v>
      </c>
      <c r="AC96" s="178">
        <f>'Q (t)'!L96</f>
        <v>0</v>
      </c>
      <c r="AD96" s="178">
        <f>'Q (t)'!M96</f>
        <v>0</v>
      </c>
      <c r="AE96" s="178">
        <f>'Q (t)'!N96</f>
        <v>0</v>
      </c>
      <c r="AF96" s="179">
        <f>'Q (t)'!O96</f>
        <v>0</v>
      </c>
      <c r="AG96" s="178">
        <f>'Q (t)'!P96</f>
        <v>0</v>
      </c>
      <c r="AH96" s="178">
        <f>'Q (t)'!Q96</f>
        <v>0</v>
      </c>
      <c r="AI96" s="179">
        <f>'Q (t)'!R96</f>
        <v>0</v>
      </c>
      <c r="AJ96" s="184">
        <f>'Q (t)'!S96</f>
        <v>2062195.2500000002</v>
      </c>
      <c r="AK96" s="178">
        <f>'Q (t)'!T96</f>
        <v>2062195.2500000002</v>
      </c>
      <c r="AL96" s="184">
        <f>'Q (t)'!U96</f>
        <v>0</v>
      </c>
      <c r="AM96" s="179">
        <f>'Q (t)'!V96</f>
        <v>0</v>
      </c>
      <c r="AO96" s="183">
        <f t="shared" si="50"/>
        <v>215.70040000000003</v>
      </c>
      <c r="AP96" s="184">
        <f t="shared" si="88"/>
        <v>336.21817500000003</v>
      </c>
      <c r="AQ96" s="178">
        <f t="shared" si="88"/>
        <v>0</v>
      </c>
      <c r="AR96" s="178">
        <f t="shared" si="88"/>
        <v>0</v>
      </c>
      <c r="AS96" s="179">
        <f t="shared" si="88"/>
        <v>0</v>
      </c>
      <c r="AT96" s="178">
        <f t="shared" si="88"/>
        <v>0</v>
      </c>
      <c r="AU96" s="178">
        <f t="shared" si="88"/>
        <v>0</v>
      </c>
      <c r="AV96" s="178">
        <f t="shared" si="88"/>
        <v>0</v>
      </c>
      <c r="AW96" s="179">
        <f t="shared" si="88"/>
        <v>0</v>
      </c>
      <c r="AX96" s="178">
        <f t="shared" si="41"/>
        <v>0</v>
      </c>
      <c r="AY96" s="178">
        <f t="shared" si="41"/>
        <v>0</v>
      </c>
      <c r="AZ96" s="179">
        <f t="shared" si="41"/>
        <v>0</v>
      </c>
      <c r="BA96" s="184">
        <f t="shared" si="40"/>
        <v>308.71062892500004</v>
      </c>
      <c r="BB96" s="178">
        <f t="shared" si="40"/>
        <v>152.60244850000001</v>
      </c>
      <c r="BC96" s="184">
        <f t="shared" si="40"/>
        <v>0</v>
      </c>
      <c r="BD96" s="178">
        <f t="shared" si="40"/>
        <v>0</v>
      </c>
      <c r="BE96" s="251">
        <f>X96/$BE$7</f>
        <v>1</v>
      </c>
      <c r="BF96" s="252">
        <f t="shared" si="53"/>
        <v>24905.050000000003</v>
      </c>
      <c r="BH96" s="262">
        <f t="shared" si="83"/>
        <v>215.70040000000003</v>
      </c>
      <c r="BI96" s="262">
        <f t="shared" si="84"/>
        <v>336.21817500000003</v>
      </c>
      <c r="BJ96" s="262">
        <f t="shared" si="85"/>
        <v>0</v>
      </c>
      <c r="BK96" s="263">
        <f t="shared" si="86"/>
        <v>461.31307742500007</v>
      </c>
      <c r="BL96" s="269">
        <f t="shared" si="87"/>
        <v>0</v>
      </c>
      <c r="BM96" s="264">
        <f>SUM(BH96:BL96)</f>
        <v>1013.2316524250001</v>
      </c>
      <c r="BO96" s="732">
        <f t="shared" si="55"/>
        <v>40.68378310523368</v>
      </c>
    </row>
    <row r="97" spans="2:67" ht="15" customHeight="1" x14ac:dyDescent="0.25">
      <c r="B97" s="156">
        <f t="shared" si="89"/>
        <v>3</v>
      </c>
      <c r="C97" s="180" t="s">
        <v>123</v>
      </c>
      <c r="D97" s="181"/>
      <c r="E97" s="210" t="s">
        <v>118</v>
      </c>
      <c r="G97" s="488">
        <f>SUM('DUoS (t)'!G97,'TUoS (t)'!G97,'JSO (t)'!G97)</f>
        <v>559.94000000000005</v>
      </c>
      <c r="H97" s="489">
        <f>SUM('DUoS (t)'!H97,'TUoS (t)'!H97,'JSO (t)'!H97)</f>
        <v>5.3E-3</v>
      </c>
      <c r="I97" s="471">
        <f>SUM('DUoS (t)'!I97,'TUoS (t)'!I97,'JSO (t)'!I97)</f>
        <v>0</v>
      </c>
      <c r="J97" s="471">
        <f>SUM('DUoS (t)'!J97,'TUoS (t)'!J97,'JSO (t)'!J97)</f>
        <v>0</v>
      </c>
      <c r="K97" s="472">
        <f>SUM('DUoS (t)'!K97,'TUoS (t)'!K97,'JSO (t)'!K97)</f>
        <v>0</v>
      </c>
      <c r="L97" s="471">
        <f>SUM('DUoS (t)'!L97,'TUoS (t)'!L97,'JSO (t)'!L97)</f>
        <v>0</v>
      </c>
      <c r="M97" s="471">
        <f>SUM('DUoS (t)'!M97,'TUoS (t)'!M97,'JSO (t)'!M97)</f>
        <v>0</v>
      </c>
      <c r="N97" s="471">
        <f>SUM('DUoS (t)'!N97,'TUoS (t)'!N97,'JSO (t)'!N97)</f>
        <v>0</v>
      </c>
      <c r="O97" s="472">
        <f>SUM('DUoS (t)'!O97,'TUoS (t)'!O97,'JSO (t)'!O97)</f>
        <v>0</v>
      </c>
      <c r="P97" s="471">
        <f>SUM('DUoS (t)'!P97,'TUoS (t)'!P97,'JSO (t)'!P97)</f>
        <v>0</v>
      </c>
      <c r="Q97" s="471">
        <f>SUM('DUoS (t)'!Q97,'TUoS (t)'!Q97,'JSO (t)'!Q97)</f>
        <v>0</v>
      </c>
      <c r="R97" s="472">
        <f>SUM('DUoS (t)'!R97,'TUoS (t)'!R97,'JSO (t)'!R97)</f>
        <v>0</v>
      </c>
      <c r="S97" s="489">
        <f>SUM('DUoS (t)'!S97,'TUoS (t)'!S97,'JSO (t)'!S97)</f>
        <v>4.1399999999999999E-2</v>
      </c>
      <c r="T97" s="494">
        <f>SUM('DUoS (t)'!T97,'TUoS (t)'!T97,'JSO (t)'!T97)</f>
        <v>7.3999999999999996E-2</v>
      </c>
      <c r="U97" s="491">
        <f>SUM('DUoS (t)'!U97,'TUoS (t)'!U97,'JSO (t)'!U97)</f>
        <v>0</v>
      </c>
      <c r="V97" s="492">
        <f>SUM('DUoS (t)'!V97,'TUoS (t)'!V97,'JSO (t)'!V97)</f>
        <v>0</v>
      </c>
      <c r="X97" s="183">
        <f>'Q (t)'!G97</f>
        <v>365</v>
      </c>
      <c r="Y97" s="184">
        <f>'Q (t)'!H97</f>
        <v>8861.0153499999997</v>
      </c>
      <c r="Z97" s="178">
        <f>'Q (t)'!I97</f>
        <v>0</v>
      </c>
      <c r="AA97" s="178">
        <f>'Q (t)'!J97</f>
        <v>0</v>
      </c>
      <c r="AB97" s="179">
        <f>'Q (t)'!K97</f>
        <v>0</v>
      </c>
      <c r="AC97" s="178">
        <f>'Q (t)'!L97</f>
        <v>0</v>
      </c>
      <c r="AD97" s="178">
        <f>'Q (t)'!M97</f>
        <v>0</v>
      </c>
      <c r="AE97" s="178">
        <f>'Q (t)'!N97</f>
        <v>0</v>
      </c>
      <c r="AF97" s="179">
        <f>'Q (t)'!O97</f>
        <v>0</v>
      </c>
      <c r="AG97" s="178">
        <f>'Q (t)'!P97</f>
        <v>0</v>
      </c>
      <c r="AH97" s="178">
        <f>'Q (t)'!Q97</f>
        <v>0</v>
      </c>
      <c r="AI97" s="179">
        <f>'Q (t)'!R97</f>
        <v>0</v>
      </c>
      <c r="AJ97" s="184">
        <f>'Q (t)'!S97</f>
        <v>1002255.69</v>
      </c>
      <c r="AK97" s="178">
        <f>'Q (t)'!T97</f>
        <v>1825000</v>
      </c>
      <c r="AL97" s="184">
        <f>'Q (t)'!U97</f>
        <v>0</v>
      </c>
      <c r="AM97" s="179">
        <f>'Q (t)'!V97</f>
        <v>0</v>
      </c>
      <c r="AO97" s="183">
        <f t="shared" si="50"/>
        <v>204.37810000000002</v>
      </c>
      <c r="AP97" s="184">
        <f t="shared" si="88"/>
        <v>46.963381354999996</v>
      </c>
      <c r="AQ97" s="178">
        <f t="shared" si="88"/>
        <v>0</v>
      </c>
      <c r="AR97" s="178">
        <f t="shared" si="88"/>
        <v>0</v>
      </c>
      <c r="AS97" s="179">
        <f t="shared" si="88"/>
        <v>0</v>
      </c>
      <c r="AT97" s="178">
        <f t="shared" si="88"/>
        <v>0</v>
      </c>
      <c r="AU97" s="178">
        <f t="shared" si="88"/>
        <v>0</v>
      </c>
      <c r="AV97" s="178">
        <f t="shared" si="88"/>
        <v>0</v>
      </c>
      <c r="AW97" s="179">
        <f t="shared" si="88"/>
        <v>0</v>
      </c>
      <c r="AX97" s="178">
        <f t="shared" si="41"/>
        <v>0</v>
      </c>
      <c r="AY97" s="178">
        <f t="shared" si="41"/>
        <v>0</v>
      </c>
      <c r="AZ97" s="179">
        <f t="shared" si="41"/>
        <v>0</v>
      </c>
      <c r="BA97" s="184">
        <f t="shared" si="40"/>
        <v>41.493385566000001</v>
      </c>
      <c r="BB97" s="178">
        <f t="shared" si="40"/>
        <v>135.05000000000001</v>
      </c>
      <c r="BC97" s="184">
        <f t="shared" si="40"/>
        <v>0</v>
      </c>
      <c r="BD97" s="178">
        <f t="shared" si="40"/>
        <v>0</v>
      </c>
      <c r="BE97" s="251">
        <f>X97/$BE$7</f>
        <v>1</v>
      </c>
      <c r="BF97" s="252">
        <f t="shared" si="53"/>
        <v>8861.0153499999997</v>
      </c>
      <c r="BH97" s="262">
        <f t="shared" si="83"/>
        <v>204.37810000000002</v>
      </c>
      <c r="BI97" s="262">
        <f t="shared" si="84"/>
        <v>46.963381354999996</v>
      </c>
      <c r="BJ97" s="262">
        <f t="shared" si="85"/>
        <v>0</v>
      </c>
      <c r="BK97" s="263">
        <f t="shared" si="86"/>
        <v>176.54338556600001</v>
      </c>
      <c r="BL97" s="269">
        <f t="shared" si="87"/>
        <v>0</v>
      </c>
      <c r="BM97" s="264">
        <f>SUM(BH97:BL97)</f>
        <v>427.88486692100003</v>
      </c>
      <c r="BO97" s="732">
        <f t="shared" si="55"/>
        <v>48.288469212616818</v>
      </c>
    </row>
    <row r="98" spans="2:67" ht="15" customHeight="1" x14ac:dyDescent="0.25">
      <c r="B98" s="156">
        <f t="shared" si="89"/>
        <v>4</v>
      </c>
      <c r="C98" s="180" t="s">
        <v>119</v>
      </c>
      <c r="D98" s="181"/>
      <c r="E98" s="210" t="s">
        <v>118</v>
      </c>
      <c r="G98" s="488">
        <f>SUM('DUoS (t)'!G98,'TUoS (t)'!G98,'JSO (t)'!G98)</f>
        <v>835.62</v>
      </c>
      <c r="H98" s="489">
        <f>SUM('DUoS (t)'!H98,'TUoS (t)'!H98,'JSO (t)'!H98)</f>
        <v>1.35E-2</v>
      </c>
      <c r="I98" s="471">
        <f>SUM('DUoS (t)'!I98,'TUoS (t)'!I98,'JSO (t)'!I98)</f>
        <v>0</v>
      </c>
      <c r="J98" s="471">
        <f>SUM('DUoS (t)'!J98,'TUoS (t)'!J98,'JSO (t)'!J98)</f>
        <v>0</v>
      </c>
      <c r="K98" s="472">
        <f>SUM('DUoS (t)'!K98,'TUoS (t)'!K98,'JSO (t)'!K98)</f>
        <v>0</v>
      </c>
      <c r="L98" s="471">
        <f>SUM('DUoS (t)'!L98,'TUoS (t)'!L98,'JSO (t)'!L98)</f>
        <v>0</v>
      </c>
      <c r="M98" s="471">
        <f>SUM('DUoS (t)'!M98,'TUoS (t)'!M98,'JSO (t)'!M98)</f>
        <v>0</v>
      </c>
      <c r="N98" s="471">
        <f>SUM('DUoS (t)'!N98,'TUoS (t)'!N98,'JSO (t)'!N98)</f>
        <v>0</v>
      </c>
      <c r="O98" s="472">
        <f>SUM('DUoS (t)'!O98,'TUoS (t)'!O98,'JSO (t)'!O98)</f>
        <v>0</v>
      </c>
      <c r="P98" s="471">
        <f>SUM('DUoS (t)'!P98,'TUoS (t)'!P98,'JSO (t)'!P98)</f>
        <v>0</v>
      </c>
      <c r="Q98" s="471">
        <f>SUM('DUoS (t)'!Q98,'TUoS (t)'!Q98,'JSO (t)'!Q98)</f>
        <v>0</v>
      </c>
      <c r="R98" s="472">
        <f>SUM('DUoS (t)'!R98,'TUoS (t)'!R98,'JSO (t)'!R98)</f>
        <v>0</v>
      </c>
      <c r="S98" s="489">
        <f>SUM('DUoS (t)'!S98,'TUoS (t)'!S98,'JSO (t)'!S98)</f>
        <v>0.1497</v>
      </c>
      <c r="T98" s="494">
        <f>SUM('DUoS (t)'!T98,'TUoS (t)'!T98,'JSO (t)'!T98)</f>
        <v>7.3999999999999996E-2</v>
      </c>
      <c r="U98" s="491">
        <f>SUM('DUoS (t)'!U98,'TUoS (t)'!U98,'JSO (t)'!U98)</f>
        <v>0</v>
      </c>
      <c r="V98" s="492">
        <f>SUM('DUoS (t)'!V98,'TUoS (t)'!V98,'JSO (t)'!V98)</f>
        <v>0</v>
      </c>
      <c r="X98" s="183">
        <f>'Q (t)'!G98</f>
        <v>365</v>
      </c>
      <c r="Y98" s="184">
        <f>'Q (t)'!H98</f>
        <v>23878.657950000001</v>
      </c>
      <c r="Z98" s="178">
        <f>'Q (t)'!I98</f>
        <v>0</v>
      </c>
      <c r="AA98" s="178">
        <f>'Q (t)'!J98</f>
        <v>0</v>
      </c>
      <c r="AB98" s="179">
        <f>'Q (t)'!K98</f>
        <v>0</v>
      </c>
      <c r="AC98" s="178">
        <f>'Q (t)'!L98</f>
        <v>0</v>
      </c>
      <c r="AD98" s="178">
        <f>'Q (t)'!M98</f>
        <v>0</v>
      </c>
      <c r="AE98" s="178">
        <f>'Q (t)'!N98</f>
        <v>0</v>
      </c>
      <c r="AF98" s="179">
        <f>'Q (t)'!O98</f>
        <v>0</v>
      </c>
      <c r="AG98" s="178">
        <f>'Q (t)'!P98</f>
        <v>0</v>
      </c>
      <c r="AH98" s="178">
        <f>'Q (t)'!Q98</f>
        <v>0</v>
      </c>
      <c r="AI98" s="179">
        <f>'Q (t)'!R98</f>
        <v>0</v>
      </c>
      <c r="AJ98" s="184">
        <f>'Q (t)'!S98</f>
        <v>2490079.2749999999</v>
      </c>
      <c r="AK98" s="178">
        <f>'Q (t)'!T98</f>
        <v>2500878.5299999998</v>
      </c>
      <c r="AL98" s="184">
        <f>'Q (t)'!U98</f>
        <v>0</v>
      </c>
      <c r="AM98" s="179">
        <f>'Q (t)'!V98</f>
        <v>0</v>
      </c>
      <c r="AO98" s="183">
        <f t="shared" si="50"/>
        <v>305.00130000000001</v>
      </c>
      <c r="AP98" s="184">
        <f t="shared" si="88"/>
        <v>322.36188232500001</v>
      </c>
      <c r="AQ98" s="178">
        <f t="shared" si="88"/>
        <v>0</v>
      </c>
      <c r="AR98" s="178">
        <f t="shared" si="88"/>
        <v>0</v>
      </c>
      <c r="AS98" s="179">
        <f t="shared" si="88"/>
        <v>0</v>
      </c>
      <c r="AT98" s="178">
        <f t="shared" si="88"/>
        <v>0</v>
      </c>
      <c r="AU98" s="178">
        <f t="shared" si="88"/>
        <v>0</v>
      </c>
      <c r="AV98" s="178">
        <f t="shared" si="88"/>
        <v>0</v>
      </c>
      <c r="AW98" s="179">
        <f t="shared" si="88"/>
        <v>0</v>
      </c>
      <c r="AX98" s="178">
        <f t="shared" si="41"/>
        <v>0</v>
      </c>
      <c r="AY98" s="178">
        <f t="shared" si="41"/>
        <v>0</v>
      </c>
      <c r="AZ98" s="179">
        <f t="shared" si="41"/>
        <v>0</v>
      </c>
      <c r="BA98" s="184">
        <f t="shared" si="40"/>
        <v>372.76486746749998</v>
      </c>
      <c r="BB98" s="178">
        <f t="shared" si="40"/>
        <v>185.06501121999997</v>
      </c>
      <c r="BC98" s="184">
        <f t="shared" si="40"/>
        <v>0</v>
      </c>
      <c r="BD98" s="178">
        <f t="shared" si="40"/>
        <v>0</v>
      </c>
      <c r="BE98" s="251">
        <f t="shared" si="52"/>
        <v>1</v>
      </c>
      <c r="BF98" s="252">
        <f t="shared" si="53"/>
        <v>23878.657950000001</v>
      </c>
      <c r="BH98" s="262">
        <f t="shared" si="83"/>
        <v>305.00130000000001</v>
      </c>
      <c r="BI98" s="262">
        <f t="shared" si="84"/>
        <v>322.36188232500001</v>
      </c>
      <c r="BJ98" s="262">
        <f t="shared" si="85"/>
        <v>0</v>
      </c>
      <c r="BK98" s="263">
        <f t="shared" si="86"/>
        <v>557.82987868750001</v>
      </c>
      <c r="BL98" s="269">
        <f t="shared" si="87"/>
        <v>0</v>
      </c>
      <c r="BM98" s="264">
        <f t="shared" si="54"/>
        <v>1185.1930610125</v>
      </c>
      <c r="BO98" s="732">
        <f t="shared" si="55"/>
        <v>49.633989627649903</v>
      </c>
    </row>
    <row r="99" spans="2:67" ht="15" customHeight="1" x14ac:dyDescent="0.25">
      <c r="B99" s="156">
        <f t="shared" si="89"/>
        <v>5</v>
      </c>
      <c r="C99" s="180" t="s">
        <v>120</v>
      </c>
      <c r="D99" s="181"/>
      <c r="E99" s="210" t="s">
        <v>118</v>
      </c>
      <c r="G99" s="488">
        <f>SUM('DUoS (t)'!G99,'TUoS (t)'!G99,'JSO (t)'!G99)</f>
        <v>0</v>
      </c>
      <c r="H99" s="489">
        <f>SUM('DUoS (t)'!H99,'TUoS (t)'!H99,'JSO (t)'!H99)</f>
        <v>1.35E-2</v>
      </c>
      <c r="I99" s="471">
        <f>SUM('DUoS (t)'!I99,'TUoS (t)'!I99,'JSO (t)'!I99)</f>
        <v>0</v>
      </c>
      <c r="J99" s="471">
        <f>SUM('DUoS (t)'!J99,'TUoS (t)'!J99,'JSO (t)'!J99)</f>
        <v>0</v>
      </c>
      <c r="K99" s="472">
        <f>SUM('DUoS (t)'!K99,'TUoS (t)'!K99,'JSO (t)'!K99)</f>
        <v>0</v>
      </c>
      <c r="L99" s="471">
        <f>SUM('DUoS (t)'!L99,'TUoS (t)'!L99,'JSO (t)'!L99)</f>
        <v>0</v>
      </c>
      <c r="M99" s="471">
        <f>SUM('DUoS (t)'!M99,'TUoS (t)'!M99,'JSO (t)'!M99)</f>
        <v>0</v>
      </c>
      <c r="N99" s="471">
        <f>SUM('DUoS (t)'!N99,'TUoS (t)'!N99,'JSO (t)'!N99)</f>
        <v>0</v>
      </c>
      <c r="O99" s="472">
        <f>SUM('DUoS (t)'!O99,'TUoS (t)'!O99,'JSO (t)'!O99)</f>
        <v>0</v>
      </c>
      <c r="P99" s="471">
        <f>SUM('DUoS (t)'!P99,'TUoS (t)'!P99,'JSO (t)'!P99)</f>
        <v>0</v>
      </c>
      <c r="Q99" s="471">
        <f>SUM('DUoS (t)'!Q99,'TUoS (t)'!Q99,'JSO (t)'!Q99)</f>
        <v>0</v>
      </c>
      <c r="R99" s="472">
        <f>SUM('DUoS (t)'!R99,'TUoS (t)'!R99,'JSO (t)'!R99)</f>
        <v>0</v>
      </c>
      <c r="S99" s="489">
        <f>SUM('DUoS (t)'!S99,'TUoS (t)'!S99,'JSO (t)'!S99)</f>
        <v>0.1497</v>
      </c>
      <c r="T99" s="494">
        <f>SUM('DUoS (t)'!T99,'TUoS (t)'!T99,'JSO (t)'!T99)</f>
        <v>7.3999999999999996E-2</v>
      </c>
      <c r="U99" s="491">
        <f>SUM('DUoS (t)'!U99,'TUoS (t)'!U99,'JSO (t)'!U99)</f>
        <v>0</v>
      </c>
      <c r="V99" s="492">
        <f>SUM('DUoS (t)'!V99,'TUoS (t)'!V99,'JSO (t)'!V99)</f>
        <v>0</v>
      </c>
      <c r="X99" s="183">
        <f>'Q (t)'!G99</f>
        <v>365</v>
      </c>
      <c r="Y99" s="184">
        <f>'Q (t)'!H99</f>
        <v>2289.5800020000001</v>
      </c>
      <c r="Z99" s="178">
        <f>'Q (t)'!I99</f>
        <v>0</v>
      </c>
      <c r="AA99" s="178">
        <f>'Q (t)'!J99</f>
        <v>0</v>
      </c>
      <c r="AB99" s="179">
        <f>'Q (t)'!K99</f>
        <v>0</v>
      </c>
      <c r="AC99" s="178">
        <f>'Q (t)'!L99</f>
        <v>0</v>
      </c>
      <c r="AD99" s="178">
        <f>'Q (t)'!M99</f>
        <v>0</v>
      </c>
      <c r="AE99" s="178">
        <f>'Q (t)'!N99</f>
        <v>0</v>
      </c>
      <c r="AF99" s="179">
        <f>'Q (t)'!O99</f>
        <v>0</v>
      </c>
      <c r="AG99" s="178">
        <f>'Q (t)'!P99</f>
        <v>0</v>
      </c>
      <c r="AH99" s="178">
        <f>'Q (t)'!Q99</f>
        <v>0</v>
      </c>
      <c r="AI99" s="179">
        <f>'Q (t)'!R99</f>
        <v>0</v>
      </c>
      <c r="AJ99" s="184">
        <f>'Q (t)'!S99</f>
        <v>981071.09</v>
      </c>
      <c r="AK99" s="178">
        <f>'Q (t)'!T99</f>
        <v>1919124.375</v>
      </c>
      <c r="AL99" s="184">
        <f>'Q (t)'!U99</f>
        <v>0</v>
      </c>
      <c r="AM99" s="179">
        <f>'Q (t)'!V99</f>
        <v>0</v>
      </c>
      <c r="AO99" s="183">
        <f t="shared" si="50"/>
        <v>0</v>
      </c>
      <c r="AP99" s="184">
        <f t="shared" si="88"/>
        <v>30.909330027000003</v>
      </c>
      <c r="AQ99" s="178">
        <f t="shared" si="88"/>
        <v>0</v>
      </c>
      <c r="AR99" s="178">
        <f t="shared" si="88"/>
        <v>0</v>
      </c>
      <c r="AS99" s="179">
        <f t="shared" si="88"/>
        <v>0</v>
      </c>
      <c r="AT99" s="178">
        <f t="shared" si="88"/>
        <v>0</v>
      </c>
      <c r="AU99" s="178">
        <f t="shared" si="88"/>
        <v>0</v>
      </c>
      <c r="AV99" s="178">
        <f t="shared" si="88"/>
        <v>0</v>
      </c>
      <c r="AW99" s="179">
        <f t="shared" si="88"/>
        <v>0</v>
      </c>
      <c r="AX99" s="178">
        <f t="shared" si="41"/>
        <v>0</v>
      </c>
      <c r="AY99" s="178">
        <f t="shared" si="41"/>
        <v>0</v>
      </c>
      <c r="AZ99" s="179">
        <f t="shared" si="41"/>
        <v>0</v>
      </c>
      <c r="BA99" s="184">
        <f t="shared" si="40"/>
        <v>146.86634217299999</v>
      </c>
      <c r="BB99" s="178">
        <f t="shared" si="40"/>
        <v>142.01520374999998</v>
      </c>
      <c r="BC99" s="184">
        <f t="shared" si="40"/>
        <v>0</v>
      </c>
      <c r="BD99" s="178">
        <f t="shared" si="40"/>
        <v>0</v>
      </c>
      <c r="BE99" s="251">
        <f t="shared" si="52"/>
        <v>1</v>
      </c>
      <c r="BF99" s="252">
        <f t="shared" si="53"/>
        <v>2289.5800020000001</v>
      </c>
      <c r="BH99" s="262">
        <f t="shared" si="83"/>
        <v>0</v>
      </c>
      <c r="BI99" s="262">
        <f t="shared" si="84"/>
        <v>30.909330027000003</v>
      </c>
      <c r="BJ99" s="262">
        <f t="shared" si="85"/>
        <v>0</v>
      </c>
      <c r="BK99" s="263">
        <f t="shared" si="86"/>
        <v>288.88154592299998</v>
      </c>
      <c r="BL99" s="269">
        <f t="shared" si="87"/>
        <v>0</v>
      </c>
      <c r="BM99" s="264">
        <f t="shared" si="54"/>
        <v>319.79087594999999</v>
      </c>
      <c r="BO99" s="732">
        <f t="shared" si="55"/>
        <v>139.67228734993114</v>
      </c>
    </row>
    <row r="100" spans="2:67" ht="15" customHeight="1" x14ac:dyDescent="0.25">
      <c r="B100" s="156">
        <f t="shared" si="89"/>
        <v>6</v>
      </c>
      <c r="C100" s="180" t="s">
        <v>121</v>
      </c>
      <c r="D100" s="181"/>
      <c r="E100" s="210" t="s">
        <v>118</v>
      </c>
      <c r="G100" s="488">
        <f>SUM('DUoS (t)'!G100,'TUoS (t)'!G100,'JSO (t)'!G100)</f>
        <v>1223.8400000000001</v>
      </c>
      <c r="H100" s="489">
        <f>SUM('DUoS (t)'!H100,'TUoS (t)'!H100,'JSO (t)'!H100)</f>
        <v>5.3E-3</v>
      </c>
      <c r="I100" s="471">
        <f>SUM('DUoS (t)'!I100,'TUoS (t)'!I100,'JSO (t)'!I100)</f>
        <v>0</v>
      </c>
      <c r="J100" s="471">
        <f>SUM('DUoS (t)'!J100,'TUoS (t)'!J100,'JSO (t)'!J100)</f>
        <v>0</v>
      </c>
      <c r="K100" s="472">
        <f>SUM('DUoS (t)'!K100,'TUoS (t)'!K100,'JSO (t)'!K100)</f>
        <v>0</v>
      </c>
      <c r="L100" s="471">
        <f>SUM('DUoS (t)'!L100,'TUoS (t)'!L100,'JSO (t)'!L100)</f>
        <v>0</v>
      </c>
      <c r="M100" s="471">
        <f>SUM('DUoS (t)'!M100,'TUoS (t)'!M100,'JSO (t)'!M100)</f>
        <v>0</v>
      </c>
      <c r="N100" s="471">
        <f>SUM('DUoS (t)'!N100,'TUoS (t)'!N100,'JSO (t)'!N100)</f>
        <v>0</v>
      </c>
      <c r="O100" s="472">
        <f>SUM('DUoS (t)'!O100,'TUoS (t)'!O100,'JSO (t)'!O100)</f>
        <v>0</v>
      </c>
      <c r="P100" s="471">
        <f>SUM('DUoS (t)'!P100,'TUoS (t)'!P100,'JSO (t)'!P100)</f>
        <v>0</v>
      </c>
      <c r="Q100" s="471">
        <f>SUM('DUoS (t)'!Q100,'TUoS (t)'!Q100,'JSO (t)'!Q100)</f>
        <v>0</v>
      </c>
      <c r="R100" s="472">
        <f>SUM('DUoS (t)'!R100,'TUoS (t)'!R100,'JSO (t)'!R100)</f>
        <v>0</v>
      </c>
      <c r="S100" s="489">
        <f>SUM('DUoS (t)'!S100,'TUoS (t)'!S100,'JSO (t)'!S100)</f>
        <v>4.1399999999999999E-2</v>
      </c>
      <c r="T100" s="494">
        <f>SUM('DUoS (t)'!T100,'TUoS (t)'!T100,'JSO (t)'!T100)</f>
        <v>7.3999999999999996E-2</v>
      </c>
      <c r="U100" s="491">
        <f>SUM('DUoS (t)'!U100,'TUoS (t)'!U100,'JSO (t)'!U100)</f>
        <v>0</v>
      </c>
      <c r="V100" s="492">
        <f>SUM('DUoS (t)'!V100,'TUoS (t)'!V100,'JSO (t)'!V100)</f>
        <v>0</v>
      </c>
      <c r="X100" s="183">
        <f>'Q (t)'!G100</f>
        <v>365</v>
      </c>
      <c r="Y100" s="184">
        <f>'Q (t)'!H100</f>
        <v>24772.561650000003</v>
      </c>
      <c r="Z100" s="178">
        <f>'Q (t)'!I100</f>
        <v>0</v>
      </c>
      <c r="AA100" s="178">
        <f>'Q (t)'!J100</f>
        <v>0</v>
      </c>
      <c r="AB100" s="179">
        <f>'Q (t)'!K100</f>
        <v>0</v>
      </c>
      <c r="AC100" s="178">
        <f>'Q (t)'!L100</f>
        <v>0</v>
      </c>
      <c r="AD100" s="178">
        <f>'Q (t)'!M100</f>
        <v>0</v>
      </c>
      <c r="AE100" s="178">
        <f>'Q (t)'!N100</f>
        <v>0</v>
      </c>
      <c r="AF100" s="179">
        <f>'Q (t)'!O100</f>
        <v>0</v>
      </c>
      <c r="AG100" s="178">
        <f>'Q (t)'!P100</f>
        <v>0</v>
      </c>
      <c r="AH100" s="178">
        <f>'Q (t)'!Q100</f>
        <v>0</v>
      </c>
      <c r="AI100" s="179">
        <f>'Q (t)'!R100</f>
        <v>0</v>
      </c>
      <c r="AJ100" s="184">
        <f>'Q (t)'!S100</f>
        <v>1781500.395</v>
      </c>
      <c r="AK100" s="178">
        <f>'Q (t)'!T100</f>
        <v>1825000</v>
      </c>
      <c r="AL100" s="184">
        <f>'Q (t)'!U100</f>
        <v>0</v>
      </c>
      <c r="AM100" s="179">
        <f>'Q (t)'!V100</f>
        <v>0</v>
      </c>
      <c r="AO100" s="183">
        <f t="shared" si="50"/>
        <v>446.70160000000004</v>
      </c>
      <c r="AP100" s="184">
        <f t="shared" si="88"/>
        <v>131.29457674500003</v>
      </c>
      <c r="AQ100" s="178">
        <f t="shared" si="88"/>
        <v>0</v>
      </c>
      <c r="AR100" s="178">
        <f t="shared" si="88"/>
        <v>0</v>
      </c>
      <c r="AS100" s="179">
        <f t="shared" si="88"/>
        <v>0</v>
      </c>
      <c r="AT100" s="178">
        <f t="shared" si="88"/>
        <v>0</v>
      </c>
      <c r="AU100" s="178">
        <f t="shared" si="88"/>
        <v>0</v>
      </c>
      <c r="AV100" s="178">
        <f t="shared" si="88"/>
        <v>0</v>
      </c>
      <c r="AW100" s="179">
        <f t="shared" si="88"/>
        <v>0</v>
      </c>
      <c r="AX100" s="178">
        <f t="shared" si="41"/>
        <v>0</v>
      </c>
      <c r="AY100" s="178">
        <f t="shared" si="41"/>
        <v>0</v>
      </c>
      <c r="AZ100" s="179">
        <f t="shared" si="41"/>
        <v>0</v>
      </c>
      <c r="BA100" s="184">
        <f t="shared" si="40"/>
        <v>73.754116353000001</v>
      </c>
      <c r="BB100" s="178">
        <f t="shared" si="40"/>
        <v>135.05000000000001</v>
      </c>
      <c r="BC100" s="184">
        <f t="shared" si="40"/>
        <v>0</v>
      </c>
      <c r="BD100" s="178">
        <f t="shared" si="40"/>
        <v>0</v>
      </c>
      <c r="BE100" s="251">
        <f t="shared" si="52"/>
        <v>1</v>
      </c>
      <c r="BF100" s="252">
        <f t="shared" si="53"/>
        <v>24772.561650000003</v>
      </c>
      <c r="BH100" s="262">
        <f t="shared" si="83"/>
        <v>446.70160000000004</v>
      </c>
      <c r="BI100" s="262">
        <f t="shared" si="84"/>
        <v>131.29457674500003</v>
      </c>
      <c r="BJ100" s="262">
        <f t="shared" si="85"/>
        <v>0</v>
      </c>
      <c r="BK100" s="263">
        <f t="shared" si="86"/>
        <v>208.80411635300001</v>
      </c>
      <c r="BL100" s="269">
        <f t="shared" si="87"/>
        <v>0</v>
      </c>
      <c r="BM100" s="264">
        <f t="shared" si="54"/>
        <v>786.80029309800011</v>
      </c>
      <c r="BO100" s="732">
        <f t="shared" si="55"/>
        <v>31.760958120291932</v>
      </c>
    </row>
    <row r="101" spans="2:67" ht="15" customHeight="1" x14ac:dyDescent="0.25">
      <c r="B101" s="156"/>
      <c r="C101" s="126" t="s">
        <v>124</v>
      </c>
      <c r="D101" s="202"/>
      <c r="E101" s="202"/>
      <c r="G101" s="493">
        <f>SUM('DUoS (t)'!G101,'TUoS (t)'!G101,'JSO (t)'!G101)</f>
        <v>0</v>
      </c>
      <c r="H101" s="490">
        <f>SUM('DUoS (t)'!H101,'TUoS (t)'!H101,'JSO (t)'!H101)</f>
        <v>0</v>
      </c>
      <c r="I101" s="471">
        <f>SUM('DUoS (t)'!I101,'TUoS (t)'!I101,'JSO (t)'!I101)</f>
        <v>0</v>
      </c>
      <c r="J101" s="471">
        <f>SUM('DUoS (t)'!J101,'TUoS (t)'!J101,'JSO (t)'!J101)</f>
        <v>0</v>
      </c>
      <c r="K101" s="472">
        <f>SUM('DUoS (t)'!K101,'TUoS (t)'!K101,'JSO (t)'!K101)</f>
        <v>0</v>
      </c>
      <c r="L101" s="471">
        <f>SUM('DUoS (t)'!L101,'TUoS (t)'!L101,'JSO (t)'!L101)</f>
        <v>0</v>
      </c>
      <c r="M101" s="471">
        <f>SUM('DUoS (t)'!M101,'TUoS (t)'!M101,'JSO (t)'!M101)</f>
        <v>0</v>
      </c>
      <c r="N101" s="471">
        <f>SUM('DUoS (t)'!N101,'TUoS (t)'!N101,'JSO (t)'!N101)</f>
        <v>0</v>
      </c>
      <c r="O101" s="472">
        <f>SUM('DUoS (t)'!O101,'TUoS (t)'!O101,'JSO (t)'!O101)</f>
        <v>0</v>
      </c>
      <c r="P101" s="471">
        <f>SUM('DUoS (t)'!P101,'TUoS (t)'!P101,'JSO (t)'!P101)</f>
        <v>0</v>
      </c>
      <c r="Q101" s="471">
        <f>SUM('DUoS (t)'!Q101,'TUoS (t)'!Q101,'JSO (t)'!Q101)</f>
        <v>0</v>
      </c>
      <c r="R101" s="472">
        <f>SUM('DUoS (t)'!R101,'TUoS (t)'!R101,'JSO (t)'!R101)</f>
        <v>0</v>
      </c>
      <c r="S101" s="490">
        <f>SUM('DUoS (t)'!S101,'TUoS (t)'!S101,'JSO (t)'!S101)</f>
        <v>0</v>
      </c>
      <c r="T101" s="471">
        <f>SUM('DUoS (t)'!T101,'TUoS (t)'!T101,'JSO (t)'!T101)</f>
        <v>0</v>
      </c>
      <c r="U101" s="490">
        <f>SUM('DUoS (t)'!U101,'TUoS (t)'!U101,'JSO (t)'!U101)</f>
        <v>0</v>
      </c>
      <c r="V101" s="472">
        <f>SUM('DUoS (t)'!V101,'TUoS (t)'!V101,'JSO (t)'!V101)</f>
        <v>0</v>
      </c>
      <c r="X101" s="183">
        <f>'Q (t)'!G101</f>
        <v>0</v>
      </c>
      <c r="Y101" s="184">
        <f>'Q (t)'!H101</f>
        <v>0</v>
      </c>
      <c r="Z101" s="178">
        <f>'Q (t)'!I101</f>
        <v>0</v>
      </c>
      <c r="AA101" s="178">
        <f>'Q (t)'!J101</f>
        <v>0</v>
      </c>
      <c r="AB101" s="179">
        <f>'Q (t)'!K101</f>
        <v>0</v>
      </c>
      <c r="AC101" s="178">
        <f>'Q (t)'!L101</f>
        <v>0</v>
      </c>
      <c r="AD101" s="178">
        <f>'Q (t)'!M101</f>
        <v>0</v>
      </c>
      <c r="AE101" s="178">
        <f>'Q (t)'!N101</f>
        <v>0</v>
      </c>
      <c r="AF101" s="179">
        <f>'Q (t)'!O101</f>
        <v>0</v>
      </c>
      <c r="AG101" s="178">
        <f>'Q (t)'!P101</f>
        <v>0</v>
      </c>
      <c r="AH101" s="178">
        <f>'Q (t)'!Q101</f>
        <v>0</v>
      </c>
      <c r="AI101" s="179">
        <f>'Q (t)'!R101</f>
        <v>0</v>
      </c>
      <c r="AJ101" s="184">
        <f>'Q (t)'!S101</f>
        <v>0</v>
      </c>
      <c r="AK101" s="178">
        <f>'Q (t)'!T101</f>
        <v>0</v>
      </c>
      <c r="AL101" s="184">
        <f>'Q (t)'!U101</f>
        <v>0</v>
      </c>
      <c r="AM101" s="179">
        <f>'Q (t)'!V101</f>
        <v>0</v>
      </c>
      <c r="AO101" s="183">
        <f t="shared" si="50"/>
        <v>0</v>
      </c>
      <c r="AP101" s="184">
        <f t="shared" si="88"/>
        <v>0</v>
      </c>
      <c r="AQ101" s="178">
        <f t="shared" si="88"/>
        <v>0</v>
      </c>
      <c r="AR101" s="178">
        <f t="shared" si="88"/>
        <v>0</v>
      </c>
      <c r="AS101" s="179">
        <f t="shared" si="88"/>
        <v>0</v>
      </c>
      <c r="AT101" s="178">
        <f t="shared" si="88"/>
        <v>0</v>
      </c>
      <c r="AU101" s="178">
        <f t="shared" si="88"/>
        <v>0</v>
      </c>
      <c r="AV101" s="178">
        <f t="shared" si="88"/>
        <v>0</v>
      </c>
      <c r="AW101" s="179">
        <f t="shared" si="88"/>
        <v>0</v>
      </c>
      <c r="AX101" s="178">
        <f t="shared" si="41"/>
        <v>0</v>
      </c>
      <c r="AY101" s="178">
        <f t="shared" si="41"/>
        <v>0</v>
      </c>
      <c r="AZ101" s="179">
        <f t="shared" si="41"/>
        <v>0</v>
      </c>
      <c r="BA101" s="184">
        <f t="shared" si="40"/>
        <v>0</v>
      </c>
      <c r="BB101" s="178">
        <f t="shared" si="40"/>
        <v>0</v>
      </c>
      <c r="BC101" s="184">
        <f t="shared" si="40"/>
        <v>0</v>
      </c>
      <c r="BD101" s="178">
        <f t="shared" si="40"/>
        <v>0</v>
      </c>
      <c r="BE101" s="251">
        <f t="shared" si="52"/>
        <v>0</v>
      </c>
      <c r="BF101" s="252">
        <f t="shared" si="53"/>
        <v>0</v>
      </c>
      <c r="BH101" s="259">
        <f>SUBTOTAL(9,BH102:BH111)</f>
        <v>2465.2465000000002</v>
      </c>
      <c r="BI101" s="259">
        <f t="shared" ref="BI101:BL101" si="90">SUBTOTAL(9,BI102:BI111)</f>
        <v>2314.0851043211997</v>
      </c>
      <c r="BJ101" s="259">
        <f t="shared" si="90"/>
        <v>0</v>
      </c>
      <c r="BK101" s="259">
        <f t="shared" si="90"/>
        <v>6992.8972830179991</v>
      </c>
      <c r="BL101" s="259">
        <f t="shared" si="90"/>
        <v>0</v>
      </c>
      <c r="BM101" s="264">
        <f t="shared" si="54"/>
        <v>11772.228887339199</v>
      </c>
      <c r="BO101" s="732" t="str">
        <f t="shared" si="55"/>
        <v/>
      </c>
    </row>
    <row r="102" spans="2:67" ht="15" customHeight="1" x14ac:dyDescent="0.25">
      <c r="B102" s="156">
        <f>B100+1</f>
        <v>7</v>
      </c>
      <c r="C102" s="180" t="s">
        <v>125</v>
      </c>
      <c r="D102" s="181"/>
      <c r="E102" s="210" t="s">
        <v>126</v>
      </c>
      <c r="G102" s="488">
        <f>SUM('DUoS (t)'!G102,'TUoS (t)'!G102,'JSO (t)'!G102)</f>
        <v>3487.2</v>
      </c>
      <c r="H102" s="489">
        <f>SUM('DUoS (t)'!H102,'TUoS (t)'!H102,'JSO (t)'!H102)</f>
        <v>5.3E-3</v>
      </c>
      <c r="I102" s="471">
        <f>SUM('DUoS (t)'!I102,'TUoS (t)'!I102,'JSO (t)'!I102)</f>
        <v>0</v>
      </c>
      <c r="J102" s="471">
        <f>SUM('DUoS (t)'!J102,'TUoS (t)'!J102,'JSO (t)'!J102)</f>
        <v>0</v>
      </c>
      <c r="K102" s="472">
        <f>SUM('DUoS (t)'!K102,'TUoS (t)'!K102,'JSO (t)'!K102)</f>
        <v>0</v>
      </c>
      <c r="L102" s="471">
        <f>SUM('DUoS (t)'!L102,'TUoS (t)'!L102,'JSO (t)'!L102)</f>
        <v>0</v>
      </c>
      <c r="M102" s="471">
        <f>SUM('DUoS (t)'!M102,'TUoS (t)'!M102,'JSO (t)'!M102)</f>
        <v>0</v>
      </c>
      <c r="N102" s="471">
        <f>SUM('DUoS (t)'!N102,'TUoS (t)'!N102,'JSO (t)'!N102)</f>
        <v>0</v>
      </c>
      <c r="O102" s="472">
        <f>SUM('DUoS (t)'!O102,'TUoS (t)'!O102,'JSO (t)'!O102)</f>
        <v>0</v>
      </c>
      <c r="P102" s="471">
        <f>SUM('DUoS (t)'!P102,'TUoS (t)'!P102,'JSO (t)'!P102)</f>
        <v>0</v>
      </c>
      <c r="Q102" s="471">
        <f>SUM('DUoS (t)'!Q102,'TUoS (t)'!Q102,'JSO (t)'!Q102)</f>
        <v>0</v>
      </c>
      <c r="R102" s="472">
        <f>SUM('DUoS (t)'!R102,'TUoS (t)'!R102,'JSO (t)'!R102)</f>
        <v>0</v>
      </c>
      <c r="S102" s="489">
        <f>SUM('DUoS (t)'!S102,'TUoS (t)'!S102,'JSO (t)'!S102)</f>
        <v>4.1399999999999999E-2</v>
      </c>
      <c r="T102" s="494">
        <f>SUM('DUoS (t)'!T102,'TUoS (t)'!T102,'JSO (t)'!T102)</f>
        <v>7.3999999999999996E-2</v>
      </c>
      <c r="U102" s="491">
        <f>SUM('DUoS (t)'!U102,'TUoS (t)'!U102,'JSO (t)'!U102)</f>
        <v>0</v>
      </c>
      <c r="V102" s="492">
        <f>SUM('DUoS (t)'!V102,'TUoS (t)'!V102,'JSO (t)'!V102)</f>
        <v>0</v>
      </c>
      <c r="X102" s="183">
        <f>'Q (t)'!G102</f>
        <v>365</v>
      </c>
      <c r="Y102" s="184">
        <f>'Q (t)'!H102</f>
        <v>74000</v>
      </c>
      <c r="Z102" s="178">
        <f>'Q (t)'!I102</f>
        <v>0</v>
      </c>
      <c r="AA102" s="178">
        <f>'Q (t)'!J102</f>
        <v>0</v>
      </c>
      <c r="AB102" s="179">
        <f>'Q (t)'!K102</f>
        <v>0</v>
      </c>
      <c r="AC102" s="178">
        <f>'Q (t)'!L102</f>
        <v>0</v>
      </c>
      <c r="AD102" s="178">
        <f>'Q (t)'!M102</f>
        <v>0</v>
      </c>
      <c r="AE102" s="178">
        <f>'Q (t)'!N102</f>
        <v>0</v>
      </c>
      <c r="AF102" s="179">
        <f>'Q (t)'!O102</f>
        <v>0</v>
      </c>
      <c r="AG102" s="178">
        <f>'Q (t)'!P102</f>
        <v>0</v>
      </c>
      <c r="AH102" s="178">
        <f>'Q (t)'!Q102</f>
        <v>0</v>
      </c>
      <c r="AI102" s="179">
        <f>'Q (t)'!R102</f>
        <v>0</v>
      </c>
      <c r="AJ102" s="184">
        <f>'Q (t)'!S102</f>
        <v>4078845.07</v>
      </c>
      <c r="AK102" s="178">
        <f>'Q (t)'!T102</f>
        <v>5133823.55</v>
      </c>
      <c r="AL102" s="184">
        <f>'Q (t)'!U102</f>
        <v>0</v>
      </c>
      <c r="AM102" s="179">
        <f>'Q (t)'!V102</f>
        <v>0</v>
      </c>
      <c r="AO102" s="183">
        <f t="shared" si="50"/>
        <v>1272.828</v>
      </c>
      <c r="AP102" s="184">
        <f t="shared" si="88"/>
        <v>392.2</v>
      </c>
      <c r="AQ102" s="178">
        <f t="shared" si="88"/>
        <v>0</v>
      </c>
      <c r="AR102" s="178">
        <f t="shared" si="88"/>
        <v>0</v>
      </c>
      <c r="AS102" s="179">
        <f t="shared" si="88"/>
        <v>0</v>
      </c>
      <c r="AT102" s="178">
        <f t="shared" si="88"/>
        <v>0</v>
      </c>
      <c r="AU102" s="178">
        <f t="shared" si="88"/>
        <v>0</v>
      </c>
      <c r="AV102" s="178">
        <f t="shared" si="88"/>
        <v>0</v>
      </c>
      <c r="AW102" s="179">
        <f t="shared" si="88"/>
        <v>0</v>
      </c>
      <c r="AX102" s="178">
        <f t="shared" si="41"/>
        <v>0</v>
      </c>
      <c r="AY102" s="178">
        <f t="shared" si="41"/>
        <v>0</v>
      </c>
      <c r="AZ102" s="179">
        <f t="shared" si="41"/>
        <v>0</v>
      </c>
      <c r="BA102" s="184">
        <f t="shared" si="40"/>
        <v>168.86418589799999</v>
      </c>
      <c r="BB102" s="178">
        <f t="shared" si="40"/>
        <v>379.90294269999998</v>
      </c>
      <c r="BC102" s="184">
        <f t="shared" si="40"/>
        <v>0</v>
      </c>
      <c r="BD102" s="178">
        <f t="shared" si="40"/>
        <v>0</v>
      </c>
      <c r="BE102" s="251">
        <f t="shared" si="52"/>
        <v>1</v>
      </c>
      <c r="BF102" s="252">
        <f t="shared" si="53"/>
        <v>74000</v>
      </c>
      <c r="BH102" s="262">
        <f t="shared" ref="BH102:BH111" si="91">SUM(AO102)</f>
        <v>1272.828</v>
      </c>
      <c r="BI102" s="262">
        <f t="shared" ref="BI102:BI111" si="92">SUM(AP102:AS102)</f>
        <v>392.2</v>
      </c>
      <c r="BJ102" s="262">
        <f t="shared" ref="BJ102:BJ111" si="93">SUM(AT102:AW102)</f>
        <v>0</v>
      </c>
      <c r="BK102" s="263">
        <f t="shared" ref="BK102:BK111" si="94">SUM(AX102:BB102)</f>
        <v>548.767128598</v>
      </c>
      <c r="BL102" s="269">
        <f t="shared" ref="BL102:BL111" si="95">SUM(BC102:BD102)</f>
        <v>0</v>
      </c>
      <c r="BM102" s="264">
        <f t="shared" si="54"/>
        <v>2213.7951285979998</v>
      </c>
      <c r="BO102" s="732">
        <f t="shared" si="55"/>
        <v>29.91615038645946</v>
      </c>
    </row>
    <row r="103" spans="2:67" ht="15" customHeight="1" x14ac:dyDescent="0.25">
      <c r="B103" s="156">
        <f t="shared" si="89"/>
        <v>8</v>
      </c>
      <c r="C103" s="180" t="s">
        <v>127</v>
      </c>
      <c r="D103" s="181"/>
      <c r="E103" s="210" t="s">
        <v>126</v>
      </c>
      <c r="G103" s="488">
        <f>SUM('DUoS (t)'!G103,'TUoS (t)'!G103,'JSO (t)'!G103)</f>
        <v>113.9</v>
      </c>
      <c r="H103" s="489">
        <f>SUM('DUoS (t)'!H103,'TUoS (t)'!H103,'JSO (t)'!H103)</f>
        <v>5.3E-3</v>
      </c>
      <c r="I103" s="471">
        <f>SUM('DUoS (t)'!I103,'TUoS (t)'!I103,'JSO (t)'!I103)</f>
        <v>0</v>
      </c>
      <c r="J103" s="471">
        <f>SUM('DUoS (t)'!J103,'TUoS (t)'!J103,'JSO (t)'!J103)</f>
        <v>0</v>
      </c>
      <c r="K103" s="472">
        <f>SUM('DUoS (t)'!K103,'TUoS (t)'!K103,'JSO (t)'!K103)</f>
        <v>0</v>
      </c>
      <c r="L103" s="471">
        <f>SUM('DUoS (t)'!L103,'TUoS (t)'!L103,'JSO (t)'!L103)</f>
        <v>0</v>
      </c>
      <c r="M103" s="471">
        <f>SUM('DUoS (t)'!M103,'TUoS (t)'!M103,'JSO (t)'!M103)</f>
        <v>0</v>
      </c>
      <c r="N103" s="471">
        <f>SUM('DUoS (t)'!N103,'TUoS (t)'!N103,'JSO (t)'!N103)</f>
        <v>0</v>
      </c>
      <c r="O103" s="472">
        <f>SUM('DUoS (t)'!O103,'TUoS (t)'!O103,'JSO (t)'!O103)</f>
        <v>0</v>
      </c>
      <c r="P103" s="471">
        <f>SUM('DUoS (t)'!P103,'TUoS (t)'!P103,'JSO (t)'!P103)</f>
        <v>0</v>
      </c>
      <c r="Q103" s="471">
        <f>SUM('DUoS (t)'!Q103,'TUoS (t)'!Q103,'JSO (t)'!Q103)</f>
        <v>0</v>
      </c>
      <c r="R103" s="472">
        <f>SUM('DUoS (t)'!R103,'TUoS (t)'!R103,'JSO (t)'!R103)</f>
        <v>0</v>
      </c>
      <c r="S103" s="489">
        <f>SUM('DUoS (t)'!S103,'TUoS (t)'!S103,'JSO (t)'!S103)</f>
        <v>0.2198</v>
      </c>
      <c r="T103" s="494">
        <f>SUM('DUoS (t)'!T103,'TUoS (t)'!T103,'JSO (t)'!T103)</f>
        <v>7.3999999999999996E-2</v>
      </c>
      <c r="U103" s="491">
        <f>SUM('DUoS (t)'!U103,'TUoS (t)'!U103,'JSO (t)'!U103)</f>
        <v>0</v>
      </c>
      <c r="V103" s="492">
        <f>SUM('DUoS (t)'!V103,'TUoS (t)'!V103,'JSO (t)'!V103)</f>
        <v>0</v>
      </c>
      <c r="X103" s="183">
        <f>'Q (t)'!G103</f>
        <v>365</v>
      </c>
      <c r="Y103" s="184">
        <f>'Q (t)'!H103</f>
        <v>174006.38800000001</v>
      </c>
      <c r="Z103" s="178">
        <f>'Q (t)'!I103</f>
        <v>0</v>
      </c>
      <c r="AA103" s="178">
        <f>'Q (t)'!J103</f>
        <v>0</v>
      </c>
      <c r="AB103" s="179">
        <f>'Q (t)'!K103</f>
        <v>0</v>
      </c>
      <c r="AC103" s="178">
        <f>'Q (t)'!L103</f>
        <v>0</v>
      </c>
      <c r="AD103" s="178">
        <f>'Q (t)'!M103</f>
        <v>0</v>
      </c>
      <c r="AE103" s="178">
        <f>'Q (t)'!N103</f>
        <v>0</v>
      </c>
      <c r="AF103" s="179">
        <f>'Q (t)'!O103</f>
        <v>0</v>
      </c>
      <c r="AG103" s="178">
        <f>'Q (t)'!P103</f>
        <v>0</v>
      </c>
      <c r="AH103" s="178">
        <f>'Q (t)'!Q103</f>
        <v>0</v>
      </c>
      <c r="AI103" s="179">
        <f>'Q (t)'!R103</f>
        <v>0</v>
      </c>
      <c r="AJ103" s="184">
        <f>'Q (t)'!S103</f>
        <v>9781182.7649999987</v>
      </c>
      <c r="AK103" s="178">
        <f>'Q (t)'!T103</f>
        <v>9817630.5700000003</v>
      </c>
      <c r="AL103" s="184">
        <f>'Q (t)'!U103</f>
        <v>0</v>
      </c>
      <c r="AM103" s="179">
        <f>'Q (t)'!V103</f>
        <v>0</v>
      </c>
      <c r="AO103" s="183">
        <f t="shared" si="50"/>
        <v>41.573500000000003</v>
      </c>
      <c r="AP103" s="184">
        <f t="shared" si="88"/>
        <v>922.23385640000004</v>
      </c>
      <c r="AQ103" s="178">
        <f t="shared" si="88"/>
        <v>0</v>
      </c>
      <c r="AR103" s="178">
        <f t="shared" si="88"/>
        <v>0</v>
      </c>
      <c r="AS103" s="179">
        <f t="shared" si="88"/>
        <v>0</v>
      </c>
      <c r="AT103" s="178">
        <f t="shared" si="88"/>
        <v>0</v>
      </c>
      <c r="AU103" s="178">
        <f t="shared" si="88"/>
        <v>0</v>
      </c>
      <c r="AV103" s="178">
        <f t="shared" si="88"/>
        <v>0</v>
      </c>
      <c r="AW103" s="179">
        <f t="shared" si="88"/>
        <v>0</v>
      </c>
      <c r="AX103" s="178">
        <f t="shared" si="41"/>
        <v>0</v>
      </c>
      <c r="AY103" s="178">
        <f t="shared" si="41"/>
        <v>0</v>
      </c>
      <c r="AZ103" s="179">
        <f t="shared" si="41"/>
        <v>0</v>
      </c>
      <c r="BA103" s="184">
        <f t="shared" si="40"/>
        <v>2149.9039717469996</v>
      </c>
      <c r="BB103" s="178">
        <f t="shared" si="40"/>
        <v>726.50466217999997</v>
      </c>
      <c r="BC103" s="184">
        <f t="shared" si="40"/>
        <v>0</v>
      </c>
      <c r="BD103" s="178">
        <f t="shared" si="40"/>
        <v>0</v>
      </c>
      <c r="BE103" s="251">
        <f t="shared" si="52"/>
        <v>1</v>
      </c>
      <c r="BF103" s="252">
        <f t="shared" si="53"/>
        <v>174006.38800000001</v>
      </c>
      <c r="BH103" s="262">
        <f t="shared" si="91"/>
        <v>41.573500000000003</v>
      </c>
      <c r="BI103" s="262">
        <f t="shared" si="92"/>
        <v>922.23385640000004</v>
      </c>
      <c r="BJ103" s="262">
        <f t="shared" si="93"/>
        <v>0</v>
      </c>
      <c r="BK103" s="263">
        <f t="shared" si="94"/>
        <v>2876.4086339269998</v>
      </c>
      <c r="BL103" s="269">
        <f t="shared" si="95"/>
        <v>0</v>
      </c>
      <c r="BM103" s="264">
        <f t="shared" si="54"/>
        <v>3840.2159903269999</v>
      </c>
      <c r="BO103" s="732">
        <f t="shared" si="55"/>
        <v>22.069396615065646</v>
      </c>
    </row>
    <row r="104" spans="2:67" ht="15" customHeight="1" x14ac:dyDescent="0.25">
      <c r="B104" s="156">
        <f t="shared" si="89"/>
        <v>9</v>
      </c>
      <c r="C104" s="180" t="s">
        <v>128</v>
      </c>
      <c r="D104" s="181"/>
      <c r="E104" s="210" t="s">
        <v>126</v>
      </c>
      <c r="G104" s="488">
        <f>SUM('DUoS (t)'!G104,'TUoS (t)'!G104,'JSO (t)'!G104)</f>
        <v>168.9</v>
      </c>
      <c r="H104" s="489">
        <f>SUM('DUoS (t)'!H104,'TUoS (t)'!H104,'JSO (t)'!H104)</f>
        <v>5.3E-3</v>
      </c>
      <c r="I104" s="471">
        <f>SUM('DUoS (t)'!I104,'TUoS (t)'!I104,'JSO (t)'!I104)</f>
        <v>0</v>
      </c>
      <c r="J104" s="471">
        <f>SUM('DUoS (t)'!J104,'TUoS (t)'!J104,'JSO (t)'!J104)</f>
        <v>0</v>
      </c>
      <c r="K104" s="472">
        <f>SUM('DUoS (t)'!K104,'TUoS (t)'!K104,'JSO (t)'!K104)</f>
        <v>0</v>
      </c>
      <c r="L104" s="471">
        <f>SUM('DUoS (t)'!L104,'TUoS (t)'!L104,'JSO (t)'!L104)</f>
        <v>0</v>
      </c>
      <c r="M104" s="471">
        <f>SUM('DUoS (t)'!M104,'TUoS (t)'!M104,'JSO (t)'!M104)</f>
        <v>0</v>
      </c>
      <c r="N104" s="471">
        <f>SUM('DUoS (t)'!N104,'TUoS (t)'!N104,'JSO (t)'!N104)</f>
        <v>0</v>
      </c>
      <c r="O104" s="472">
        <f>SUM('DUoS (t)'!O104,'TUoS (t)'!O104,'JSO (t)'!O104)</f>
        <v>0</v>
      </c>
      <c r="P104" s="471">
        <f>SUM('DUoS (t)'!P104,'TUoS (t)'!P104,'JSO (t)'!P104)</f>
        <v>0</v>
      </c>
      <c r="Q104" s="471">
        <f>SUM('DUoS (t)'!Q104,'TUoS (t)'!Q104,'JSO (t)'!Q104)</f>
        <v>0</v>
      </c>
      <c r="R104" s="472">
        <f>SUM('DUoS (t)'!R104,'TUoS (t)'!R104,'JSO (t)'!R104)</f>
        <v>0</v>
      </c>
      <c r="S104" s="489">
        <f>SUM('DUoS (t)'!S104,'TUoS (t)'!S104,'JSO (t)'!S104)</f>
        <v>0.26180000000000003</v>
      </c>
      <c r="T104" s="494">
        <f>SUM('DUoS (t)'!T104,'TUoS (t)'!T104,'JSO (t)'!T104)</f>
        <v>7.3999999999999996E-2</v>
      </c>
      <c r="U104" s="491">
        <f>SUM('DUoS (t)'!U104,'TUoS (t)'!U104,'JSO (t)'!U104)</f>
        <v>0</v>
      </c>
      <c r="V104" s="492">
        <f>SUM('DUoS (t)'!V104,'TUoS (t)'!V104,'JSO (t)'!V104)</f>
        <v>0</v>
      </c>
      <c r="X104" s="183">
        <f>'Q (t)'!G104</f>
        <v>365</v>
      </c>
      <c r="Y104" s="184">
        <f>'Q (t)'!H104</f>
        <v>23846.443004000001</v>
      </c>
      <c r="Z104" s="178">
        <f>'Q (t)'!I104</f>
        <v>0</v>
      </c>
      <c r="AA104" s="178">
        <f>'Q (t)'!J104</f>
        <v>0</v>
      </c>
      <c r="AB104" s="179">
        <f>'Q (t)'!K104</f>
        <v>0</v>
      </c>
      <c r="AC104" s="178">
        <f>'Q (t)'!L104</f>
        <v>0</v>
      </c>
      <c r="AD104" s="178">
        <f>'Q (t)'!M104</f>
        <v>0</v>
      </c>
      <c r="AE104" s="178">
        <f>'Q (t)'!N104</f>
        <v>0</v>
      </c>
      <c r="AF104" s="179">
        <f>'Q (t)'!O104</f>
        <v>0</v>
      </c>
      <c r="AG104" s="178">
        <f>'Q (t)'!P104</f>
        <v>0</v>
      </c>
      <c r="AH104" s="178">
        <f>'Q (t)'!Q104</f>
        <v>0</v>
      </c>
      <c r="AI104" s="179">
        <f>'Q (t)'!R104</f>
        <v>0</v>
      </c>
      <c r="AJ104" s="184">
        <f>'Q (t)'!S104</f>
        <v>1524599.5249999999</v>
      </c>
      <c r="AK104" s="178">
        <f>'Q (t)'!T104</f>
        <v>1825000</v>
      </c>
      <c r="AL104" s="184">
        <f>'Q (t)'!U104</f>
        <v>0</v>
      </c>
      <c r="AM104" s="179">
        <f>'Q (t)'!V104</f>
        <v>0</v>
      </c>
      <c r="AO104" s="183">
        <f t="shared" si="50"/>
        <v>61.648499999999999</v>
      </c>
      <c r="AP104" s="184">
        <f t="shared" si="88"/>
        <v>126.38614792120001</v>
      </c>
      <c r="AQ104" s="178">
        <f t="shared" si="88"/>
        <v>0</v>
      </c>
      <c r="AR104" s="178">
        <f t="shared" si="88"/>
        <v>0</v>
      </c>
      <c r="AS104" s="179">
        <f t="shared" si="88"/>
        <v>0</v>
      </c>
      <c r="AT104" s="178">
        <f t="shared" si="88"/>
        <v>0</v>
      </c>
      <c r="AU104" s="178">
        <f t="shared" si="88"/>
        <v>0</v>
      </c>
      <c r="AV104" s="178">
        <f t="shared" si="88"/>
        <v>0</v>
      </c>
      <c r="AW104" s="179">
        <f t="shared" si="88"/>
        <v>0</v>
      </c>
      <c r="AX104" s="178">
        <f t="shared" si="41"/>
        <v>0</v>
      </c>
      <c r="AY104" s="178">
        <f t="shared" si="41"/>
        <v>0</v>
      </c>
      <c r="AZ104" s="179">
        <f t="shared" si="41"/>
        <v>0</v>
      </c>
      <c r="BA104" s="184">
        <f t="shared" si="40"/>
        <v>399.14015564500005</v>
      </c>
      <c r="BB104" s="178">
        <f t="shared" si="40"/>
        <v>135.05000000000001</v>
      </c>
      <c r="BC104" s="184">
        <f t="shared" si="40"/>
        <v>0</v>
      </c>
      <c r="BD104" s="178">
        <f t="shared" si="40"/>
        <v>0</v>
      </c>
      <c r="BE104" s="251">
        <f t="shared" si="52"/>
        <v>1</v>
      </c>
      <c r="BF104" s="252">
        <f t="shared" si="53"/>
        <v>23846.443004000001</v>
      </c>
      <c r="BH104" s="262">
        <f t="shared" si="91"/>
        <v>61.648499999999999</v>
      </c>
      <c r="BI104" s="262">
        <f t="shared" si="92"/>
        <v>126.38614792120001</v>
      </c>
      <c r="BJ104" s="262">
        <f t="shared" si="93"/>
        <v>0</v>
      </c>
      <c r="BK104" s="263">
        <f t="shared" si="94"/>
        <v>534.190155645</v>
      </c>
      <c r="BL104" s="269">
        <f t="shared" si="95"/>
        <v>0</v>
      </c>
      <c r="BM104" s="264">
        <f t="shared" si="54"/>
        <v>722.22480356620008</v>
      </c>
      <c r="BO104" s="732">
        <f t="shared" si="55"/>
        <v>30.28647934809624</v>
      </c>
    </row>
    <row r="105" spans="2:67" ht="15" customHeight="1" x14ac:dyDescent="0.25">
      <c r="B105" s="156">
        <f t="shared" si="89"/>
        <v>10</v>
      </c>
      <c r="C105" s="180"/>
      <c r="D105" s="181" t="s">
        <v>129</v>
      </c>
      <c r="E105" s="210" t="s">
        <v>126</v>
      </c>
      <c r="G105" s="488">
        <f>SUM('DUoS (t)'!G105,'TUoS (t)'!G105,'JSO (t)'!G105)</f>
        <v>150.5</v>
      </c>
      <c r="H105" s="489">
        <f>SUM('DUoS (t)'!H105,'TUoS (t)'!H105,'JSO (t)'!H105)</f>
        <v>5.3E-3</v>
      </c>
      <c r="I105" s="471">
        <f>SUM('DUoS (t)'!I105,'TUoS (t)'!I105,'JSO (t)'!I105)</f>
        <v>0</v>
      </c>
      <c r="J105" s="471">
        <f>SUM('DUoS (t)'!J105,'TUoS (t)'!J105,'JSO (t)'!J105)</f>
        <v>0</v>
      </c>
      <c r="K105" s="472">
        <f>SUM('DUoS (t)'!K105,'TUoS (t)'!K105,'JSO (t)'!K105)</f>
        <v>0</v>
      </c>
      <c r="L105" s="471">
        <f>SUM('DUoS (t)'!L105,'TUoS (t)'!L105,'JSO (t)'!L105)</f>
        <v>0</v>
      </c>
      <c r="M105" s="471">
        <f>SUM('DUoS (t)'!M105,'TUoS (t)'!M105,'JSO (t)'!M105)</f>
        <v>0</v>
      </c>
      <c r="N105" s="471">
        <f>SUM('DUoS (t)'!N105,'TUoS (t)'!N105,'JSO (t)'!N105)</f>
        <v>0</v>
      </c>
      <c r="O105" s="472">
        <f>SUM('DUoS (t)'!O105,'TUoS (t)'!O105,'JSO (t)'!O105)</f>
        <v>0</v>
      </c>
      <c r="P105" s="471">
        <f>SUM('DUoS (t)'!P105,'TUoS (t)'!P105,'JSO (t)'!P105)</f>
        <v>0</v>
      </c>
      <c r="Q105" s="471">
        <f>SUM('DUoS (t)'!Q105,'TUoS (t)'!Q105,'JSO (t)'!Q105)</f>
        <v>0</v>
      </c>
      <c r="R105" s="472">
        <f>SUM('DUoS (t)'!R105,'TUoS (t)'!R105,'JSO (t)'!R105)</f>
        <v>0</v>
      </c>
      <c r="S105" s="489">
        <f>SUM('DUoS (t)'!S105,'TUoS (t)'!S105,'JSO (t)'!S105)</f>
        <v>0.25530000000000003</v>
      </c>
      <c r="T105" s="494">
        <f>SUM('DUoS (t)'!T105,'TUoS (t)'!T105,'JSO (t)'!T105)</f>
        <v>7.3999999999999996E-2</v>
      </c>
      <c r="U105" s="491">
        <f>SUM('DUoS (t)'!U105,'TUoS (t)'!U105,'JSO (t)'!U105)</f>
        <v>0</v>
      </c>
      <c r="V105" s="492">
        <f>SUM('DUoS (t)'!V105,'TUoS (t)'!V105,'JSO (t)'!V105)</f>
        <v>0</v>
      </c>
      <c r="X105" s="183">
        <f>'Q (t)'!G105</f>
        <v>365</v>
      </c>
      <c r="Y105" s="184">
        <f>'Q (t)'!H105</f>
        <v>27300</v>
      </c>
      <c r="Z105" s="178">
        <f>'Q (t)'!I105</f>
        <v>0</v>
      </c>
      <c r="AA105" s="178">
        <f>'Q (t)'!J105</f>
        <v>0</v>
      </c>
      <c r="AB105" s="179">
        <f>'Q (t)'!K105</f>
        <v>0</v>
      </c>
      <c r="AC105" s="178">
        <f>'Q (t)'!L105</f>
        <v>0</v>
      </c>
      <c r="AD105" s="178">
        <f>'Q (t)'!M105</f>
        <v>0</v>
      </c>
      <c r="AE105" s="178">
        <f>'Q (t)'!N105</f>
        <v>0</v>
      </c>
      <c r="AF105" s="179">
        <f>'Q (t)'!O105</f>
        <v>0</v>
      </c>
      <c r="AG105" s="178">
        <f>'Q (t)'!P105</f>
        <v>0</v>
      </c>
      <c r="AH105" s="178">
        <f>'Q (t)'!Q105</f>
        <v>0</v>
      </c>
      <c r="AI105" s="179">
        <f>'Q (t)'!R105</f>
        <v>0</v>
      </c>
      <c r="AJ105" s="184">
        <f>'Q (t)'!S105</f>
        <v>3470830.26</v>
      </c>
      <c r="AK105" s="178">
        <f>'Q (t)'!T105</f>
        <v>3472358.15</v>
      </c>
      <c r="AL105" s="184">
        <f>'Q (t)'!U105</f>
        <v>0</v>
      </c>
      <c r="AM105" s="179">
        <f>'Q (t)'!V105</f>
        <v>0</v>
      </c>
      <c r="AO105" s="183">
        <f t="shared" si="50"/>
        <v>54.932499999999997</v>
      </c>
      <c r="AP105" s="184">
        <f t="shared" si="88"/>
        <v>144.69</v>
      </c>
      <c r="AQ105" s="178">
        <f t="shared" si="88"/>
        <v>0</v>
      </c>
      <c r="AR105" s="178">
        <f t="shared" si="88"/>
        <v>0</v>
      </c>
      <c r="AS105" s="179">
        <f t="shared" si="88"/>
        <v>0</v>
      </c>
      <c r="AT105" s="178">
        <f t="shared" si="88"/>
        <v>0</v>
      </c>
      <c r="AU105" s="178">
        <f t="shared" si="88"/>
        <v>0</v>
      </c>
      <c r="AV105" s="178">
        <f t="shared" si="88"/>
        <v>0</v>
      </c>
      <c r="AW105" s="179">
        <f t="shared" si="88"/>
        <v>0</v>
      </c>
      <c r="AX105" s="178">
        <f t="shared" si="41"/>
        <v>0</v>
      </c>
      <c r="AY105" s="178">
        <f t="shared" si="41"/>
        <v>0</v>
      </c>
      <c r="AZ105" s="179">
        <f t="shared" si="41"/>
        <v>0</v>
      </c>
      <c r="BA105" s="184">
        <f t="shared" si="40"/>
        <v>886.10296537800002</v>
      </c>
      <c r="BB105" s="178">
        <f t="shared" si="40"/>
        <v>256.95450309999995</v>
      </c>
      <c r="BC105" s="184">
        <f t="shared" si="40"/>
        <v>0</v>
      </c>
      <c r="BD105" s="178">
        <f t="shared" si="40"/>
        <v>0</v>
      </c>
      <c r="BE105" s="251">
        <f t="shared" si="52"/>
        <v>1</v>
      </c>
      <c r="BF105" s="252">
        <f t="shared" si="53"/>
        <v>27300</v>
      </c>
      <c r="BH105" s="262">
        <f t="shared" si="91"/>
        <v>54.932499999999997</v>
      </c>
      <c r="BI105" s="262">
        <f t="shared" si="92"/>
        <v>144.69</v>
      </c>
      <c r="BJ105" s="262">
        <f t="shared" si="93"/>
        <v>0</v>
      </c>
      <c r="BK105" s="263">
        <f t="shared" si="94"/>
        <v>1143.0574684779999</v>
      </c>
      <c r="BL105" s="269">
        <f t="shared" si="95"/>
        <v>0</v>
      </c>
      <c r="BM105" s="264">
        <f t="shared" si="54"/>
        <v>1342.6799684779999</v>
      </c>
      <c r="BO105" s="732">
        <f t="shared" si="55"/>
        <v>49.18241642776556</v>
      </c>
    </row>
    <row r="106" spans="2:67" ht="15" customHeight="1" x14ac:dyDescent="0.25">
      <c r="B106" s="156">
        <f t="shared" si="89"/>
        <v>11</v>
      </c>
      <c r="C106" s="180" t="s">
        <v>582</v>
      </c>
      <c r="D106" s="181"/>
      <c r="E106" s="210" t="s">
        <v>126</v>
      </c>
      <c r="G106" s="488">
        <f>SUM('DUoS (t)'!G106,'TUoS (t)'!G106,'JSO (t)'!G106)</f>
        <v>0</v>
      </c>
      <c r="H106" s="489">
        <f>SUM('DUoS (t)'!H106,'TUoS (t)'!H106,'JSO (t)'!H106)</f>
        <v>1.35E-2</v>
      </c>
      <c r="I106" s="471">
        <f>SUM('DUoS (t)'!I106,'TUoS (t)'!I106,'JSO (t)'!I106)</f>
        <v>0</v>
      </c>
      <c r="J106" s="471">
        <f>SUM('DUoS (t)'!J106,'TUoS (t)'!J106,'JSO (t)'!J106)</f>
        <v>0</v>
      </c>
      <c r="K106" s="472">
        <f>SUM('DUoS (t)'!K106,'TUoS (t)'!K106,'JSO (t)'!K106)</f>
        <v>0</v>
      </c>
      <c r="L106" s="471">
        <f>SUM('DUoS (t)'!L106,'TUoS (t)'!L106,'JSO (t)'!L106)</f>
        <v>0</v>
      </c>
      <c r="M106" s="471">
        <f>SUM('DUoS (t)'!M106,'TUoS (t)'!M106,'JSO (t)'!M106)</f>
        <v>0</v>
      </c>
      <c r="N106" s="471">
        <f>SUM('DUoS (t)'!N106,'TUoS (t)'!N106,'JSO (t)'!N106)</f>
        <v>0</v>
      </c>
      <c r="O106" s="472">
        <f>SUM('DUoS (t)'!O106,'TUoS (t)'!O106,'JSO (t)'!O106)</f>
        <v>0</v>
      </c>
      <c r="P106" s="471">
        <f>SUM('DUoS (t)'!P106,'TUoS (t)'!P106,'JSO (t)'!P106)</f>
        <v>0</v>
      </c>
      <c r="Q106" s="471">
        <f>SUM('DUoS (t)'!Q106,'TUoS (t)'!Q106,'JSO (t)'!Q106)</f>
        <v>0</v>
      </c>
      <c r="R106" s="472">
        <f>SUM('DUoS (t)'!R106,'TUoS (t)'!R106,'JSO (t)'!R106)</f>
        <v>0</v>
      </c>
      <c r="S106" s="489">
        <f>SUM('DUoS (t)'!S106,'TUoS (t)'!S106,'JSO (t)'!S106)</f>
        <v>0.1497</v>
      </c>
      <c r="T106" s="494">
        <f>SUM('DUoS (t)'!T106,'TUoS (t)'!T106,'JSO (t)'!T106)</f>
        <v>7.3999999999999996E-2</v>
      </c>
      <c r="U106" s="491">
        <f>SUM('DUoS (t)'!U106,'TUoS (t)'!U106,'JSO (t)'!U106)</f>
        <v>0</v>
      </c>
      <c r="V106" s="492">
        <f>SUM('DUoS (t)'!V106,'TUoS (t)'!V106,'JSO (t)'!V106)</f>
        <v>0</v>
      </c>
      <c r="X106" s="183">
        <f>'Q (t)'!G106</f>
        <v>365</v>
      </c>
      <c r="Y106" s="184">
        <f>'Q (t)'!H106</f>
        <v>10600</v>
      </c>
      <c r="Z106" s="178">
        <f>'Q (t)'!I106</f>
        <v>0</v>
      </c>
      <c r="AA106" s="178">
        <f>'Q (t)'!J106</f>
        <v>0</v>
      </c>
      <c r="AB106" s="179">
        <f>'Q (t)'!K106</f>
        <v>0</v>
      </c>
      <c r="AC106" s="178">
        <f>'Q (t)'!L106</f>
        <v>0</v>
      </c>
      <c r="AD106" s="178">
        <f>'Q (t)'!M106</f>
        <v>0</v>
      </c>
      <c r="AE106" s="178">
        <f>'Q (t)'!N106</f>
        <v>0</v>
      </c>
      <c r="AF106" s="179">
        <f>'Q (t)'!O106</f>
        <v>0</v>
      </c>
      <c r="AG106" s="178">
        <f>'Q (t)'!P106</f>
        <v>0</v>
      </c>
      <c r="AH106" s="178">
        <f>'Q (t)'!Q106</f>
        <v>0</v>
      </c>
      <c r="AI106" s="179">
        <f>'Q (t)'!R106</f>
        <v>0</v>
      </c>
      <c r="AJ106" s="184">
        <f>'Q (t)'!S106</f>
        <v>1145428.3999999999</v>
      </c>
      <c r="AK106" s="178">
        <f>'Q (t)'!T106</f>
        <v>1825000</v>
      </c>
      <c r="AL106" s="184">
        <f>'Q (t)'!U106</f>
        <v>0</v>
      </c>
      <c r="AM106" s="179">
        <f>'Q (t)'!V106</f>
        <v>0</v>
      </c>
      <c r="AO106" s="183">
        <f t="shared" si="50"/>
        <v>0</v>
      </c>
      <c r="AP106" s="184">
        <f t="shared" si="88"/>
        <v>143.1</v>
      </c>
      <c r="AQ106" s="178">
        <f t="shared" si="88"/>
        <v>0</v>
      </c>
      <c r="AR106" s="178">
        <f t="shared" si="88"/>
        <v>0</v>
      </c>
      <c r="AS106" s="179">
        <f t="shared" si="88"/>
        <v>0</v>
      </c>
      <c r="AT106" s="178">
        <f t="shared" si="88"/>
        <v>0</v>
      </c>
      <c r="AU106" s="178">
        <f t="shared" si="88"/>
        <v>0</v>
      </c>
      <c r="AV106" s="178">
        <f t="shared" si="88"/>
        <v>0</v>
      </c>
      <c r="AW106" s="179">
        <f t="shared" si="88"/>
        <v>0</v>
      </c>
      <c r="AX106" s="178">
        <f t="shared" si="41"/>
        <v>0</v>
      </c>
      <c r="AY106" s="178">
        <f t="shared" si="41"/>
        <v>0</v>
      </c>
      <c r="AZ106" s="179">
        <f t="shared" si="41"/>
        <v>0</v>
      </c>
      <c r="BA106" s="184">
        <f t="shared" si="40"/>
        <v>171.47063147999998</v>
      </c>
      <c r="BB106" s="178">
        <f t="shared" si="40"/>
        <v>135.05000000000001</v>
      </c>
      <c r="BC106" s="184">
        <f t="shared" si="40"/>
        <v>0</v>
      </c>
      <c r="BD106" s="178">
        <f t="shared" si="40"/>
        <v>0</v>
      </c>
      <c r="BE106" s="251">
        <f t="shared" ref="BE106:BE111" si="96">X106/$BE$7</f>
        <v>1</v>
      </c>
      <c r="BF106" s="252">
        <f t="shared" si="53"/>
        <v>10600</v>
      </c>
      <c r="BH106" s="262">
        <f t="shared" si="91"/>
        <v>0</v>
      </c>
      <c r="BI106" s="262">
        <f t="shared" si="92"/>
        <v>143.1</v>
      </c>
      <c r="BJ106" s="262">
        <f t="shared" si="93"/>
        <v>0</v>
      </c>
      <c r="BK106" s="263">
        <f t="shared" si="94"/>
        <v>306.52063148000002</v>
      </c>
      <c r="BL106" s="269">
        <f t="shared" si="95"/>
        <v>0</v>
      </c>
      <c r="BM106" s="264">
        <f t="shared" si="54"/>
        <v>449.62063148000004</v>
      </c>
      <c r="BO106" s="732">
        <f t="shared" si="55"/>
        <v>42.417040705660384</v>
      </c>
    </row>
    <row r="107" spans="2:67" ht="15" customHeight="1" x14ac:dyDescent="0.25">
      <c r="B107" s="156">
        <f t="shared" si="89"/>
        <v>12</v>
      </c>
      <c r="C107" s="180" t="s">
        <v>583</v>
      </c>
      <c r="D107" s="181"/>
      <c r="E107" s="210" t="s">
        <v>126</v>
      </c>
      <c r="G107" s="488">
        <f>SUM('DUoS (t)'!G107,'TUoS (t)'!G107,'JSO (t)'!G107)</f>
        <v>0</v>
      </c>
      <c r="H107" s="489">
        <f>SUM('DUoS (t)'!H107,'TUoS (t)'!H107,'JSO (t)'!H107)</f>
        <v>1.35E-2</v>
      </c>
      <c r="I107" s="471">
        <f>SUM('DUoS (t)'!I107,'TUoS (t)'!I107,'JSO (t)'!I107)</f>
        <v>0</v>
      </c>
      <c r="J107" s="471">
        <f>SUM('DUoS (t)'!J107,'TUoS (t)'!J107,'JSO (t)'!J107)</f>
        <v>0</v>
      </c>
      <c r="K107" s="472">
        <f>SUM('DUoS (t)'!K107,'TUoS (t)'!K107,'JSO (t)'!K107)</f>
        <v>0</v>
      </c>
      <c r="L107" s="471">
        <f>SUM('DUoS (t)'!L107,'TUoS (t)'!L107,'JSO (t)'!L107)</f>
        <v>0</v>
      </c>
      <c r="M107" s="471">
        <f>SUM('DUoS (t)'!M107,'TUoS (t)'!M107,'JSO (t)'!M107)</f>
        <v>0</v>
      </c>
      <c r="N107" s="471">
        <f>SUM('DUoS (t)'!N107,'TUoS (t)'!N107,'JSO (t)'!N107)</f>
        <v>0</v>
      </c>
      <c r="O107" s="472">
        <f>SUM('DUoS (t)'!O107,'TUoS (t)'!O107,'JSO (t)'!O107)</f>
        <v>0</v>
      </c>
      <c r="P107" s="471">
        <f>SUM('DUoS (t)'!P107,'TUoS (t)'!P107,'JSO (t)'!P107)</f>
        <v>0</v>
      </c>
      <c r="Q107" s="471">
        <f>SUM('DUoS (t)'!Q107,'TUoS (t)'!Q107,'JSO (t)'!Q107)</f>
        <v>0</v>
      </c>
      <c r="R107" s="472">
        <f>SUM('DUoS (t)'!R107,'TUoS (t)'!R107,'JSO (t)'!R107)</f>
        <v>0</v>
      </c>
      <c r="S107" s="489">
        <f>SUM('DUoS (t)'!S107,'TUoS (t)'!S107,'JSO (t)'!S107)</f>
        <v>0.1497</v>
      </c>
      <c r="T107" s="494">
        <f>SUM('DUoS (t)'!T107,'TUoS (t)'!T107,'JSO (t)'!T107)</f>
        <v>7.3999999999999996E-2</v>
      </c>
      <c r="U107" s="491">
        <f>SUM('DUoS (t)'!U107,'TUoS (t)'!U107,'JSO (t)'!U107)</f>
        <v>0</v>
      </c>
      <c r="V107" s="492">
        <f>SUM('DUoS (t)'!V107,'TUoS (t)'!V107,'JSO (t)'!V107)</f>
        <v>0</v>
      </c>
      <c r="X107" s="183">
        <f>'Q (t)'!G107</f>
        <v>365</v>
      </c>
      <c r="Y107" s="184">
        <f>'Q (t)'!H107</f>
        <v>10600</v>
      </c>
      <c r="Z107" s="178">
        <f>'Q (t)'!I107</f>
        <v>0</v>
      </c>
      <c r="AA107" s="178">
        <f>'Q (t)'!J107</f>
        <v>0</v>
      </c>
      <c r="AB107" s="179">
        <f>'Q (t)'!K107</f>
        <v>0</v>
      </c>
      <c r="AC107" s="178">
        <f>'Q (t)'!L107</f>
        <v>0</v>
      </c>
      <c r="AD107" s="178">
        <f>'Q (t)'!M107</f>
        <v>0</v>
      </c>
      <c r="AE107" s="178">
        <f>'Q (t)'!N107</f>
        <v>0</v>
      </c>
      <c r="AF107" s="179">
        <f>'Q (t)'!O107</f>
        <v>0</v>
      </c>
      <c r="AG107" s="178">
        <f>'Q (t)'!P107</f>
        <v>0</v>
      </c>
      <c r="AH107" s="178">
        <f>'Q (t)'!Q107</f>
        <v>0</v>
      </c>
      <c r="AI107" s="179">
        <f>'Q (t)'!R107</f>
        <v>0</v>
      </c>
      <c r="AJ107" s="184">
        <f>'Q (t)'!S107</f>
        <v>633535.245</v>
      </c>
      <c r="AK107" s="178">
        <f>'Q (t)'!T107</f>
        <v>1825000</v>
      </c>
      <c r="AL107" s="184">
        <f>'Q (t)'!U107</f>
        <v>0</v>
      </c>
      <c r="AM107" s="179">
        <f>'Q (t)'!V107</f>
        <v>0</v>
      </c>
      <c r="AO107" s="183">
        <f t="shared" si="50"/>
        <v>0</v>
      </c>
      <c r="AP107" s="184">
        <f t="shared" si="88"/>
        <v>143.1</v>
      </c>
      <c r="AQ107" s="178">
        <f t="shared" si="88"/>
        <v>0</v>
      </c>
      <c r="AR107" s="178">
        <f t="shared" si="88"/>
        <v>0</v>
      </c>
      <c r="AS107" s="179">
        <f t="shared" si="88"/>
        <v>0</v>
      </c>
      <c r="AT107" s="178">
        <f t="shared" si="88"/>
        <v>0</v>
      </c>
      <c r="AU107" s="178">
        <f t="shared" si="88"/>
        <v>0</v>
      </c>
      <c r="AV107" s="178">
        <f t="shared" si="88"/>
        <v>0</v>
      </c>
      <c r="AW107" s="179">
        <f t="shared" si="88"/>
        <v>0</v>
      </c>
      <c r="AX107" s="178">
        <f t="shared" si="41"/>
        <v>0</v>
      </c>
      <c r="AY107" s="178">
        <f t="shared" si="41"/>
        <v>0</v>
      </c>
      <c r="AZ107" s="179">
        <f t="shared" si="41"/>
        <v>0</v>
      </c>
      <c r="BA107" s="184">
        <f t="shared" si="40"/>
        <v>94.840226176499996</v>
      </c>
      <c r="BB107" s="178">
        <f t="shared" si="40"/>
        <v>135.05000000000001</v>
      </c>
      <c r="BC107" s="184">
        <f t="shared" si="40"/>
        <v>0</v>
      </c>
      <c r="BD107" s="178">
        <f t="shared" si="40"/>
        <v>0</v>
      </c>
      <c r="BE107" s="251">
        <f t="shared" si="96"/>
        <v>1</v>
      </c>
      <c r="BF107" s="252">
        <f t="shared" si="53"/>
        <v>10600</v>
      </c>
      <c r="BH107" s="262">
        <f t="shared" si="91"/>
        <v>0</v>
      </c>
      <c r="BI107" s="262">
        <f t="shared" si="92"/>
        <v>143.1</v>
      </c>
      <c r="BJ107" s="262">
        <f t="shared" si="93"/>
        <v>0</v>
      </c>
      <c r="BK107" s="263">
        <f t="shared" si="94"/>
        <v>229.89022617649999</v>
      </c>
      <c r="BL107" s="269">
        <f t="shared" si="95"/>
        <v>0</v>
      </c>
      <c r="BM107" s="264">
        <f t="shared" si="54"/>
        <v>372.99022617649996</v>
      </c>
      <c r="BO107" s="732">
        <f t="shared" si="55"/>
        <v>35.187757186462264</v>
      </c>
    </row>
    <row r="108" spans="2:67" ht="15" customHeight="1" x14ac:dyDescent="0.25">
      <c r="B108" s="156">
        <f t="shared" si="89"/>
        <v>13</v>
      </c>
      <c r="C108" s="180" t="s">
        <v>578</v>
      </c>
      <c r="D108" s="181"/>
      <c r="E108" s="210" t="s">
        <v>126</v>
      </c>
      <c r="G108" s="488">
        <f>SUM('DUoS (t)'!G108,'TUoS (t)'!G108,'JSO (t)'!G108)</f>
        <v>308.88</v>
      </c>
      <c r="H108" s="489">
        <f>SUM('DUoS (t)'!H108,'TUoS (t)'!H108,'JSO (t)'!H108)</f>
        <v>5.3E-3</v>
      </c>
      <c r="I108" s="471">
        <f>SUM('DUoS (t)'!I108,'TUoS (t)'!I108,'JSO (t)'!I108)</f>
        <v>0</v>
      </c>
      <c r="J108" s="471">
        <f>SUM('DUoS (t)'!J108,'TUoS (t)'!J108,'JSO (t)'!J108)</f>
        <v>0</v>
      </c>
      <c r="K108" s="472">
        <f>SUM('DUoS (t)'!K108,'TUoS (t)'!K108,'JSO (t)'!K108)</f>
        <v>0</v>
      </c>
      <c r="L108" s="471">
        <f>SUM('DUoS (t)'!L108,'TUoS (t)'!L108,'JSO (t)'!L108)</f>
        <v>0</v>
      </c>
      <c r="M108" s="471">
        <f>SUM('DUoS (t)'!M108,'TUoS (t)'!M108,'JSO (t)'!M108)</f>
        <v>0</v>
      </c>
      <c r="N108" s="471">
        <f>SUM('DUoS (t)'!N108,'TUoS (t)'!N108,'JSO (t)'!N108)</f>
        <v>0</v>
      </c>
      <c r="O108" s="472">
        <f>SUM('DUoS (t)'!O108,'TUoS (t)'!O108,'JSO (t)'!O108)</f>
        <v>0</v>
      </c>
      <c r="P108" s="471">
        <f>SUM('DUoS (t)'!P108,'TUoS (t)'!P108,'JSO (t)'!P108)</f>
        <v>0</v>
      </c>
      <c r="Q108" s="471">
        <f>SUM('DUoS (t)'!Q108,'TUoS (t)'!Q108,'JSO (t)'!Q108)</f>
        <v>0</v>
      </c>
      <c r="R108" s="472">
        <f>SUM('DUoS (t)'!R108,'TUoS (t)'!R108,'JSO (t)'!R108)</f>
        <v>0</v>
      </c>
      <c r="S108" s="489">
        <f>SUM('DUoS (t)'!S108,'TUoS (t)'!S108,'JSO (t)'!S108)</f>
        <v>4.1399999999999999E-2</v>
      </c>
      <c r="T108" s="494">
        <f>SUM('DUoS (t)'!T108,'TUoS (t)'!T108,'JSO (t)'!T108)</f>
        <v>7.3999999999999996E-2</v>
      </c>
      <c r="U108" s="491">
        <f>SUM('DUoS (t)'!U108,'TUoS (t)'!U108,'JSO (t)'!U108)</f>
        <v>0</v>
      </c>
      <c r="V108" s="492">
        <f>SUM('DUoS (t)'!V108,'TUoS (t)'!V108,'JSO (t)'!V108)</f>
        <v>0</v>
      </c>
      <c r="X108" s="183">
        <f>'Q (t)'!G108</f>
        <v>365</v>
      </c>
      <c r="Y108" s="184">
        <f>'Q (t)'!H108</f>
        <v>0</v>
      </c>
      <c r="Z108" s="178">
        <f>'Q (t)'!I108</f>
        <v>0</v>
      </c>
      <c r="AA108" s="178">
        <f>'Q (t)'!J108</f>
        <v>0</v>
      </c>
      <c r="AB108" s="179">
        <f>'Q (t)'!K108</f>
        <v>0</v>
      </c>
      <c r="AC108" s="178">
        <f>'Q (t)'!L108</f>
        <v>0</v>
      </c>
      <c r="AD108" s="178">
        <f>'Q (t)'!M108</f>
        <v>0</v>
      </c>
      <c r="AE108" s="178">
        <f>'Q (t)'!N108</f>
        <v>0</v>
      </c>
      <c r="AF108" s="179">
        <f>'Q (t)'!O108</f>
        <v>0</v>
      </c>
      <c r="AG108" s="178">
        <f>'Q (t)'!P108</f>
        <v>0</v>
      </c>
      <c r="AH108" s="178">
        <f>'Q (t)'!Q108</f>
        <v>0</v>
      </c>
      <c r="AI108" s="179">
        <f>'Q (t)'!R108</f>
        <v>0</v>
      </c>
      <c r="AJ108" s="184">
        <f>'Q (t)'!S108</f>
        <v>0</v>
      </c>
      <c r="AK108" s="178">
        <f>'Q (t)'!T108</f>
        <v>0</v>
      </c>
      <c r="AL108" s="184">
        <f>'Q (t)'!U108</f>
        <v>0</v>
      </c>
      <c r="AM108" s="179">
        <f>'Q (t)'!V108</f>
        <v>0</v>
      </c>
      <c r="AO108" s="183">
        <f t="shared" si="50"/>
        <v>112.74119999999999</v>
      </c>
      <c r="AP108" s="184">
        <f t="shared" si="88"/>
        <v>0</v>
      </c>
      <c r="AQ108" s="178">
        <f t="shared" si="88"/>
        <v>0</v>
      </c>
      <c r="AR108" s="178">
        <f t="shared" si="88"/>
        <v>0</v>
      </c>
      <c r="AS108" s="179">
        <f t="shared" si="88"/>
        <v>0</v>
      </c>
      <c r="AT108" s="178">
        <f t="shared" si="88"/>
        <v>0</v>
      </c>
      <c r="AU108" s="178">
        <f t="shared" si="88"/>
        <v>0</v>
      </c>
      <c r="AV108" s="178">
        <f t="shared" si="88"/>
        <v>0</v>
      </c>
      <c r="AW108" s="179">
        <f t="shared" si="88"/>
        <v>0</v>
      </c>
      <c r="AX108" s="178">
        <f t="shared" si="41"/>
        <v>0</v>
      </c>
      <c r="AY108" s="178">
        <f t="shared" si="41"/>
        <v>0</v>
      </c>
      <c r="AZ108" s="179">
        <f t="shared" si="41"/>
        <v>0</v>
      </c>
      <c r="BA108" s="184">
        <f t="shared" si="40"/>
        <v>0</v>
      </c>
      <c r="BB108" s="178">
        <f t="shared" si="40"/>
        <v>0</v>
      </c>
      <c r="BC108" s="184">
        <f t="shared" si="40"/>
        <v>0</v>
      </c>
      <c r="BD108" s="178">
        <f t="shared" si="40"/>
        <v>0</v>
      </c>
      <c r="BE108" s="251">
        <f t="shared" si="96"/>
        <v>1</v>
      </c>
      <c r="BF108" s="252">
        <f t="shared" si="53"/>
        <v>0</v>
      </c>
      <c r="BH108" s="262">
        <f t="shared" si="91"/>
        <v>112.74119999999999</v>
      </c>
      <c r="BI108" s="262">
        <f t="shared" si="92"/>
        <v>0</v>
      </c>
      <c r="BJ108" s="262">
        <f t="shared" si="93"/>
        <v>0</v>
      </c>
      <c r="BK108" s="263">
        <f t="shared" si="94"/>
        <v>0</v>
      </c>
      <c r="BL108" s="269">
        <f t="shared" si="95"/>
        <v>0</v>
      </c>
      <c r="BM108" s="264">
        <f t="shared" si="54"/>
        <v>112.74119999999999</v>
      </c>
      <c r="BO108" s="732" t="str">
        <f t="shared" si="55"/>
        <v/>
      </c>
    </row>
    <row r="109" spans="2:67" ht="15" customHeight="1" x14ac:dyDescent="0.25">
      <c r="B109" s="156">
        <f t="shared" si="89"/>
        <v>14</v>
      </c>
      <c r="C109" s="180" t="s">
        <v>130</v>
      </c>
      <c r="D109" s="181"/>
      <c r="E109" s="210" t="s">
        <v>126</v>
      </c>
      <c r="G109" s="488">
        <f>SUM('DUoS (t)'!G109,'TUoS (t)'!G109,'JSO (t)'!G109)</f>
        <v>2406.08</v>
      </c>
      <c r="H109" s="489">
        <f>SUM('DUoS (t)'!H109,'TUoS (t)'!H109,'JSO (t)'!H109)</f>
        <v>5.3E-3</v>
      </c>
      <c r="I109" s="471">
        <f>SUM('DUoS (t)'!I109,'TUoS (t)'!I109,'JSO (t)'!I109)</f>
        <v>0</v>
      </c>
      <c r="J109" s="471">
        <f>SUM('DUoS (t)'!J109,'TUoS (t)'!J109,'JSO (t)'!J109)</f>
        <v>0</v>
      </c>
      <c r="K109" s="472">
        <f>SUM('DUoS (t)'!K109,'TUoS (t)'!K109,'JSO (t)'!K109)</f>
        <v>0</v>
      </c>
      <c r="L109" s="471">
        <f>SUM('DUoS (t)'!L109,'TUoS (t)'!L109,'JSO (t)'!L109)</f>
        <v>0</v>
      </c>
      <c r="M109" s="471">
        <f>SUM('DUoS (t)'!M109,'TUoS (t)'!M109,'JSO (t)'!M109)</f>
        <v>0</v>
      </c>
      <c r="N109" s="471">
        <f>SUM('DUoS (t)'!N109,'TUoS (t)'!N109,'JSO (t)'!N109)</f>
        <v>0</v>
      </c>
      <c r="O109" s="472">
        <f>SUM('DUoS (t)'!O109,'TUoS (t)'!O109,'JSO (t)'!O109)</f>
        <v>0</v>
      </c>
      <c r="P109" s="471">
        <f>SUM('DUoS (t)'!P109,'TUoS (t)'!P109,'JSO (t)'!P109)</f>
        <v>0</v>
      </c>
      <c r="Q109" s="471">
        <f>SUM('DUoS (t)'!Q109,'TUoS (t)'!Q109,'JSO (t)'!Q109)</f>
        <v>0</v>
      </c>
      <c r="R109" s="472">
        <f>SUM('DUoS (t)'!R109,'TUoS (t)'!R109,'JSO (t)'!R109)</f>
        <v>0</v>
      </c>
      <c r="S109" s="489">
        <f>SUM('DUoS (t)'!S109,'TUoS (t)'!S109,'JSO (t)'!S109)</f>
        <v>4.1399999999999999E-2</v>
      </c>
      <c r="T109" s="494">
        <f>SUM('DUoS (t)'!T109,'TUoS (t)'!T109,'JSO (t)'!T109)</f>
        <v>7.3999999999999996E-2</v>
      </c>
      <c r="U109" s="491">
        <f>SUM('DUoS (t)'!U109,'TUoS (t)'!U109,'JSO (t)'!U109)</f>
        <v>0</v>
      </c>
      <c r="V109" s="492">
        <f>SUM('DUoS (t)'!V109,'TUoS (t)'!V109,'JSO (t)'!V109)</f>
        <v>0</v>
      </c>
      <c r="X109" s="183">
        <f>'Q (t)'!G109</f>
        <v>365</v>
      </c>
      <c r="Y109" s="184">
        <f>'Q (t)'!H109</f>
        <v>32021</v>
      </c>
      <c r="Z109" s="178">
        <f>'Q (t)'!I109</f>
        <v>0</v>
      </c>
      <c r="AA109" s="178">
        <f>'Q (t)'!J109</f>
        <v>0</v>
      </c>
      <c r="AB109" s="179">
        <f>'Q (t)'!K109</f>
        <v>0</v>
      </c>
      <c r="AC109" s="178">
        <f>'Q (t)'!L109</f>
        <v>0</v>
      </c>
      <c r="AD109" s="178">
        <f>'Q (t)'!M109</f>
        <v>0</v>
      </c>
      <c r="AE109" s="178">
        <f>'Q (t)'!N109</f>
        <v>0</v>
      </c>
      <c r="AF109" s="179">
        <f>'Q (t)'!O109</f>
        <v>0</v>
      </c>
      <c r="AG109" s="178">
        <f>'Q (t)'!P109</f>
        <v>0</v>
      </c>
      <c r="AH109" s="178">
        <f>'Q (t)'!Q109</f>
        <v>0</v>
      </c>
      <c r="AI109" s="179">
        <f>'Q (t)'!R109</f>
        <v>0</v>
      </c>
      <c r="AJ109" s="184">
        <f>'Q (t)'!S109</f>
        <v>4581260.2699999996</v>
      </c>
      <c r="AK109" s="178">
        <f>'Q (t)'!T109</f>
        <v>4618258.8599999994</v>
      </c>
      <c r="AL109" s="184">
        <f>'Q (t)'!U109</f>
        <v>0</v>
      </c>
      <c r="AM109" s="179">
        <f>'Q (t)'!V109</f>
        <v>0</v>
      </c>
      <c r="AO109" s="183">
        <f t="shared" si="50"/>
        <v>878.2192</v>
      </c>
      <c r="AP109" s="184">
        <f t="shared" si="88"/>
        <v>169.71129999999999</v>
      </c>
      <c r="AQ109" s="178">
        <f t="shared" si="88"/>
        <v>0</v>
      </c>
      <c r="AR109" s="178">
        <f t="shared" si="88"/>
        <v>0</v>
      </c>
      <c r="AS109" s="179">
        <f t="shared" si="88"/>
        <v>0</v>
      </c>
      <c r="AT109" s="178">
        <f t="shared" si="88"/>
        <v>0</v>
      </c>
      <c r="AU109" s="178">
        <f t="shared" si="88"/>
        <v>0</v>
      </c>
      <c r="AV109" s="178">
        <f t="shared" si="88"/>
        <v>0</v>
      </c>
      <c r="AW109" s="179">
        <f t="shared" si="88"/>
        <v>0</v>
      </c>
      <c r="AX109" s="178">
        <f t="shared" si="41"/>
        <v>0</v>
      </c>
      <c r="AY109" s="178">
        <f t="shared" si="41"/>
        <v>0</v>
      </c>
      <c r="AZ109" s="179">
        <f t="shared" si="41"/>
        <v>0</v>
      </c>
      <c r="BA109" s="184">
        <f t="shared" si="40"/>
        <v>189.66417517799997</v>
      </c>
      <c r="BB109" s="178">
        <f t="shared" si="40"/>
        <v>341.75115563999998</v>
      </c>
      <c r="BC109" s="184">
        <f t="shared" si="40"/>
        <v>0</v>
      </c>
      <c r="BD109" s="178">
        <f t="shared" si="40"/>
        <v>0</v>
      </c>
      <c r="BE109" s="251">
        <f t="shared" si="96"/>
        <v>1</v>
      </c>
      <c r="BF109" s="252">
        <f t="shared" ref="BF109:BF126" si="97">SUM(Y109:AF109)</f>
        <v>32021</v>
      </c>
      <c r="BH109" s="262">
        <f t="shared" si="91"/>
        <v>878.2192</v>
      </c>
      <c r="BI109" s="262">
        <f t="shared" si="92"/>
        <v>169.71129999999999</v>
      </c>
      <c r="BJ109" s="262">
        <f t="shared" si="93"/>
        <v>0</v>
      </c>
      <c r="BK109" s="263">
        <f t="shared" si="94"/>
        <v>531.41533081799992</v>
      </c>
      <c r="BL109" s="269">
        <f t="shared" si="95"/>
        <v>0</v>
      </c>
      <c r="BM109" s="264">
        <f t="shared" si="54"/>
        <v>1579.3458308179997</v>
      </c>
      <c r="BO109" s="732">
        <f t="shared" si="55"/>
        <v>49.32218952618593</v>
      </c>
    </row>
    <row r="110" spans="2:67" ht="15" customHeight="1" x14ac:dyDescent="0.25">
      <c r="B110" s="156">
        <f t="shared" si="89"/>
        <v>15</v>
      </c>
      <c r="C110" s="180" t="s">
        <v>131</v>
      </c>
      <c r="D110" s="181"/>
      <c r="E110" s="210" t="s">
        <v>126</v>
      </c>
      <c r="G110" s="488">
        <f>SUM('DUoS (t)'!G110,'TUoS (t)'!G110,'JSO (t)'!G110)</f>
        <v>118.64000000000001</v>
      </c>
      <c r="H110" s="489">
        <f>SUM('DUoS (t)'!H110,'TUoS (t)'!H110,'JSO (t)'!H110)</f>
        <v>5.3E-3</v>
      </c>
      <c r="I110" s="471">
        <f>SUM('DUoS (t)'!I110,'TUoS (t)'!I110,'JSO (t)'!I110)</f>
        <v>0</v>
      </c>
      <c r="J110" s="471">
        <f>SUM('DUoS (t)'!J110,'TUoS (t)'!J110,'JSO (t)'!J110)</f>
        <v>0</v>
      </c>
      <c r="K110" s="472">
        <f>SUM('DUoS (t)'!K110,'TUoS (t)'!K110,'JSO (t)'!K110)</f>
        <v>0</v>
      </c>
      <c r="L110" s="471">
        <f>SUM('DUoS (t)'!L110,'TUoS (t)'!L110,'JSO (t)'!L110)</f>
        <v>0</v>
      </c>
      <c r="M110" s="471">
        <f>SUM('DUoS (t)'!M110,'TUoS (t)'!M110,'JSO (t)'!M110)</f>
        <v>0</v>
      </c>
      <c r="N110" s="471">
        <f>SUM('DUoS (t)'!N110,'TUoS (t)'!N110,'JSO (t)'!N110)</f>
        <v>0</v>
      </c>
      <c r="O110" s="472">
        <f>SUM('DUoS (t)'!O110,'TUoS (t)'!O110,'JSO (t)'!O110)</f>
        <v>0</v>
      </c>
      <c r="P110" s="471">
        <f>SUM('DUoS (t)'!P110,'TUoS (t)'!P110,'JSO (t)'!P110)</f>
        <v>0</v>
      </c>
      <c r="Q110" s="471">
        <f>SUM('DUoS (t)'!Q110,'TUoS (t)'!Q110,'JSO (t)'!Q110)</f>
        <v>0</v>
      </c>
      <c r="R110" s="472">
        <f>SUM('DUoS (t)'!R110,'TUoS (t)'!R110,'JSO (t)'!R110)</f>
        <v>0</v>
      </c>
      <c r="S110" s="489">
        <f>SUM('DUoS (t)'!S110,'TUoS (t)'!S110,'JSO (t)'!S110)</f>
        <v>0.21989999999999998</v>
      </c>
      <c r="T110" s="494">
        <f>SUM('DUoS (t)'!T110,'TUoS (t)'!T110,'JSO (t)'!T110)</f>
        <v>7.3999999999999996E-2</v>
      </c>
      <c r="U110" s="491">
        <f>SUM('DUoS (t)'!U110,'TUoS (t)'!U110,'JSO (t)'!U110)</f>
        <v>0</v>
      </c>
      <c r="V110" s="492">
        <f>SUM('DUoS (t)'!V110,'TUoS (t)'!V110,'JSO (t)'!V110)</f>
        <v>0</v>
      </c>
      <c r="X110" s="183">
        <f>'Q (t)'!G110</f>
        <v>365</v>
      </c>
      <c r="Y110" s="184">
        <f>'Q (t)'!H110</f>
        <v>51446</v>
      </c>
      <c r="Z110" s="178">
        <f>'Q (t)'!I110</f>
        <v>0</v>
      </c>
      <c r="AA110" s="178">
        <f>'Q (t)'!J110</f>
        <v>0</v>
      </c>
      <c r="AB110" s="179">
        <f>'Q (t)'!K110</f>
        <v>0</v>
      </c>
      <c r="AC110" s="178">
        <f>'Q (t)'!L110</f>
        <v>0</v>
      </c>
      <c r="AD110" s="178">
        <f>'Q (t)'!M110</f>
        <v>0</v>
      </c>
      <c r="AE110" s="178">
        <f>'Q (t)'!N110</f>
        <v>0</v>
      </c>
      <c r="AF110" s="179">
        <f>'Q (t)'!O110</f>
        <v>0</v>
      </c>
      <c r="AG110" s="178">
        <f>'Q (t)'!P110</f>
        <v>0</v>
      </c>
      <c r="AH110" s="178">
        <f>'Q (t)'!Q110</f>
        <v>0</v>
      </c>
      <c r="AI110" s="179">
        <f>'Q (t)'!R110</f>
        <v>0</v>
      </c>
      <c r="AJ110" s="184">
        <f>'Q (t)'!S110</f>
        <v>2717743.645</v>
      </c>
      <c r="AK110" s="178">
        <f>'Q (t)'!T110</f>
        <v>3040755.1399999997</v>
      </c>
      <c r="AL110" s="184">
        <f>'Q (t)'!U110</f>
        <v>0</v>
      </c>
      <c r="AM110" s="179">
        <f>'Q (t)'!V110</f>
        <v>0</v>
      </c>
      <c r="AO110" s="183">
        <f t="shared" si="50"/>
        <v>43.303600000000003</v>
      </c>
      <c r="AP110" s="184">
        <f t="shared" ref="AP110:AW124" si="98">H110*Y110</f>
        <v>272.66379999999998</v>
      </c>
      <c r="AQ110" s="178">
        <f t="shared" si="98"/>
        <v>0</v>
      </c>
      <c r="AR110" s="178">
        <f t="shared" si="98"/>
        <v>0</v>
      </c>
      <c r="AS110" s="179">
        <f t="shared" si="98"/>
        <v>0</v>
      </c>
      <c r="AT110" s="178">
        <f t="shared" si="98"/>
        <v>0</v>
      </c>
      <c r="AU110" s="178">
        <f t="shared" si="98"/>
        <v>0</v>
      </c>
      <c r="AV110" s="178">
        <f t="shared" si="98"/>
        <v>0</v>
      </c>
      <c r="AW110" s="179">
        <f t="shared" si="98"/>
        <v>0</v>
      </c>
      <c r="AX110" s="178">
        <f t="shared" si="41"/>
        <v>0</v>
      </c>
      <c r="AY110" s="178">
        <f t="shared" si="41"/>
        <v>0</v>
      </c>
      <c r="AZ110" s="179">
        <f t="shared" si="41"/>
        <v>0</v>
      </c>
      <c r="BA110" s="184">
        <f t="shared" si="40"/>
        <v>597.63182753549995</v>
      </c>
      <c r="BB110" s="178">
        <f t="shared" si="40"/>
        <v>225.01588035999995</v>
      </c>
      <c r="BC110" s="184">
        <f t="shared" si="40"/>
        <v>0</v>
      </c>
      <c r="BD110" s="178">
        <f t="shared" si="40"/>
        <v>0</v>
      </c>
      <c r="BE110" s="251">
        <f t="shared" si="96"/>
        <v>1</v>
      </c>
      <c r="BF110" s="252">
        <f t="shared" si="97"/>
        <v>51446</v>
      </c>
      <c r="BH110" s="262">
        <f t="shared" si="91"/>
        <v>43.303600000000003</v>
      </c>
      <c r="BI110" s="262">
        <f t="shared" si="92"/>
        <v>272.66379999999998</v>
      </c>
      <c r="BJ110" s="262">
        <f t="shared" si="93"/>
        <v>0</v>
      </c>
      <c r="BK110" s="263">
        <f t="shared" si="94"/>
        <v>822.64770789549993</v>
      </c>
      <c r="BL110" s="269">
        <f t="shared" si="95"/>
        <v>0</v>
      </c>
      <c r="BM110" s="264">
        <f t="shared" si="54"/>
        <v>1138.6151078954999</v>
      </c>
      <c r="BO110" s="732">
        <f t="shared" si="55"/>
        <v>22.132237839589084</v>
      </c>
    </row>
    <row r="111" spans="2:67" ht="15" customHeight="1" x14ac:dyDescent="0.25">
      <c r="B111" s="156">
        <f t="shared" si="89"/>
        <v>16</v>
      </c>
      <c r="C111" s="180" t="s">
        <v>579</v>
      </c>
      <c r="D111" s="181"/>
      <c r="E111" s="210" t="s">
        <v>126</v>
      </c>
      <c r="G111" s="488">
        <f>SUM('DUoS (t)'!G111,'TUoS (t)'!G111,'JSO (t)'!G111)</f>
        <v>658.28</v>
      </c>
      <c r="H111" s="489">
        <f>SUM('DUoS (t)'!H111,'TUoS (t)'!H111,'JSO (t)'!H111)</f>
        <v>5.3E-3</v>
      </c>
      <c r="I111" s="471">
        <f>SUM('DUoS (t)'!I111,'TUoS (t)'!I111,'JSO (t)'!I111)</f>
        <v>0</v>
      </c>
      <c r="J111" s="471">
        <f>SUM('DUoS (t)'!J111,'TUoS (t)'!J111,'JSO (t)'!J111)</f>
        <v>0</v>
      </c>
      <c r="K111" s="472">
        <f>SUM('DUoS (t)'!K111,'TUoS (t)'!K111,'JSO (t)'!K111)</f>
        <v>0</v>
      </c>
      <c r="L111" s="471">
        <f>SUM('DUoS (t)'!L111,'TUoS (t)'!L111,'JSO (t)'!L111)</f>
        <v>0</v>
      </c>
      <c r="M111" s="471">
        <f>SUM('DUoS (t)'!M111,'TUoS (t)'!M111,'JSO (t)'!M111)</f>
        <v>0</v>
      </c>
      <c r="N111" s="471">
        <f>SUM('DUoS (t)'!N111,'TUoS (t)'!N111,'JSO (t)'!N111)</f>
        <v>0</v>
      </c>
      <c r="O111" s="472">
        <f>SUM('DUoS (t)'!O111,'TUoS (t)'!O111,'JSO (t)'!O111)</f>
        <v>0</v>
      </c>
      <c r="P111" s="471">
        <f>SUM('DUoS (t)'!P111,'TUoS (t)'!P111,'JSO (t)'!P111)</f>
        <v>0</v>
      </c>
      <c r="Q111" s="471">
        <f>SUM('DUoS (t)'!Q111,'TUoS (t)'!Q111,'JSO (t)'!Q111)</f>
        <v>0</v>
      </c>
      <c r="R111" s="472">
        <f>SUM('DUoS (t)'!R111,'TUoS (t)'!R111,'JSO (t)'!R111)</f>
        <v>0</v>
      </c>
      <c r="S111" s="489">
        <f>SUM('DUoS (t)'!S111,'TUoS (t)'!S111,'JSO (t)'!S111)</f>
        <v>4.1399999999999999E-2</v>
      </c>
      <c r="T111" s="494">
        <f>SUM('DUoS (t)'!T111,'TUoS (t)'!T111,'JSO (t)'!T111)</f>
        <v>7.3999999999999996E-2</v>
      </c>
      <c r="U111" s="491">
        <f>SUM('DUoS (t)'!U111,'TUoS (t)'!U111,'JSO (t)'!U111)</f>
        <v>0</v>
      </c>
      <c r="V111" s="492">
        <f>SUM('DUoS (t)'!V111,'TUoS (t)'!V111,'JSO (t)'!V111)</f>
        <v>0</v>
      </c>
      <c r="X111" s="183">
        <f>'Q (t)'!G111</f>
        <v>0</v>
      </c>
      <c r="Y111" s="184">
        <f>'Q (t)'!H111</f>
        <v>0</v>
      </c>
      <c r="Z111" s="178">
        <f>'Q (t)'!I111</f>
        <v>0</v>
      </c>
      <c r="AA111" s="178">
        <f>'Q (t)'!J111</f>
        <v>0</v>
      </c>
      <c r="AB111" s="179">
        <f>'Q (t)'!K111</f>
        <v>0</v>
      </c>
      <c r="AC111" s="178">
        <f>'Q (t)'!L111</f>
        <v>0</v>
      </c>
      <c r="AD111" s="178">
        <f>'Q (t)'!M111</f>
        <v>0</v>
      </c>
      <c r="AE111" s="178">
        <f>'Q (t)'!N111</f>
        <v>0</v>
      </c>
      <c r="AF111" s="179">
        <f>'Q (t)'!O111</f>
        <v>0</v>
      </c>
      <c r="AG111" s="178">
        <f>'Q (t)'!P111</f>
        <v>0</v>
      </c>
      <c r="AH111" s="178">
        <f>'Q (t)'!Q111</f>
        <v>0</v>
      </c>
      <c r="AI111" s="179">
        <f>'Q (t)'!R111</f>
        <v>0</v>
      </c>
      <c r="AJ111" s="184">
        <f>'Q (t)'!S111</f>
        <v>0</v>
      </c>
      <c r="AK111" s="178">
        <f>'Q (t)'!T111</f>
        <v>0</v>
      </c>
      <c r="AL111" s="184">
        <f>'Q (t)'!U111</f>
        <v>0</v>
      </c>
      <c r="AM111" s="179">
        <f>'Q (t)'!V111</f>
        <v>0</v>
      </c>
      <c r="AO111" s="183">
        <f t="shared" si="50"/>
        <v>0</v>
      </c>
      <c r="AP111" s="184">
        <f t="shared" si="98"/>
        <v>0</v>
      </c>
      <c r="AQ111" s="178">
        <f t="shared" si="98"/>
        <v>0</v>
      </c>
      <c r="AR111" s="178">
        <f t="shared" si="98"/>
        <v>0</v>
      </c>
      <c r="AS111" s="179">
        <f t="shared" si="98"/>
        <v>0</v>
      </c>
      <c r="AT111" s="178">
        <f t="shared" si="98"/>
        <v>0</v>
      </c>
      <c r="AU111" s="178">
        <f t="shared" si="98"/>
        <v>0</v>
      </c>
      <c r="AV111" s="178">
        <f t="shared" si="98"/>
        <v>0</v>
      </c>
      <c r="AW111" s="179">
        <f t="shared" si="98"/>
        <v>0</v>
      </c>
      <c r="AX111" s="178">
        <f t="shared" si="41"/>
        <v>0</v>
      </c>
      <c r="AY111" s="178">
        <f t="shared" si="41"/>
        <v>0</v>
      </c>
      <c r="AZ111" s="179">
        <f t="shared" si="41"/>
        <v>0</v>
      </c>
      <c r="BA111" s="184">
        <f t="shared" si="40"/>
        <v>0</v>
      </c>
      <c r="BB111" s="178">
        <f t="shared" si="40"/>
        <v>0</v>
      </c>
      <c r="BC111" s="184">
        <f t="shared" si="40"/>
        <v>0</v>
      </c>
      <c r="BD111" s="178">
        <f t="shared" ref="BD111:BD126" si="99">V111*AM111/1000</f>
        <v>0</v>
      </c>
      <c r="BE111" s="251">
        <f t="shared" si="96"/>
        <v>0</v>
      </c>
      <c r="BF111" s="252">
        <f t="shared" si="97"/>
        <v>0</v>
      </c>
      <c r="BH111" s="262">
        <f t="shared" si="91"/>
        <v>0</v>
      </c>
      <c r="BI111" s="262">
        <f t="shared" si="92"/>
        <v>0</v>
      </c>
      <c r="BJ111" s="262">
        <f t="shared" si="93"/>
        <v>0</v>
      </c>
      <c r="BK111" s="263">
        <f t="shared" si="94"/>
        <v>0</v>
      </c>
      <c r="BL111" s="269">
        <f t="shared" si="95"/>
        <v>0</v>
      </c>
      <c r="BM111" s="264">
        <f t="shared" si="54"/>
        <v>0</v>
      </c>
      <c r="BO111" s="732" t="str">
        <f t="shared" si="55"/>
        <v/>
      </c>
    </row>
    <row r="112" spans="2:67" ht="15" customHeight="1" x14ac:dyDescent="0.25">
      <c r="B112" s="156"/>
      <c r="C112" s="126" t="s">
        <v>132</v>
      </c>
      <c r="D112" s="202"/>
      <c r="E112" s="202"/>
      <c r="G112" s="493">
        <f>SUM('DUoS (t)'!G112,'TUoS (t)'!G112,'JSO (t)'!G112)</f>
        <v>0</v>
      </c>
      <c r="H112" s="490">
        <f>SUM('DUoS (t)'!H112,'TUoS (t)'!H112,'JSO (t)'!H112)</f>
        <v>0</v>
      </c>
      <c r="I112" s="471">
        <f>SUM('DUoS (t)'!I112,'TUoS (t)'!I112,'JSO (t)'!I112)</f>
        <v>0</v>
      </c>
      <c r="J112" s="471">
        <f>SUM('DUoS (t)'!J112,'TUoS (t)'!J112,'JSO (t)'!J112)</f>
        <v>0</v>
      </c>
      <c r="K112" s="472">
        <f>SUM('DUoS (t)'!K112,'TUoS (t)'!K112,'JSO (t)'!K112)</f>
        <v>0</v>
      </c>
      <c r="L112" s="471">
        <f>SUM('DUoS (t)'!L112,'TUoS (t)'!L112,'JSO (t)'!L112)</f>
        <v>0</v>
      </c>
      <c r="M112" s="471">
        <f>SUM('DUoS (t)'!M112,'TUoS (t)'!M112,'JSO (t)'!M112)</f>
        <v>0</v>
      </c>
      <c r="N112" s="471">
        <f>SUM('DUoS (t)'!N112,'TUoS (t)'!N112,'JSO (t)'!N112)</f>
        <v>0</v>
      </c>
      <c r="O112" s="472">
        <f>SUM('DUoS (t)'!O112,'TUoS (t)'!O112,'JSO (t)'!O112)</f>
        <v>0</v>
      </c>
      <c r="P112" s="471">
        <f>SUM('DUoS (t)'!P112,'TUoS (t)'!P112,'JSO (t)'!P112)</f>
        <v>0</v>
      </c>
      <c r="Q112" s="471">
        <f>SUM('DUoS (t)'!Q112,'TUoS (t)'!Q112,'JSO (t)'!Q112)</f>
        <v>0</v>
      </c>
      <c r="R112" s="472">
        <f>SUM('DUoS (t)'!R112,'TUoS (t)'!R112,'JSO (t)'!R112)</f>
        <v>0</v>
      </c>
      <c r="S112" s="490">
        <f>SUM('DUoS (t)'!S112,'TUoS (t)'!S112,'JSO (t)'!S112)</f>
        <v>0</v>
      </c>
      <c r="T112" s="471">
        <f>SUM('DUoS (t)'!T112,'TUoS (t)'!T112,'JSO (t)'!T112)</f>
        <v>0</v>
      </c>
      <c r="U112" s="490">
        <f>SUM('DUoS (t)'!U112,'TUoS (t)'!U112,'JSO (t)'!U112)</f>
        <v>0</v>
      </c>
      <c r="V112" s="472">
        <f>SUM('DUoS (t)'!V112,'TUoS (t)'!V112,'JSO (t)'!V112)</f>
        <v>0</v>
      </c>
      <c r="X112" s="183">
        <f>'Q (t)'!G112</f>
        <v>0</v>
      </c>
      <c r="Y112" s="184">
        <f>'Q (t)'!H112</f>
        <v>0</v>
      </c>
      <c r="Z112" s="178">
        <f>'Q (t)'!I112</f>
        <v>0</v>
      </c>
      <c r="AA112" s="178">
        <f>'Q (t)'!J112</f>
        <v>0</v>
      </c>
      <c r="AB112" s="179">
        <f>'Q (t)'!K112</f>
        <v>0</v>
      </c>
      <c r="AC112" s="178">
        <f>'Q (t)'!L112</f>
        <v>0</v>
      </c>
      <c r="AD112" s="178">
        <f>'Q (t)'!M112</f>
        <v>0</v>
      </c>
      <c r="AE112" s="178">
        <f>'Q (t)'!N112</f>
        <v>0</v>
      </c>
      <c r="AF112" s="179">
        <f>'Q (t)'!O112</f>
        <v>0</v>
      </c>
      <c r="AG112" s="178">
        <f>'Q (t)'!P112</f>
        <v>0</v>
      </c>
      <c r="AH112" s="178">
        <f>'Q (t)'!Q112</f>
        <v>0</v>
      </c>
      <c r="AI112" s="179">
        <f>'Q (t)'!R112</f>
        <v>0</v>
      </c>
      <c r="AJ112" s="184">
        <f>'Q (t)'!S112</f>
        <v>0</v>
      </c>
      <c r="AK112" s="178">
        <f>'Q (t)'!T112</f>
        <v>0</v>
      </c>
      <c r="AL112" s="184">
        <f>'Q (t)'!U112</f>
        <v>0</v>
      </c>
      <c r="AM112" s="179">
        <f>'Q (t)'!V112</f>
        <v>0</v>
      </c>
      <c r="AO112" s="183">
        <f t="shared" si="50"/>
        <v>0</v>
      </c>
      <c r="AP112" s="184">
        <f t="shared" si="98"/>
        <v>0</v>
      </c>
      <c r="AQ112" s="178">
        <f t="shared" si="98"/>
        <v>0</v>
      </c>
      <c r="AR112" s="178">
        <f t="shared" si="98"/>
        <v>0</v>
      </c>
      <c r="AS112" s="179">
        <f t="shared" si="98"/>
        <v>0</v>
      </c>
      <c r="AT112" s="178">
        <f t="shared" si="98"/>
        <v>0</v>
      </c>
      <c r="AU112" s="178">
        <f t="shared" si="98"/>
        <v>0</v>
      </c>
      <c r="AV112" s="178">
        <f t="shared" si="98"/>
        <v>0</v>
      </c>
      <c r="AW112" s="179">
        <f t="shared" si="98"/>
        <v>0</v>
      </c>
      <c r="AX112" s="178">
        <f t="shared" si="41"/>
        <v>0</v>
      </c>
      <c r="AY112" s="178">
        <f t="shared" si="41"/>
        <v>0</v>
      </c>
      <c r="AZ112" s="179">
        <f t="shared" si="41"/>
        <v>0</v>
      </c>
      <c r="BA112" s="184">
        <f t="shared" si="41"/>
        <v>0</v>
      </c>
      <c r="BB112" s="178">
        <f t="shared" si="41"/>
        <v>0</v>
      </c>
      <c r="BC112" s="184">
        <f t="shared" si="41"/>
        <v>0</v>
      </c>
      <c r="BD112" s="178">
        <f t="shared" si="99"/>
        <v>0</v>
      </c>
      <c r="BE112" s="251">
        <f t="shared" si="52"/>
        <v>0</v>
      </c>
      <c r="BF112" s="252">
        <f t="shared" si="97"/>
        <v>0</v>
      </c>
      <c r="BH112" s="259">
        <f>SUBTOTAL(9,BH113:BH116)</f>
        <v>530.00189999999998</v>
      </c>
      <c r="BI112" s="259">
        <f>SUBTOTAL(9,BI113:BI116)</f>
        <v>222.84471372130002</v>
      </c>
      <c r="BJ112" s="259">
        <f>SUBTOTAL(9,BJ113:BJ116)</f>
        <v>0</v>
      </c>
      <c r="BK112" s="259">
        <f>SUBTOTAL(9,BK113:BK116)</f>
        <v>489.59904004500004</v>
      </c>
      <c r="BL112" s="259">
        <f>SUBTOTAL(9,BL113:BL116)</f>
        <v>0</v>
      </c>
      <c r="BM112" s="264">
        <f t="shared" si="54"/>
        <v>1242.4456537663</v>
      </c>
      <c r="BO112" s="732" t="str">
        <f t="shared" si="55"/>
        <v/>
      </c>
    </row>
    <row r="113" spans="1:72" ht="15" customHeight="1" x14ac:dyDescent="0.25">
      <c r="B113" s="156">
        <f>B110+1</f>
        <v>16</v>
      </c>
      <c r="C113" s="180" t="s">
        <v>133</v>
      </c>
      <c r="D113" s="181"/>
      <c r="E113" s="210" t="s">
        <v>134</v>
      </c>
      <c r="G113" s="488">
        <f>SUM('DUoS (t)'!G113,'TUoS (t)'!G113,'JSO (t)'!G113)</f>
        <v>0</v>
      </c>
      <c r="H113" s="489">
        <f>SUM('DUoS (t)'!H113,'TUoS (t)'!H113,'JSO (t)'!H113)</f>
        <v>1.0700000000000001E-2</v>
      </c>
      <c r="I113" s="471">
        <f>SUM('DUoS (t)'!I113,'TUoS (t)'!I113,'JSO (t)'!I113)</f>
        <v>0</v>
      </c>
      <c r="J113" s="471">
        <f>SUM('DUoS (t)'!J113,'TUoS (t)'!J113,'JSO (t)'!J113)</f>
        <v>0</v>
      </c>
      <c r="K113" s="472">
        <f>SUM('DUoS (t)'!K113,'TUoS (t)'!K113,'JSO (t)'!K113)</f>
        <v>0</v>
      </c>
      <c r="L113" s="471">
        <f>SUM('DUoS (t)'!L113,'TUoS (t)'!L113,'JSO (t)'!L113)</f>
        <v>0</v>
      </c>
      <c r="M113" s="471">
        <f>SUM('DUoS (t)'!M113,'TUoS (t)'!M113,'JSO (t)'!M113)</f>
        <v>0</v>
      </c>
      <c r="N113" s="471">
        <f>SUM('DUoS (t)'!N113,'TUoS (t)'!N113,'JSO (t)'!N113)</f>
        <v>0</v>
      </c>
      <c r="O113" s="472">
        <f>SUM('DUoS (t)'!O113,'TUoS (t)'!O113,'JSO (t)'!O113)</f>
        <v>0</v>
      </c>
      <c r="P113" s="471">
        <f>SUM('DUoS (t)'!P113,'TUoS (t)'!P113,'JSO (t)'!P113)</f>
        <v>0</v>
      </c>
      <c r="Q113" s="471">
        <f>SUM('DUoS (t)'!Q113,'TUoS (t)'!Q113,'JSO (t)'!Q113)</f>
        <v>0</v>
      </c>
      <c r="R113" s="472">
        <f>SUM('DUoS (t)'!R113,'TUoS (t)'!R113,'JSO (t)'!R113)</f>
        <v>0</v>
      </c>
      <c r="S113" s="489">
        <f>SUM('DUoS (t)'!S113,'TUoS (t)'!S113,'JSO (t)'!S113)</f>
        <v>0.10829999999999999</v>
      </c>
      <c r="T113" s="494">
        <f>SUM('DUoS (t)'!T113,'TUoS (t)'!T113,'JSO (t)'!T113)</f>
        <v>4.1399999999999999E-2</v>
      </c>
      <c r="U113" s="491">
        <f>SUM('DUoS (t)'!U113,'TUoS (t)'!U113,'JSO (t)'!U113)</f>
        <v>0</v>
      </c>
      <c r="V113" s="492">
        <f>SUM('DUoS (t)'!V113,'TUoS (t)'!V113,'JSO (t)'!V113)</f>
        <v>0</v>
      </c>
      <c r="X113" s="183">
        <f>'Q (t)'!G113</f>
        <v>0</v>
      </c>
      <c r="Y113" s="184">
        <f>'Q (t)'!H113</f>
        <v>0</v>
      </c>
      <c r="Z113" s="178">
        <f>'Q (t)'!I113</f>
        <v>0</v>
      </c>
      <c r="AA113" s="178">
        <f>'Q (t)'!J113</f>
        <v>0</v>
      </c>
      <c r="AB113" s="179">
        <f>'Q (t)'!K113</f>
        <v>0</v>
      </c>
      <c r="AC113" s="178">
        <f>'Q (t)'!L113</f>
        <v>0</v>
      </c>
      <c r="AD113" s="178">
        <f>'Q (t)'!M113</f>
        <v>0</v>
      </c>
      <c r="AE113" s="178">
        <f>'Q (t)'!N113</f>
        <v>0</v>
      </c>
      <c r="AF113" s="179">
        <f>'Q (t)'!O113</f>
        <v>0</v>
      </c>
      <c r="AG113" s="178">
        <f>'Q (t)'!P113</f>
        <v>0</v>
      </c>
      <c r="AH113" s="178">
        <f>'Q (t)'!Q113</f>
        <v>0</v>
      </c>
      <c r="AI113" s="179">
        <f>'Q (t)'!R113</f>
        <v>0</v>
      </c>
      <c r="AJ113" s="184">
        <f>'Q (t)'!S113</f>
        <v>0</v>
      </c>
      <c r="AK113" s="178">
        <f>'Q (t)'!T113</f>
        <v>0</v>
      </c>
      <c r="AL113" s="184">
        <f>'Q (t)'!U113</f>
        <v>0</v>
      </c>
      <c r="AM113" s="179">
        <f>'Q (t)'!V113</f>
        <v>0</v>
      </c>
      <c r="AO113" s="183">
        <f t="shared" si="50"/>
        <v>0</v>
      </c>
      <c r="AP113" s="184">
        <f t="shared" si="98"/>
        <v>0</v>
      </c>
      <c r="AQ113" s="178">
        <f t="shared" si="98"/>
        <v>0</v>
      </c>
      <c r="AR113" s="178">
        <f t="shared" si="98"/>
        <v>0</v>
      </c>
      <c r="AS113" s="179">
        <f t="shared" si="98"/>
        <v>0</v>
      </c>
      <c r="AT113" s="178">
        <f t="shared" si="98"/>
        <v>0</v>
      </c>
      <c r="AU113" s="178">
        <f t="shared" si="98"/>
        <v>0</v>
      </c>
      <c r="AV113" s="178">
        <f t="shared" si="98"/>
        <v>0</v>
      </c>
      <c r="AW113" s="179">
        <f t="shared" si="98"/>
        <v>0</v>
      </c>
      <c r="AX113" s="178">
        <f t="shared" ref="AX113:BC126" si="100">P113*AG113/1000</f>
        <v>0</v>
      </c>
      <c r="AY113" s="178">
        <f t="shared" si="100"/>
        <v>0</v>
      </c>
      <c r="AZ113" s="179">
        <f t="shared" si="100"/>
        <v>0</v>
      </c>
      <c r="BA113" s="184">
        <f t="shared" si="100"/>
        <v>0</v>
      </c>
      <c r="BB113" s="178">
        <f t="shared" si="100"/>
        <v>0</v>
      </c>
      <c r="BC113" s="184">
        <f t="shared" si="100"/>
        <v>0</v>
      </c>
      <c r="BD113" s="178">
        <f t="shared" si="99"/>
        <v>0</v>
      </c>
      <c r="BE113" s="251">
        <f t="shared" si="52"/>
        <v>0</v>
      </c>
      <c r="BF113" s="252">
        <f t="shared" si="97"/>
        <v>0</v>
      </c>
      <c r="BH113" s="262">
        <f>SUM(AO113)</f>
        <v>0</v>
      </c>
      <c r="BI113" s="262">
        <f>SUM(AP113:AS113)</f>
        <v>0</v>
      </c>
      <c r="BJ113" s="262">
        <f>SUM(AT113:AW113)</f>
        <v>0</v>
      </c>
      <c r="BK113" s="263">
        <f>SUM(AX113:BB113)</f>
        <v>0</v>
      </c>
      <c r="BL113" s="269">
        <f>SUM(BC113:BD113)</f>
        <v>0</v>
      </c>
      <c r="BM113" s="264">
        <f t="shared" si="54"/>
        <v>0</v>
      </c>
      <c r="BO113" s="732" t="str">
        <f t="shared" si="55"/>
        <v/>
      </c>
    </row>
    <row r="114" spans="1:72" ht="15" customHeight="1" x14ac:dyDescent="0.25">
      <c r="B114" s="156">
        <f>B113+1</f>
        <v>17</v>
      </c>
      <c r="C114" s="180" t="s">
        <v>135</v>
      </c>
      <c r="D114" s="181"/>
      <c r="E114" s="210" t="s">
        <v>136</v>
      </c>
      <c r="G114" s="488">
        <f>SUM('DUoS (t)'!G114,'TUoS (t)'!G114,'JSO (t)'!G114)</f>
        <v>0</v>
      </c>
      <c r="H114" s="489">
        <f>SUM('DUoS (t)'!H114,'TUoS (t)'!H114,'JSO (t)'!H114)</f>
        <v>1.0700000000000001E-2</v>
      </c>
      <c r="I114" s="471">
        <f>SUM('DUoS (t)'!I114,'TUoS (t)'!I114,'JSO (t)'!I114)</f>
        <v>0</v>
      </c>
      <c r="J114" s="471">
        <f>SUM('DUoS (t)'!J114,'TUoS (t)'!J114,'JSO (t)'!J114)</f>
        <v>0</v>
      </c>
      <c r="K114" s="472">
        <f>SUM('DUoS (t)'!K114,'TUoS (t)'!K114,'JSO (t)'!K114)</f>
        <v>0</v>
      </c>
      <c r="L114" s="471">
        <f>SUM('DUoS (t)'!L114,'TUoS (t)'!L114,'JSO (t)'!L114)</f>
        <v>0</v>
      </c>
      <c r="M114" s="471">
        <f>SUM('DUoS (t)'!M114,'TUoS (t)'!M114,'JSO (t)'!M114)</f>
        <v>0</v>
      </c>
      <c r="N114" s="471">
        <f>SUM('DUoS (t)'!N114,'TUoS (t)'!N114,'JSO (t)'!N114)</f>
        <v>0</v>
      </c>
      <c r="O114" s="472">
        <f>SUM('DUoS (t)'!O114,'TUoS (t)'!O114,'JSO (t)'!O114)</f>
        <v>0</v>
      </c>
      <c r="P114" s="471">
        <f>SUM('DUoS (t)'!P114,'TUoS (t)'!P114,'JSO (t)'!P114)</f>
        <v>0</v>
      </c>
      <c r="Q114" s="471">
        <f>SUM('DUoS (t)'!Q114,'TUoS (t)'!Q114,'JSO (t)'!Q114)</f>
        <v>0</v>
      </c>
      <c r="R114" s="472">
        <f>SUM('DUoS (t)'!R114,'TUoS (t)'!R114,'JSO (t)'!R114)</f>
        <v>0</v>
      </c>
      <c r="S114" s="489">
        <f>SUM('DUoS (t)'!S114,'TUoS (t)'!S114,'JSO (t)'!S114)</f>
        <v>0.10829999999999999</v>
      </c>
      <c r="T114" s="494">
        <f>SUM('DUoS (t)'!T114,'TUoS (t)'!T114,'JSO (t)'!T114)</f>
        <v>4.1399999999999999E-2</v>
      </c>
      <c r="U114" s="491">
        <f>SUM('DUoS (t)'!U114,'TUoS (t)'!U114,'JSO (t)'!U114)</f>
        <v>0</v>
      </c>
      <c r="V114" s="492">
        <f>SUM('DUoS (t)'!V114,'TUoS (t)'!V114,'JSO (t)'!V114)</f>
        <v>0</v>
      </c>
      <c r="X114" s="183">
        <f>'Q (t)'!G114</f>
        <v>365</v>
      </c>
      <c r="Y114" s="184">
        <f>'Q (t)'!H114</f>
        <v>8287.9185390000002</v>
      </c>
      <c r="Z114" s="178">
        <f>'Q (t)'!I114</f>
        <v>0</v>
      </c>
      <c r="AA114" s="178">
        <f>'Q (t)'!J114</f>
        <v>0</v>
      </c>
      <c r="AB114" s="179">
        <f>'Q (t)'!K114</f>
        <v>0</v>
      </c>
      <c r="AC114" s="178">
        <f>'Q (t)'!L114</f>
        <v>0</v>
      </c>
      <c r="AD114" s="178">
        <f>'Q (t)'!M114</f>
        <v>0</v>
      </c>
      <c r="AE114" s="178">
        <f>'Q (t)'!N114</f>
        <v>0</v>
      </c>
      <c r="AF114" s="179">
        <f>'Q (t)'!O114</f>
        <v>0</v>
      </c>
      <c r="AG114" s="178">
        <f>'Q (t)'!P114</f>
        <v>0</v>
      </c>
      <c r="AH114" s="178">
        <f>'Q (t)'!Q114</f>
        <v>0</v>
      </c>
      <c r="AI114" s="179">
        <f>'Q (t)'!R114</f>
        <v>0</v>
      </c>
      <c r="AJ114" s="184">
        <f>'Q (t)'!S114</f>
        <v>1070883.72</v>
      </c>
      <c r="AK114" s="178">
        <f>'Q (t)'!T114</f>
        <v>2372500</v>
      </c>
      <c r="AL114" s="184">
        <f>'Q (t)'!U114</f>
        <v>0</v>
      </c>
      <c r="AM114" s="179">
        <f>'Q (t)'!V114</f>
        <v>0</v>
      </c>
      <c r="AO114" s="183">
        <f t="shared" si="50"/>
        <v>0</v>
      </c>
      <c r="AP114" s="184">
        <f t="shared" si="98"/>
        <v>88.680728367300006</v>
      </c>
      <c r="AQ114" s="178">
        <f t="shared" si="98"/>
        <v>0</v>
      </c>
      <c r="AR114" s="178">
        <f t="shared" si="98"/>
        <v>0</v>
      </c>
      <c r="AS114" s="179">
        <f t="shared" si="98"/>
        <v>0</v>
      </c>
      <c r="AT114" s="178">
        <f t="shared" si="98"/>
        <v>0</v>
      </c>
      <c r="AU114" s="178">
        <f t="shared" si="98"/>
        <v>0</v>
      </c>
      <c r="AV114" s="178">
        <f t="shared" si="98"/>
        <v>0</v>
      </c>
      <c r="AW114" s="179">
        <f t="shared" si="98"/>
        <v>0</v>
      </c>
      <c r="AX114" s="178">
        <f t="shared" si="100"/>
        <v>0</v>
      </c>
      <c r="AY114" s="178">
        <f t="shared" si="100"/>
        <v>0</v>
      </c>
      <c r="AZ114" s="179">
        <f t="shared" si="100"/>
        <v>0</v>
      </c>
      <c r="BA114" s="184">
        <f t="shared" si="100"/>
        <v>115.97670687599999</v>
      </c>
      <c r="BB114" s="178">
        <f t="shared" si="100"/>
        <v>98.221500000000006</v>
      </c>
      <c r="BC114" s="184">
        <f t="shared" si="100"/>
        <v>0</v>
      </c>
      <c r="BD114" s="178">
        <f t="shared" si="99"/>
        <v>0</v>
      </c>
      <c r="BE114" s="251">
        <f t="shared" si="52"/>
        <v>1</v>
      </c>
      <c r="BF114" s="252">
        <f t="shared" si="97"/>
        <v>8287.9185390000002</v>
      </c>
      <c r="BH114" s="262">
        <f>SUM(AO114)</f>
        <v>0</v>
      </c>
      <c r="BI114" s="262">
        <f>SUM(AP114:AS114)</f>
        <v>88.680728367300006</v>
      </c>
      <c r="BJ114" s="262">
        <f>SUM(AT114:AW114)</f>
        <v>0</v>
      </c>
      <c r="BK114" s="263">
        <f>SUM(AX114:BB114)</f>
        <v>214.198206876</v>
      </c>
      <c r="BL114" s="269">
        <f>SUM(BC114:BD114)</f>
        <v>0</v>
      </c>
      <c r="BM114" s="264">
        <f t="shared" si="54"/>
        <v>302.87893524330002</v>
      </c>
      <c r="BO114" s="732">
        <f t="shared" si="55"/>
        <v>36.544632264187854</v>
      </c>
    </row>
    <row r="115" spans="1:72" ht="15" customHeight="1" x14ac:dyDescent="0.25">
      <c r="B115" s="156">
        <f t="shared" ref="B115:B126" si="101">B114+1</f>
        <v>18</v>
      </c>
      <c r="C115" s="180" t="s">
        <v>137</v>
      </c>
      <c r="D115" s="181"/>
      <c r="E115" s="210" t="s">
        <v>136</v>
      </c>
      <c r="G115" s="488">
        <f>SUM('DUoS (t)'!G115,'TUoS (t)'!G115,'JSO (t)'!G115)</f>
        <v>1019.18</v>
      </c>
      <c r="H115" s="489">
        <f>SUM('DUoS (t)'!H115,'TUoS (t)'!H115,'JSO (t)'!H115)</f>
        <v>1.0700000000000001E-2</v>
      </c>
      <c r="I115" s="471">
        <f>SUM('DUoS (t)'!I115,'TUoS (t)'!I115,'JSO (t)'!I115)</f>
        <v>0</v>
      </c>
      <c r="J115" s="471">
        <f>SUM('DUoS (t)'!J115,'TUoS (t)'!J115,'JSO (t)'!J115)</f>
        <v>0</v>
      </c>
      <c r="K115" s="472">
        <f>SUM('DUoS (t)'!K115,'TUoS (t)'!K115,'JSO (t)'!K115)</f>
        <v>0</v>
      </c>
      <c r="L115" s="471">
        <f>SUM('DUoS (t)'!L115,'TUoS (t)'!L115,'JSO (t)'!L115)</f>
        <v>0</v>
      </c>
      <c r="M115" s="471">
        <f>SUM('DUoS (t)'!M115,'TUoS (t)'!M115,'JSO (t)'!M115)</f>
        <v>0</v>
      </c>
      <c r="N115" s="471">
        <f>SUM('DUoS (t)'!N115,'TUoS (t)'!N115,'JSO (t)'!N115)</f>
        <v>0</v>
      </c>
      <c r="O115" s="472">
        <f>SUM('DUoS (t)'!O115,'TUoS (t)'!O115,'JSO (t)'!O115)</f>
        <v>0</v>
      </c>
      <c r="P115" s="471">
        <f>SUM('DUoS (t)'!P115,'TUoS (t)'!P115,'JSO (t)'!P115)</f>
        <v>0</v>
      </c>
      <c r="Q115" s="471">
        <f>SUM('DUoS (t)'!Q115,'TUoS (t)'!Q115,'JSO (t)'!Q115)</f>
        <v>0</v>
      </c>
      <c r="R115" s="472">
        <f>SUM('DUoS (t)'!R115,'TUoS (t)'!R115,'JSO (t)'!R115)</f>
        <v>0</v>
      </c>
      <c r="S115" s="489">
        <f>SUM('DUoS (t)'!S115,'TUoS (t)'!S115,'JSO (t)'!S115)</f>
        <v>0.10829999999999999</v>
      </c>
      <c r="T115" s="494">
        <f>SUM('DUoS (t)'!T115,'TUoS (t)'!T115,'JSO (t)'!T115)</f>
        <v>4.1399999999999999E-2</v>
      </c>
      <c r="U115" s="491">
        <f>SUM('DUoS (t)'!U115,'TUoS (t)'!U115,'JSO (t)'!U115)</f>
        <v>0</v>
      </c>
      <c r="V115" s="492">
        <f>SUM('DUoS (t)'!V115,'TUoS (t)'!V115,'JSO (t)'!V115)</f>
        <v>0</v>
      </c>
      <c r="X115" s="183">
        <f>'Q (t)'!G115</f>
        <v>365</v>
      </c>
      <c r="Y115" s="184">
        <f>'Q (t)'!H115</f>
        <v>2738.69022</v>
      </c>
      <c r="Z115" s="178">
        <f>'Q (t)'!I115</f>
        <v>0</v>
      </c>
      <c r="AA115" s="178">
        <f>'Q (t)'!J115</f>
        <v>0</v>
      </c>
      <c r="AB115" s="179">
        <f>'Q (t)'!K115</f>
        <v>0</v>
      </c>
      <c r="AC115" s="178">
        <f>'Q (t)'!L115</f>
        <v>0</v>
      </c>
      <c r="AD115" s="178">
        <f>'Q (t)'!M115</f>
        <v>0</v>
      </c>
      <c r="AE115" s="178">
        <f>'Q (t)'!N115</f>
        <v>0</v>
      </c>
      <c r="AF115" s="179">
        <f>'Q (t)'!O115</f>
        <v>0</v>
      </c>
      <c r="AG115" s="178">
        <f>'Q (t)'!P115</f>
        <v>0</v>
      </c>
      <c r="AH115" s="178">
        <f>'Q (t)'!Q115</f>
        <v>0</v>
      </c>
      <c r="AI115" s="179">
        <f>'Q (t)'!R115</f>
        <v>0</v>
      </c>
      <c r="AJ115" s="184">
        <f>'Q (t)'!S115</f>
        <v>308511.505</v>
      </c>
      <c r="AK115" s="178">
        <f>'Q (t)'!T115</f>
        <v>318869.83999999997</v>
      </c>
      <c r="AL115" s="184">
        <f>'Q (t)'!U115</f>
        <v>0</v>
      </c>
      <c r="AM115" s="179">
        <f>'Q (t)'!V115</f>
        <v>0</v>
      </c>
      <c r="AO115" s="183">
        <f t="shared" si="50"/>
        <v>372.00069999999994</v>
      </c>
      <c r="AP115" s="184">
        <f t="shared" si="98"/>
        <v>29.303985354000002</v>
      </c>
      <c r="AQ115" s="178">
        <f t="shared" si="98"/>
        <v>0</v>
      </c>
      <c r="AR115" s="178">
        <f t="shared" si="98"/>
        <v>0</v>
      </c>
      <c r="AS115" s="179">
        <f t="shared" si="98"/>
        <v>0</v>
      </c>
      <c r="AT115" s="178">
        <f t="shared" si="98"/>
        <v>0</v>
      </c>
      <c r="AU115" s="178">
        <f t="shared" si="98"/>
        <v>0</v>
      </c>
      <c r="AV115" s="178">
        <f t="shared" si="98"/>
        <v>0</v>
      </c>
      <c r="AW115" s="179">
        <f t="shared" si="98"/>
        <v>0</v>
      </c>
      <c r="AX115" s="178">
        <f t="shared" si="100"/>
        <v>0</v>
      </c>
      <c r="AY115" s="178">
        <f t="shared" si="100"/>
        <v>0</v>
      </c>
      <c r="AZ115" s="179">
        <f t="shared" si="100"/>
        <v>0</v>
      </c>
      <c r="BA115" s="184">
        <f t="shared" si="100"/>
        <v>33.411795991499993</v>
      </c>
      <c r="BB115" s="178">
        <f t="shared" si="100"/>
        <v>13.201211376</v>
      </c>
      <c r="BC115" s="184">
        <f t="shared" si="100"/>
        <v>0</v>
      </c>
      <c r="BD115" s="178">
        <f t="shared" si="99"/>
        <v>0</v>
      </c>
      <c r="BE115" s="251">
        <f t="shared" si="52"/>
        <v>1</v>
      </c>
      <c r="BF115" s="252">
        <f t="shared" si="97"/>
        <v>2738.69022</v>
      </c>
      <c r="BH115" s="262">
        <f>SUM(AO115)</f>
        <v>372.00069999999994</v>
      </c>
      <c r="BI115" s="262">
        <f>SUM(AP115:AS115)</f>
        <v>29.303985354000002</v>
      </c>
      <c r="BJ115" s="262">
        <f>SUM(AT115:AW115)</f>
        <v>0</v>
      </c>
      <c r="BK115" s="263">
        <f>SUM(AX115:BB115)</f>
        <v>46.613007367499989</v>
      </c>
      <c r="BL115" s="269">
        <f>SUM(BC115:BD115)</f>
        <v>0</v>
      </c>
      <c r="BM115" s="264">
        <f t="shared" si="54"/>
        <v>447.91769272149998</v>
      </c>
      <c r="BO115" s="732">
        <f t="shared" si="55"/>
        <v>163.55179182021544</v>
      </c>
    </row>
    <row r="116" spans="1:72" ht="15" customHeight="1" x14ac:dyDescent="0.25">
      <c r="B116" s="156">
        <f t="shared" si="101"/>
        <v>19</v>
      </c>
      <c r="C116" s="180" t="s">
        <v>138</v>
      </c>
      <c r="D116" s="181"/>
      <c r="E116" s="210" t="s">
        <v>136</v>
      </c>
      <c r="G116" s="488">
        <f>SUM('DUoS (t)'!G116,'TUoS (t)'!G116,'JSO (t)'!G116)</f>
        <v>432.88</v>
      </c>
      <c r="H116" s="489">
        <f>SUM('DUoS (t)'!H116,'TUoS (t)'!H116,'JSO (t)'!H116)</f>
        <v>1.0700000000000001E-2</v>
      </c>
      <c r="I116" s="471">
        <f>SUM('DUoS (t)'!I116,'TUoS (t)'!I116,'JSO (t)'!I116)</f>
        <v>0</v>
      </c>
      <c r="J116" s="471">
        <f>SUM('DUoS (t)'!J116,'TUoS (t)'!J116,'JSO (t)'!J116)</f>
        <v>0</v>
      </c>
      <c r="K116" s="472">
        <f>SUM('DUoS (t)'!K116,'TUoS (t)'!K116,'JSO (t)'!K116)</f>
        <v>0</v>
      </c>
      <c r="L116" s="471">
        <f>SUM('DUoS (t)'!L116,'TUoS (t)'!L116,'JSO (t)'!L116)</f>
        <v>0</v>
      </c>
      <c r="M116" s="471">
        <f>SUM('DUoS (t)'!M116,'TUoS (t)'!M116,'JSO (t)'!M116)</f>
        <v>0</v>
      </c>
      <c r="N116" s="471">
        <f>SUM('DUoS (t)'!N116,'TUoS (t)'!N116,'JSO (t)'!N116)</f>
        <v>0</v>
      </c>
      <c r="O116" s="472">
        <f>SUM('DUoS (t)'!O116,'TUoS (t)'!O116,'JSO (t)'!O116)</f>
        <v>0</v>
      </c>
      <c r="P116" s="471">
        <f>SUM('DUoS (t)'!P116,'TUoS (t)'!P116,'JSO (t)'!P116)</f>
        <v>0</v>
      </c>
      <c r="Q116" s="471">
        <f>SUM('DUoS (t)'!Q116,'TUoS (t)'!Q116,'JSO (t)'!Q116)</f>
        <v>0</v>
      </c>
      <c r="R116" s="472">
        <f>SUM('DUoS (t)'!R116,'TUoS (t)'!R116,'JSO (t)'!R116)</f>
        <v>0</v>
      </c>
      <c r="S116" s="489">
        <f>SUM('DUoS (t)'!S116,'TUoS (t)'!S116,'JSO (t)'!S116)</f>
        <v>0.10829999999999999</v>
      </c>
      <c r="T116" s="494">
        <f>SUM('DUoS (t)'!T116,'TUoS (t)'!T116,'JSO (t)'!T116)</f>
        <v>4.1399999999999999E-2</v>
      </c>
      <c r="U116" s="491">
        <f>SUM('DUoS (t)'!U116,'TUoS (t)'!U116,'JSO (t)'!U116)</f>
        <v>0</v>
      </c>
      <c r="V116" s="492">
        <f>SUM('DUoS (t)'!V116,'TUoS (t)'!V116,'JSO (t)'!V116)</f>
        <v>0</v>
      </c>
      <c r="X116" s="183">
        <f>'Q (t)'!G116</f>
        <v>365</v>
      </c>
      <c r="Y116" s="184">
        <f>'Q (t)'!H116</f>
        <v>9800</v>
      </c>
      <c r="Z116" s="178">
        <f>'Q (t)'!I116</f>
        <v>0</v>
      </c>
      <c r="AA116" s="178">
        <f>'Q (t)'!J116</f>
        <v>0</v>
      </c>
      <c r="AB116" s="179">
        <f>'Q (t)'!K116</f>
        <v>0</v>
      </c>
      <c r="AC116" s="178">
        <f>'Q (t)'!L116</f>
        <v>0</v>
      </c>
      <c r="AD116" s="178">
        <f>'Q (t)'!M116</f>
        <v>0</v>
      </c>
      <c r="AE116" s="178">
        <f>'Q (t)'!N116</f>
        <v>0</v>
      </c>
      <c r="AF116" s="179">
        <f>'Q (t)'!O116</f>
        <v>0</v>
      </c>
      <c r="AG116" s="178">
        <f>'Q (t)'!P116</f>
        <v>0</v>
      </c>
      <c r="AH116" s="178">
        <f>'Q (t)'!Q116</f>
        <v>0</v>
      </c>
      <c r="AI116" s="179">
        <f>'Q (t)'!R116</f>
        <v>0</v>
      </c>
      <c r="AJ116" s="184">
        <f>'Q (t)'!S116</f>
        <v>1414892.2050000001</v>
      </c>
      <c r="AK116" s="178">
        <f>'Q (t)'!T116</f>
        <v>1825000</v>
      </c>
      <c r="AL116" s="184">
        <f>'Q (t)'!U116</f>
        <v>0</v>
      </c>
      <c r="AM116" s="179">
        <f>'Q (t)'!V116</f>
        <v>0</v>
      </c>
      <c r="AO116" s="183">
        <f t="shared" si="50"/>
        <v>158.00120000000001</v>
      </c>
      <c r="AP116" s="184">
        <f t="shared" si="98"/>
        <v>104.86000000000001</v>
      </c>
      <c r="AQ116" s="178">
        <f t="shared" si="98"/>
        <v>0</v>
      </c>
      <c r="AR116" s="178">
        <f t="shared" si="98"/>
        <v>0</v>
      </c>
      <c r="AS116" s="179">
        <f t="shared" si="98"/>
        <v>0</v>
      </c>
      <c r="AT116" s="178">
        <f t="shared" si="98"/>
        <v>0</v>
      </c>
      <c r="AU116" s="178">
        <f t="shared" si="98"/>
        <v>0</v>
      </c>
      <c r="AV116" s="178">
        <f t="shared" si="98"/>
        <v>0</v>
      </c>
      <c r="AW116" s="179">
        <f t="shared" si="98"/>
        <v>0</v>
      </c>
      <c r="AX116" s="178">
        <f t="shared" si="100"/>
        <v>0</v>
      </c>
      <c r="AY116" s="178">
        <f t="shared" si="100"/>
        <v>0</v>
      </c>
      <c r="AZ116" s="179">
        <f t="shared" si="100"/>
        <v>0</v>
      </c>
      <c r="BA116" s="184">
        <f t="shared" si="100"/>
        <v>153.23282580150001</v>
      </c>
      <c r="BB116" s="178">
        <f t="shared" si="100"/>
        <v>75.555000000000007</v>
      </c>
      <c r="BC116" s="184">
        <f t="shared" si="100"/>
        <v>0</v>
      </c>
      <c r="BD116" s="178">
        <f t="shared" si="99"/>
        <v>0</v>
      </c>
      <c r="BE116" s="251">
        <f t="shared" si="52"/>
        <v>1</v>
      </c>
      <c r="BF116" s="252">
        <f t="shared" si="97"/>
        <v>9800</v>
      </c>
      <c r="BH116" s="262">
        <f>SUM(AO116)</f>
        <v>158.00120000000001</v>
      </c>
      <c r="BI116" s="262">
        <f>SUM(AP116:AS116)</f>
        <v>104.86000000000001</v>
      </c>
      <c r="BJ116" s="262">
        <f>SUM(AT116:AW116)</f>
        <v>0</v>
      </c>
      <c r="BK116" s="263">
        <f>SUM(AX116:BB116)</f>
        <v>228.78782580150002</v>
      </c>
      <c r="BL116" s="269">
        <f>SUM(BC116:BD116)</f>
        <v>0</v>
      </c>
      <c r="BM116" s="264">
        <f t="shared" si="54"/>
        <v>491.6490258015001</v>
      </c>
      <c r="BO116" s="732">
        <f t="shared" si="55"/>
        <v>50.168267938928579</v>
      </c>
    </row>
    <row r="117" spans="1:72" ht="15" customHeight="1" x14ac:dyDescent="0.25">
      <c r="B117" s="156"/>
      <c r="C117" s="126" t="s">
        <v>139</v>
      </c>
      <c r="D117" s="202"/>
      <c r="E117" s="202"/>
      <c r="G117" s="493">
        <f>SUM('DUoS (t)'!G117,'TUoS (t)'!G117,'JSO (t)'!G117)</f>
        <v>0</v>
      </c>
      <c r="H117" s="490">
        <f>SUM('DUoS (t)'!H117,'TUoS (t)'!H117,'JSO (t)'!H117)</f>
        <v>0</v>
      </c>
      <c r="I117" s="471">
        <f>SUM('DUoS (t)'!I117,'TUoS (t)'!I117,'JSO (t)'!I117)</f>
        <v>0</v>
      </c>
      <c r="J117" s="471">
        <f>SUM('DUoS (t)'!J117,'TUoS (t)'!J117,'JSO (t)'!J117)</f>
        <v>0</v>
      </c>
      <c r="K117" s="472">
        <f>SUM('DUoS (t)'!K117,'TUoS (t)'!K117,'JSO (t)'!K117)</f>
        <v>0</v>
      </c>
      <c r="L117" s="471">
        <f>SUM('DUoS (t)'!L117,'TUoS (t)'!L117,'JSO (t)'!L117)</f>
        <v>0</v>
      </c>
      <c r="M117" s="471">
        <f>SUM('DUoS (t)'!M117,'TUoS (t)'!M117,'JSO (t)'!M117)</f>
        <v>0</v>
      </c>
      <c r="N117" s="471">
        <f>SUM('DUoS (t)'!N117,'TUoS (t)'!N117,'JSO (t)'!N117)</f>
        <v>0</v>
      </c>
      <c r="O117" s="472">
        <f>SUM('DUoS (t)'!O117,'TUoS (t)'!O117,'JSO (t)'!O117)</f>
        <v>0</v>
      </c>
      <c r="P117" s="471">
        <f>SUM('DUoS (t)'!P117,'TUoS (t)'!P117,'JSO (t)'!P117)</f>
        <v>0</v>
      </c>
      <c r="Q117" s="471">
        <f>SUM('DUoS (t)'!Q117,'TUoS (t)'!Q117,'JSO (t)'!Q117)</f>
        <v>0</v>
      </c>
      <c r="R117" s="472">
        <f>SUM('DUoS (t)'!R117,'TUoS (t)'!R117,'JSO (t)'!R117)</f>
        <v>0</v>
      </c>
      <c r="S117" s="490">
        <f>SUM('DUoS (t)'!S117,'TUoS (t)'!S117,'JSO (t)'!S117)</f>
        <v>0</v>
      </c>
      <c r="T117" s="471">
        <f>SUM('DUoS (t)'!T117,'TUoS (t)'!T117,'JSO (t)'!T117)</f>
        <v>0</v>
      </c>
      <c r="U117" s="490">
        <f>SUM('DUoS (t)'!U117,'TUoS (t)'!U117,'JSO (t)'!U117)</f>
        <v>0</v>
      </c>
      <c r="V117" s="472">
        <f>SUM('DUoS (t)'!V117,'TUoS (t)'!V117,'JSO (t)'!V117)</f>
        <v>0</v>
      </c>
      <c r="X117" s="183">
        <f>'Q (t)'!G117</f>
        <v>0</v>
      </c>
      <c r="Y117" s="184">
        <f>'Q (t)'!H117</f>
        <v>0</v>
      </c>
      <c r="Z117" s="178">
        <f>'Q (t)'!I117</f>
        <v>0</v>
      </c>
      <c r="AA117" s="178">
        <f>'Q (t)'!J117</f>
        <v>0</v>
      </c>
      <c r="AB117" s="179">
        <f>'Q (t)'!K117</f>
        <v>0</v>
      </c>
      <c r="AC117" s="178">
        <f>'Q (t)'!L117</f>
        <v>0</v>
      </c>
      <c r="AD117" s="178">
        <f>'Q (t)'!M117</f>
        <v>0</v>
      </c>
      <c r="AE117" s="178">
        <f>'Q (t)'!N117</f>
        <v>0</v>
      </c>
      <c r="AF117" s="179">
        <f>'Q (t)'!O117</f>
        <v>0</v>
      </c>
      <c r="AG117" s="178">
        <f>'Q (t)'!P117</f>
        <v>0</v>
      </c>
      <c r="AH117" s="178">
        <f>'Q (t)'!Q117</f>
        <v>0</v>
      </c>
      <c r="AI117" s="179">
        <f>'Q (t)'!R117</f>
        <v>0</v>
      </c>
      <c r="AJ117" s="184">
        <f>'Q (t)'!S117</f>
        <v>0</v>
      </c>
      <c r="AK117" s="178">
        <f>'Q (t)'!T117</f>
        <v>0</v>
      </c>
      <c r="AL117" s="184">
        <f>'Q (t)'!U117</f>
        <v>0</v>
      </c>
      <c r="AM117" s="179">
        <f>'Q (t)'!V117</f>
        <v>0</v>
      </c>
      <c r="AO117" s="183">
        <f t="shared" si="50"/>
        <v>0</v>
      </c>
      <c r="AP117" s="184">
        <f t="shared" si="98"/>
        <v>0</v>
      </c>
      <c r="AQ117" s="178">
        <f t="shared" si="98"/>
        <v>0</v>
      </c>
      <c r="AR117" s="178">
        <f t="shared" si="98"/>
        <v>0</v>
      </c>
      <c r="AS117" s="179">
        <f t="shared" si="98"/>
        <v>0</v>
      </c>
      <c r="AT117" s="178">
        <f t="shared" si="98"/>
        <v>0</v>
      </c>
      <c r="AU117" s="178">
        <f t="shared" si="98"/>
        <v>0</v>
      </c>
      <c r="AV117" s="178">
        <f t="shared" si="98"/>
        <v>0</v>
      </c>
      <c r="AW117" s="179">
        <f t="shared" si="98"/>
        <v>0</v>
      </c>
      <c r="AX117" s="178">
        <f t="shared" si="100"/>
        <v>0</v>
      </c>
      <c r="AY117" s="178">
        <f t="shared" si="100"/>
        <v>0</v>
      </c>
      <c r="AZ117" s="179">
        <f t="shared" si="100"/>
        <v>0</v>
      </c>
      <c r="BA117" s="184">
        <f t="shared" si="100"/>
        <v>0</v>
      </c>
      <c r="BB117" s="178">
        <f t="shared" si="100"/>
        <v>0</v>
      </c>
      <c r="BC117" s="184">
        <f t="shared" si="100"/>
        <v>0</v>
      </c>
      <c r="BD117" s="178">
        <f t="shared" si="99"/>
        <v>0</v>
      </c>
      <c r="BE117" s="251">
        <f t="shared" si="52"/>
        <v>0</v>
      </c>
      <c r="BF117" s="252">
        <f t="shared" si="97"/>
        <v>0</v>
      </c>
      <c r="BH117" s="259">
        <f>SUBTOTAL(9,BH118:BH126)</f>
        <v>7357.2320000000009</v>
      </c>
      <c r="BI117" s="259">
        <f t="shared" ref="BI117:BL117" si="102">SUBTOTAL(9,BI118:BI126)</f>
        <v>1660.6320155200003</v>
      </c>
      <c r="BJ117" s="259">
        <f t="shared" si="102"/>
        <v>0</v>
      </c>
      <c r="BK117" s="259">
        <f t="shared" si="102"/>
        <v>7639.6975692434989</v>
      </c>
      <c r="BL117" s="259">
        <f t="shared" si="102"/>
        <v>0</v>
      </c>
      <c r="BM117" s="264">
        <f t="shared" si="54"/>
        <v>16657.561584763498</v>
      </c>
      <c r="BO117" s="732" t="str">
        <f t="shared" si="55"/>
        <v/>
      </c>
    </row>
    <row r="118" spans="1:72" ht="15" customHeight="1" x14ac:dyDescent="0.25">
      <c r="B118" s="156">
        <f>B116+1</f>
        <v>20</v>
      </c>
      <c r="C118" s="180" t="s">
        <v>140</v>
      </c>
      <c r="D118" s="181"/>
      <c r="E118" s="210" t="s">
        <v>141</v>
      </c>
      <c r="G118" s="488">
        <f>SUM('DUoS (t)'!G118,'TUoS (t)'!G118,'JSO (t)'!G118)</f>
        <v>5469.3</v>
      </c>
      <c r="H118" s="489">
        <f>SUM('DUoS (t)'!H118,'TUoS (t)'!H118,'JSO (t)'!H118)</f>
        <v>2.5000000000000001E-3</v>
      </c>
      <c r="I118" s="471">
        <f>SUM('DUoS (t)'!I118,'TUoS (t)'!I118,'JSO (t)'!I118)</f>
        <v>0</v>
      </c>
      <c r="J118" s="471">
        <f>SUM('DUoS (t)'!J118,'TUoS (t)'!J118,'JSO (t)'!J118)</f>
        <v>0</v>
      </c>
      <c r="K118" s="472">
        <f>SUM('DUoS (t)'!K118,'TUoS (t)'!K118,'JSO (t)'!K118)</f>
        <v>0</v>
      </c>
      <c r="L118" s="471">
        <f>SUM('DUoS (t)'!L118,'TUoS (t)'!L118,'JSO (t)'!L118)</f>
        <v>0</v>
      </c>
      <c r="M118" s="471">
        <f>SUM('DUoS (t)'!M118,'TUoS (t)'!M118,'JSO (t)'!M118)</f>
        <v>0</v>
      </c>
      <c r="N118" s="471">
        <f>SUM('DUoS (t)'!N118,'TUoS (t)'!N118,'JSO (t)'!N118)</f>
        <v>0</v>
      </c>
      <c r="O118" s="472">
        <f>SUM('DUoS (t)'!O118,'TUoS (t)'!O118,'JSO (t)'!O118)</f>
        <v>0</v>
      </c>
      <c r="P118" s="471">
        <f>SUM('DUoS (t)'!P118,'TUoS (t)'!P118,'JSO (t)'!P118)</f>
        <v>0</v>
      </c>
      <c r="Q118" s="471">
        <f>SUM('DUoS (t)'!Q118,'TUoS (t)'!Q118,'JSO (t)'!Q118)</f>
        <v>0</v>
      </c>
      <c r="R118" s="472">
        <f>SUM('DUoS (t)'!R118,'TUoS (t)'!R118,'JSO (t)'!R118)</f>
        <v>0</v>
      </c>
      <c r="S118" s="489">
        <f>SUM('DUoS (t)'!S118,'TUoS (t)'!S118,'JSO (t)'!S118)</f>
        <v>0</v>
      </c>
      <c r="T118" s="494">
        <f>SUM('DUoS (t)'!T118,'TUoS (t)'!T118,'JSO (t)'!T118)</f>
        <v>4.1399999999999999E-2</v>
      </c>
      <c r="U118" s="491">
        <f>SUM('DUoS (t)'!U118,'TUoS (t)'!U118,'JSO (t)'!U118)</f>
        <v>0</v>
      </c>
      <c r="V118" s="492">
        <f>SUM('DUoS (t)'!V118,'TUoS (t)'!V118,'JSO (t)'!V118)</f>
        <v>0</v>
      </c>
      <c r="X118" s="183">
        <f>'Q (t)'!G118</f>
        <v>365</v>
      </c>
      <c r="Y118" s="184">
        <f>'Q (t)'!H118</f>
        <v>150000</v>
      </c>
      <c r="Z118" s="178">
        <f>'Q (t)'!I118</f>
        <v>0</v>
      </c>
      <c r="AA118" s="178">
        <f>'Q (t)'!J118</f>
        <v>0</v>
      </c>
      <c r="AB118" s="179">
        <f>'Q (t)'!K118</f>
        <v>0</v>
      </c>
      <c r="AC118" s="178">
        <f>'Q (t)'!L118</f>
        <v>0</v>
      </c>
      <c r="AD118" s="178">
        <f>'Q (t)'!M118</f>
        <v>0</v>
      </c>
      <c r="AE118" s="178">
        <f>'Q (t)'!N118</f>
        <v>0</v>
      </c>
      <c r="AF118" s="179">
        <f>'Q (t)'!O118</f>
        <v>0</v>
      </c>
      <c r="AG118" s="178">
        <f>'Q (t)'!P118</f>
        <v>0</v>
      </c>
      <c r="AH118" s="178">
        <f>'Q (t)'!Q118</f>
        <v>0</v>
      </c>
      <c r="AI118" s="179">
        <f>'Q (t)'!R118</f>
        <v>0</v>
      </c>
      <c r="AJ118" s="184">
        <f>'Q (t)'!S118</f>
        <v>7717962.2299999995</v>
      </c>
      <c r="AK118" s="178">
        <f>'Q (t)'!T118</f>
        <v>8005846.4900000002</v>
      </c>
      <c r="AL118" s="184">
        <f>'Q (t)'!U118</f>
        <v>0</v>
      </c>
      <c r="AM118" s="179">
        <f>'Q (t)'!V118</f>
        <v>0</v>
      </c>
      <c r="AO118" s="183">
        <f t="shared" si="50"/>
        <v>1996.2945</v>
      </c>
      <c r="AP118" s="184">
        <f t="shared" si="98"/>
        <v>375</v>
      </c>
      <c r="AQ118" s="178">
        <f t="shared" si="98"/>
        <v>0</v>
      </c>
      <c r="AR118" s="178">
        <f t="shared" si="98"/>
        <v>0</v>
      </c>
      <c r="AS118" s="179">
        <f t="shared" si="98"/>
        <v>0</v>
      </c>
      <c r="AT118" s="178">
        <f t="shared" si="98"/>
        <v>0</v>
      </c>
      <c r="AU118" s="178">
        <f t="shared" si="98"/>
        <v>0</v>
      </c>
      <c r="AV118" s="178">
        <f t="shared" si="98"/>
        <v>0</v>
      </c>
      <c r="AW118" s="179">
        <f t="shared" si="98"/>
        <v>0</v>
      </c>
      <c r="AX118" s="178">
        <f t="shared" si="100"/>
        <v>0</v>
      </c>
      <c r="AY118" s="178">
        <f t="shared" si="100"/>
        <v>0</v>
      </c>
      <c r="AZ118" s="179">
        <f t="shared" si="100"/>
        <v>0</v>
      </c>
      <c r="BA118" s="184">
        <f t="shared" si="100"/>
        <v>0</v>
      </c>
      <c r="BB118" s="178">
        <f t="shared" si="100"/>
        <v>331.44204468599997</v>
      </c>
      <c r="BC118" s="184">
        <f t="shared" si="100"/>
        <v>0</v>
      </c>
      <c r="BD118" s="178">
        <f t="shared" si="99"/>
        <v>0</v>
      </c>
      <c r="BE118" s="251">
        <f t="shared" si="52"/>
        <v>1</v>
      </c>
      <c r="BF118" s="252">
        <f t="shared" si="97"/>
        <v>150000</v>
      </c>
      <c r="BH118" s="262">
        <f t="shared" ref="BH118:BH126" si="103">SUM(AO118)</f>
        <v>1996.2945</v>
      </c>
      <c r="BI118" s="262">
        <f t="shared" ref="BI118:BI126" si="104">SUM(AP118:AS118)</f>
        <v>375</v>
      </c>
      <c r="BJ118" s="262">
        <f t="shared" ref="BJ118:BJ126" si="105">SUM(AT118:AW118)</f>
        <v>0</v>
      </c>
      <c r="BK118" s="263">
        <f t="shared" ref="BK118:BK126" si="106">SUM(AX118:BB118)</f>
        <v>331.44204468599997</v>
      </c>
      <c r="BL118" s="269">
        <f t="shared" ref="BL118:BL126" si="107">SUM(BC118:BD118)</f>
        <v>0</v>
      </c>
      <c r="BM118" s="264">
        <f t="shared" si="54"/>
        <v>2702.7365446859999</v>
      </c>
      <c r="BO118" s="732">
        <f t="shared" si="55"/>
        <v>18.018243631240001</v>
      </c>
    </row>
    <row r="119" spans="1:72" ht="15" customHeight="1" x14ac:dyDescent="0.25">
      <c r="B119" s="156">
        <f t="shared" si="101"/>
        <v>21</v>
      </c>
      <c r="C119" s="180" t="s">
        <v>142</v>
      </c>
      <c r="D119" s="181"/>
      <c r="E119" s="210" t="s">
        <v>141</v>
      </c>
      <c r="G119" s="488">
        <f>SUM('DUoS (t)'!G119,'TUoS (t)'!G119,'JSO (t)'!G119)</f>
        <v>1022.4</v>
      </c>
      <c r="H119" s="489">
        <f>SUM('DUoS (t)'!H119,'TUoS (t)'!H119,'JSO (t)'!H119)</f>
        <v>2.5000000000000001E-3</v>
      </c>
      <c r="I119" s="471">
        <f>SUM('DUoS (t)'!I119,'TUoS (t)'!I119,'JSO (t)'!I119)</f>
        <v>0</v>
      </c>
      <c r="J119" s="471">
        <f>SUM('DUoS (t)'!J119,'TUoS (t)'!J119,'JSO (t)'!J119)</f>
        <v>0</v>
      </c>
      <c r="K119" s="472">
        <f>SUM('DUoS (t)'!K119,'TUoS (t)'!K119,'JSO (t)'!K119)</f>
        <v>0</v>
      </c>
      <c r="L119" s="471">
        <f>SUM('DUoS (t)'!L119,'TUoS (t)'!L119,'JSO (t)'!L119)</f>
        <v>0</v>
      </c>
      <c r="M119" s="471">
        <f>SUM('DUoS (t)'!M119,'TUoS (t)'!M119,'JSO (t)'!M119)</f>
        <v>0</v>
      </c>
      <c r="N119" s="471">
        <f>SUM('DUoS (t)'!N119,'TUoS (t)'!N119,'JSO (t)'!N119)</f>
        <v>0</v>
      </c>
      <c r="O119" s="472">
        <f>SUM('DUoS (t)'!O119,'TUoS (t)'!O119,'JSO (t)'!O119)</f>
        <v>0</v>
      </c>
      <c r="P119" s="471">
        <f>SUM('DUoS (t)'!P119,'TUoS (t)'!P119,'JSO (t)'!P119)</f>
        <v>0</v>
      </c>
      <c r="Q119" s="471">
        <f>SUM('DUoS (t)'!Q119,'TUoS (t)'!Q119,'JSO (t)'!Q119)</f>
        <v>0</v>
      </c>
      <c r="R119" s="472">
        <f>SUM('DUoS (t)'!R119,'TUoS (t)'!R119,'JSO (t)'!R119)</f>
        <v>0</v>
      </c>
      <c r="S119" s="489">
        <f>SUM('DUoS (t)'!S119,'TUoS (t)'!S119,'JSO (t)'!S119)</f>
        <v>0.23180000000000001</v>
      </c>
      <c r="T119" s="494">
        <f>SUM('DUoS (t)'!T119,'TUoS (t)'!T119,'JSO (t)'!T119)</f>
        <v>4.1399999999999999E-2</v>
      </c>
      <c r="U119" s="491">
        <f>SUM('DUoS (t)'!U119,'TUoS (t)'!U119,'JSO (t)'!U119)</f>
        <v>0</v>
      </c>
      <c r="V119" s="492">
        <f>SUM('DUoS (t)'!V119,'TUoS (t)'!V119,'JSO (t)'!V119)</f>
        <v>0</v>
      </c>
      <c r="X119" s="183">
        <f>'Q (t)'!G119</f>
        <v>365</v>
      </c>
      <c r="Y119" s="184">
        <f>'Q (t)'!H119</f>
        <v>229778.88508499999</v>
      </c>
      <c r="Z119" s="178">
        <f>'Q (t)'!I119</f>
        <v>0</v>
      </c>
      <c r="AA119" s="178">
        <f>'Q (t)'!J119</f>
        <v>0</v>
      </c>
      <c r="AB119" s="179">
        <f>'Q (t)'!K119</f>
        <v>0</v>
      </c>
      <c r="AC119" s="178">
        <f>'Q (t)'!L119</f>
        <v>0</v>
      </c>
      <c r="AD119" s="178">
        <f>'Q (t)'!M119</f>
        <v>0</v>
      </c>
      <c r="AE119" s="178">
        <f>'Q (t)'!N119</f>
        <v>0</v>
      </c>
      <c r="AF119" s="179">
        <f>'Q (t)'!O119</f>
        <v>0</v>
      </c>
      <c r="AG119" s="178">
        <f>'Q (t)'!P119</f>
        <v>0</v>
      </c>
      <c r="AH119" s="178">
        <f>'Q (t)'!Q119</f>
        <v>0</v>
      </c>
      <c r="AI119" s="179">
        <f>'Q (t)'!R119</f>
        <v>0</v>
      </c>
      <c r="AJ119" s="184">
        <f>'Q (t)'!S119</f>
        <v>10220000</v>
      </c>
      <c r="AK119" s="178">
        <f>'Q (t)'!T119</f>
        <v>18207293.905000001</v>
      </c>
      <c r="AL119" s="184">
        <f>'Q (t)'!U119</f>
        <v>0</v>
      </c>
      <c r="AM119" s="179">
        <f>'Q (t)'!V119</f>
        <v>0</v>
      </c>
      <c r="AO119" s="183">
        <f t="shared" si="50"/>
        <v>373.17599999999999</v>
      </c>
      <c r="AP119" s="184">
        <f t="shared" si="98"/>
        <v>574.4472127125</v>
      </c>
      <c r="AQ119" s="178">
        <f t="shared" si="98"/>
        <v>0</v>
      </c>
      <c r="AR119" s="178">
        <f t="shared" si="98"/>
        <v>0</v>
      </c>
      <c r="AS119" s="179">
        <f t="shared" si="98"/>
        <v>0</v>
      </c>
      <c r="AT119" s="178">
        <f t="shared" si="98"/>
        <v>0</v>
      </c>
      <c r="AU119" s="178">
        <f t="shared" si="98"/>
        <v>0</v>
      </c>
      <c r="AV119" s="178">
        <f t="shared" si="98"/>
        <v>0</v>
      </c>
      <c r="AW119" s="179">
        <f t="shared" si="98"/>
        <v>0</v>
      </c>
      <c r="AX119" s="178">
        <f t="shared" si="100"/>
        <v>0</v>
      </c>
      <c r="AY119" s="178">
        <f t="shared" si="100"/>
        <v>0</v>
      </c>
      <c r="AZ119" s="179">
        <f t="shared" si="100"/>
        <v>0</v>
      </c>
      <c r="BA119" s="184">
        <f t="shared" si="100"/>
        <v>2368.9960000000001</v>
      </c>
      <c r="BB119" s="178">
        <f t="shared" si="100"/>
        <v>753.781967667</v>
      </c>
      <c r="BC119" s="184">
        <f t="shared" si="100"/>
        <v>0</v>
      </c>
      <c r="BD119" s="178">
        <f t="shared" si="99"/>
        <v>0</v>
      </c>
      <c r="BE119" s="251">
        <f t="shared" si="52"/>
        <v>1</v>
      </c>
      <c r="BF119" s="252">
        <f t="shared" si="97"/>
        <v>229778.88508499999</v>
      </c>
      <c r="BH119" s="262">
        <f t="shared" si="103"/>
        <v>373.17599999999999</v>
      </c>
      <c r="BI119" s="262">
        <f t="shared" si="104"/>
        <v>574.4472127125</v>
      </c>
      <c r="BJ119" s="262">
        <f t="shared" si="105"/>
        <v>0</v>
      </c>
      <c r="BK119" s="263">
        <f t="shared" si="106"/>
        <v>3122.7779676670002</v>
      </c>
      <c r="BL119" s="269">
        <f t="shared" si="107"/>
        <v>0</v>
      </c>
      <c r="BM119" s="264">
        <f t="shared" si="54"/>
        <v>4070.4011803795001</v>
      </c>
      <c r="BO119" s="732">
        <f t="shared" si="55"/>
        <v>17.714426540427219</v>
      </c>
    </row>
    <row r="120" spans="1:72" ht="15" customHeight="1" x14ac:dyDescent="0.25">
      <c r="B120" s="156">
        <f t="shared" si="101"/>
        <v>22</v>
      </c>
      <c r="C120" s="180" t="s">
        <v>143</v>
      </c>
      <c r="D120" s="181"/>
      <c r="E120" s="210" t="s">
        <v>141</v>
      </c>
      <c r="G120" s="488">
        <f>SUM('DUoS (t)'!G120,'TUoS (t)'!G120,'JSO (t)'!G120)</f>
        <v>6494.83</v>
      </c>
      <c r="H120" s="489">
        <f>SUM('DUoS (t)'!H120,'TUoS (t)'!H120,'JSO (t)'!H120)</f>
        <v>2.5000000000000001E-3</v>
      </c>
      <c r="I120" s="471">
        <f>SUM('DUoS (t)'!I120,'TUoS (t)'!I120,'JSO (t)'!I120)</f>
        <v>0</v>
      </c>
      <c r="J120" s="471">
        <f>SUM('DUoS (t)'!J120,'TUoS (t)'!J120,'JSO (t)'!J120)</f>
        <v>0</v>
      </c>
      <c r="K120" s="472">
        <f>SUM('DUoS (t)'!K120,'TUoS (t)'!K120,'JSO (t)'!K120)</f>
        <v>0</v>
      </c>
      <c r="L120" s="471">
        <f>SUM('DUoS (t)'!L120,'TUoS (t)'!L120,'JSO (t)'!L120)</f>
        <v>0</v>
      </c>
      <c r="M120" s="471">
        <f>SUM('DUoS (t)'!M120,'TUoS (t)'!M120,'JSO (t)'!M120)</f>
        <v>0</v>
      </c>
      <c r="N120" s="471">
        <f>SUM('DUoS (t)'!N120,'TUoS (t)'!N120,'JSO (t)'!N120)</f>
        <v>0</v>
      </c>
      <c r="O120" s="472">
        <f>SUM('DUoS (t)'!O120,'TUoS (t)'!O120,'JSO (t)'!O120)</f>
        <v>0</v>
      </c>
      <c r="P120" s="471">
        <f>SUM('DUoS (t)'!P120,'TUoS (t)'!P120,'JSO (t)'!P120)</f>
        <v>0</v>
      </c>
      <c r="Q120" s="471">
        <f>SUM('DUoS (t)'!Q120,'TUoS (t)'!Q120,'JSO (t)'!Q120)</f>
        <v>0</v>
      </c>
      <c r="R120" s="472">
        <f>SUM('DUoS (t)'!R120,'TUoS (t)'!R120,'JSO (t)'!R120)</f>
        <v>0</v>
      </c>
      <c r="S120" s="489">
        <f>SUM('DUoS (t)'!S120,'TUoS (t)'!S120,'JSO (t)'!S120)</f>
        <v>0</v>
      </c>
      <c r="T120" s="494">
        <f>SUM('DUoS (t)'!T120,'TUoS (t)'!T120,'JSO (t)'!T120)</f>
        <v>4.1399999999999999E-2</v>
      </c>
      <c r="U120" s="491">
        <f>SUM('DUoS (t)'!U120,'TUoS (t)'!U120,'JSO (t)'!U120)</f>
        <v>0</v>
      </c>
      <c r="V120" s="492">
        <f>SUM('DUoS (t)'!V120,'TUoS (t)'!V120,'JSO (t)'!V120)</f>
        <v>0</v>
      </c>
      <c r="X120" s="183">
        <f>'Q (t)'!G120</f>
        <v>365</v>
      </c>
      <c r="Y120" s="184">
        <f>'Q (t)'!H120</f>
        <v>85000</v>
      </c>
      <c r="Z120" s="178">
        <f>'Q (t)'!I120</f>
        <v>0</v>
      </c>
      <c r="AA120" s="178">
        <f>'Q (t)'!J120</f>
        <v>0</v>
      </c>
      <c r="AB120" s="179">
        <f>'Q (t)'!K120</f>
        <v>0</v>
      </c>
      <c r="AC120" s="178">
        <f>'Q (t)'!L120</f>
        <v>0</v>
      </c>
      <c r="AD120" s="178">
        <f>'Q (t)'!M120</f>
        <v>0</v>
      </c>
      <c r="AE120" s="178">
        <f>'Q (t)'!N120</f>
        <v>0</v>
      </c>
      <c r="AF120" s="179">
        <f>'Q (t)'!O120</f>
        <v>0</v>
      </c>
      <c r="AG120" s="178">
        <f>'Q (t)'!P120</f>
        <v>0</v>
      </c>
      <c r="AH120" s="178">
        <f>'Q (t)'!Q120</f>
        <v>0</v>
      </c>
      <c r="AI120" s="179">
        <f>'Q (t)'!R120</f>
        <v>0</v>
      </c>
      <c r="AJ120" s="184">
        <f>'Q (t)'!S120</f>
        <v>14547318.455</v>
      </c>
      <c r="AK120" s="178">
        <f>'Q (t)'!T120</f>
        <v>15953731.345000001</v>
      </c>
      <c r="AL120" s="184">
        <f>'Q (t)'!U120</f>
        <v>0</v>
      </c>
      <c r="AM120" s="179">
        <f>'Q (t)'!V120</f>
        <v>0</v>
      </c>
      <c r="AO120" s="183">
        <f t="shared" si="50"/>
        <v>2370.6129500000002</v>
      </c>
      <c r="AP120" s="184">
        <f t="shared" si="98"/>
        <v>212.5</v>
      </c>
      <c r="AQ120" s="178">
        <f t="shared" si="98"/>
        <v>0</v>
      </c>
      <c r="AR120" s="178">
        <f t="shared" si="98"/>
        <v>0</v>
      </c>
      <c r="AS120" s="179">
        <f t="shared" si="98"/>
        <v>0</v>
      </c>
      <c r="AT120" s="178">
        <f t="shared" si="98"/>
        <v>0</v>
      </c>
      <c r="AU120" s="178">
        <f t="shared" si="98"/>
        <v>0</v>
      </c>
      <c r="AV120" s="178">
        <f t="shared" si="98"/>
        <v>0</v>
      </c>
      <c r="AW120" s="179">
        <f t="shared" si="98"/>
        <v>0</v>
      </c>
      <c r="AX120" s="178">
        <f t="shared" si="100"/>
        <v>0</v>
      </c>
      <c r="AY120" s="178">
        <f t="shared" si="100"/>
        <v>0</v>
      </c>
      <c r="AZ120" s="179">
        <f t="shared" si="100"/>
        <v>0</v>
      </c>
      <c r="BA120" s="184">
        <f t="shared" si="100"/>
        <v>0</v>
      </c>
      <c r="BB120" s="178">
        <f t="shared" si="100"/>
        <v>660.48447768300002</v>
      </c>
      <c r="BC120" s="184">
        <f t="shared" si="100"/>
        <v>0</v>
      </c>
      <c r="BD120" s="178">
        <f t="shared" si="99"/>
        <v>0</v>
      </c>
      <c r="BE120" s="251">
        <f t="shared" si="52"/>
        <v>1</v>
      </c>
      <c r="BF120" s="252">
        <f t="shared" si="97"/>
        <v>85000</v>
      </c>
      <c r="BH120" s="262">
        <f t="shared" si="103"/>
        <v>2370.6129500000002</v>
      </c>
      <c r="BI120" s="262">
        <f t="shared" si="104"/>
        <v>212.5</v>
      </c>
      <c r="BJ120" s="262">
        <f t="shared" si="105"/>
        <v>0</v>
      </c>
      <c r="BK120" s="263">
        <f t="shared" si="106"/>
        <v>660.48447768300002</v>
      </c>
      <c r="BL120" s="269">
        <f t="shared" si="107"/>
        <v>0</v>
      </c>
      <c r="BM120" s="264">
        <f t="shared" si="54"/>
        <v>3243.5974276830002</v>
      </c>
      <c r="BO120" s="732">
        <f t="shared" si="55"/>
        <v>38.159969737447057</v>
      </c>
    </row>
    <row r="121" spans="1:72" ht="15" customHeight="1" x14ac:dyDescent="0.25">
      <c r="B121" s="156">
        <f t="shared" si="101"/>
        <v>23</v>
      </c>
      <c r="C121" s="180" t="s">
        <v>144</v>
      </c>
      <c r="D121" s="181"/>
      <c r="E121" s="210" t="s">
        <v>141</v>
      </c>
      <c r="G121" s="488">
        <f>SUM('DUoS (t)'!G121,'TUoS (t)'!G121,'JSO (t)'!G121)</f>
        <v>73.2</v>
      </c>
      <c r="H121" s="489">
        <f>SUM('DUoS (t)'!H121,'TUoS (t)'!H121,'JSO (t)'!H121)</f>
        <v>2.5000000000000001E-3</v>
      </c>
      <c r="I121" s="471">
        <f>SUM('DUoS (t)'!I121,'TUoS (t)'!I121,'JSO (t)'!I121)</f>
        <v>0</v>
      </c>
      <c r="J121" s="471">
        <f>SUM('DUoS (t)'!J121,'TUoS (t)'!J121,'JSO (t)'!J121)</f>
        <v>0</v>
      </c>
      <c r="K121" s="472">
        <f>SUM('DUoS (t)'!K121,'TUoS (t)'!K121,'JSO (t)'!K121)</f>
        <v>0</v>
      </c>
      <c r="L121" s="471">
        <f>SUM('DUoS (t)'!L121,'TUoS (t)'!L121,'JSO (t)'!L121)</f>
        <v>0</v>
      </c>
      <c r="M121" s="471">
        <f>SUM('DUoS (t)'!M121,'TUoS (t)'!M121,'JSO (t)'!M121)</f>
        <v>0</v>
      </c>
      <c r="N121" s="471">
        <f>SUM('DUoS (t)'!N121,'TUoS (t)'!N121,'JSO (t)'!N121)</f>
        <v>0</v>
      </c>
      <c r="O121" s="472">
        <f>SUM('DUoS (t)'!O121,'TUoS (t)'!O121,'JSO (t)'!O121)</f>
        <v>0</v>
      </c>
      <c r="P121" s="471">
        <f>SUM('DUoS (t)'!P121,'TUoS (t)'!P121,'JSO (t)'!P121)</f>
        <v>0</v>
      </c>
      <c r="Q121" s="471">
        <f>SUM('DUoS (t)'!Q121,'TUoS (t)'!Q121,'JSO (t)'!Q121)</f>
        <v>0</v>
      </c>
      <c r="R121" s="472">
        <f>SUM('DUoS (t)'!R121,'TUoS (t)'!R121,'JSO (t)'!R121)</f>
        <v>0</v>
      </c>
      <c r="S121" s="489">
        <f>SUM('DUoS (t)'!S121,'TUoS (t)'!S121,'JSO (t)'!S121)</f>
        <v>0.1951</v>
      </c>
      <c r="T121" s="494">
        <f>SUM('DUoS (t)'!T121,'TUoS (t)'!T121,'JSO (t)'!T121)</f>
        <v>4.1399999999999999E-2</v>
      </c>
      <c r="U121" s="491">
        <f>SUM('DUoS (t)'!U121,'TUoS (t)'!U121,'JSO (t)'!U121)</f>
        <v>0</v>
      </c>
      <c r="V121" s="492">
        <f>SUM('DUoS (t)'!V121,'TUoS (t)'!V121,'JSO (t)'!V121)</f>
        <v>0</v>
      </c>
      <c r="X121" s="183">
        <f>'Q (t)'!G121</f>
        <v>365</v>
      </c>
      <c r="Y121" s="184">
        <f>'Q (t)'!H121</f>
        <v>15061.964</v>
      </c>
      <c r="Z121" s="178">
        <f>'Q (t)'!I121</f>
        <v>0</v>
      </c>
      <c r="AA121" s="178">
        <f>'Q (t)'!J121</f>
        <v>0</v>
      </c>
      <c r="AB121" s="179">
        <f>'Q (t)'!K121</f>
        <v>0</v>
      </c>
      <c r="AC121" s="178">
        <f>'Q (t)'!L121</f>
        <v>0</v>
      </c>
      <c r="AD121" s="178">
        <f>'Q (t)'!M121</f>
        <v>0</v>
      </c>
      <c r="AE121" s="178">
        <f>'Q (t)'!N121</f>
        <v>0</v>
      </c>
      <c r="AF121" s="179">
        <f>'Q (t)'!O121</f>
        <v>0</v>
      </c>
      <c r="AG121" s="178">
        <f>'Q (t)'!P121</f>
        <v>0</v>
      </c>
      <c r="AH121" s="178">
        <f>'Q (t)'!Q121</f>
        <v>0</v>
      </c>
      <c r="AI121" s="179">
        <f>'Q (t)'!R121</f>
        <v>0</v>
      </c>
      <c r="AJ121" s="184">
        <f>'Q (t)'!S121</f>
        <v>1836743.875</v>
      </c>
      <c r="AK121" s="178">
        <f>'Q (t)'!T121</f>
        <v>3650000</v>
      </c>
      <c r="AL121" s="184">
        <f>'Q (t)'!U121</f>
        <v>0</v>
      </c>
      <c r="AM121" s="179">
        <f>'Q (t)'!V121</f>
        <v>0</v>
      </c>
      <c r="AO121" s="183">
        <f t="shared" si="50"/>
        <v>26.718</v>
      </c>
      <c r="AP121" s="184">
        <f t="shared" si="98"/>
        <v>37.654910000000001</v>
      </c>
      <c r="AQ121" s="178">
        <f t="shared" si="98"/>
        <v>0</v>
      </c>
      <c r="AR121" s="178">
        <f t="shared" si="98"/>
        <v>0</v>
      </c>
      <c r="AS121" s="179">
        <f t="shared" si="98"/>
        <v>0</v>
      </c>
      <c r="AT121" s="178">
        <f t="shared" si="98"/>
        <v>0</v>
      </c>
      <c r="AU121" s="178">
        <f t="shared" si="98"/>
        <v>0</v>
      </c>
      <c r="AV121" s="178">
        <f t="shared" si="98"/>
        <v>0</v>
      </c>
      <c r="AW121" s="179">
        <f t="shared" si="98"/>
        <v>0</v>
      </c>
      <c r="AX121" s="178">
        <f t="shared" si="100"/>
        <v>0</v>
      </c>
      <c r="AY121" s="178">
        <f t="shared" si="100"/>
        <v>0</v>
      </c>
      <c r="AZ121" s="179">
        <f t="shared" si="100"/>
        <v>0</v>
      </c>
      <c r="BA121" s="184">
        <f t="shared" si="100"/>
        <v>358.34873001250003</v>
      </c>
      <c r="BB121" s="178">
        <f t="shared" si="100"/>
        <v>151.11000000000001</v>
      </c>
      <c r="BC121" s="184">
        <f t="shared" si="100"/>
        <v>0</v>
      </c>
      <c r="BD121" s="178">
        <f t="shared" si="99"/>
        <v>0</v>
      </c>
      <c r="BE121" s="251">
        <f t="shared" si="52"/>
        <v>1</v>
      </c>
      <c r="BF121" s="252">
        <f t="shared" si="97"/>
        <v>15061.964</v>
      </c>
      <c r="BH121" s="262">
        <f t="shared" si="103"/>
        <v>26.718</v>
      </c>
      <c r="BI121" s="262">
        <f t="shared" si="104"/>
        <v>37.654910000000001</v>
      </c>
      <c r="BJ121" s="262">
        <f t="shared" si="105"/>
        <v>0</v>
      </c>
      <c r="BK121" s="263">
        <f t="shared" si="106"/>
        <v>509.45873001250004</v>
      </c>
      <c r="BL121" s="269">
        <f t="shared" si="107"/>
        <v>0</v>
      </c>
      <c r="BM121" s="264">
        <f t="shared" si="54"/>
        <v>573.83164001250009</v>
      </c>
      <c r="BO121" s="732">
        <f t="shared" si="55"/>
        <v>38.098062112782905</v>
      </c>
    </row>
    <row r="122" spans="1:72" ht="15" customHeight="1" x14ac:dyDescent="0.25">
      <c r="B122" s="156">
        <f t="shared" si="101"/>
        <v>24</v>
      </c>
      <c r="C122" s="180" t="s">
        <v>145</v>
      </c>
      <c r="D122" s="181"/>
      <c r="E122" s="210" t="s">
        <v>141</v>
      </c>
      <c r="G122" s="488">
        <f>SUM('DUoS (t)'!G122,'TUoS (t)'!G122,'JSO (t)'!G122)</f>
        <v>334.3</v>
      </c>
      <c r="H122" s="489">
        <f>SUM('DUoS (t)'!H122,'TUoS (t)'!H122,'JSO (t)'!H122)</f>
        <v>2.5000000000000001E-3</v>
      </c>
      <c r="I122" s="471">
        <f>SUM('DUoS (t)'!I122,'TUoS (t)'!I122,'JSO (t)'!I122)</f>
        <v>0</v>
      </c>
      <c r="J122" s="471">
        <f>SUM('DUoS (t)'!J122,'TUoS (t)'!J122,'JSO (t)'!J122)</f>
        <v>0</v>
      </c>
      <c r="K122" s="472">
        <f>SUM('DUoS (t)'!K122,'TUoS (t)'!K122,'JSO (t)'!K122)</f>
        <v>0</v>
      </c>
      <c r="L122" s="471">
        <f>SUM('DUoS (t)'!L122,'TUoS (t)'!L122,'JSO (t)'!L122)</f>
        <v>0</v>
      </c>
      <c r="M122" s="471">
        <f>SUM('DUoS (t)'!M122,'TUoS (t)'!M122,'JSO (t)'!M122)</f>
        <v>0</v>
      </c>
      <c r="N122" s="471">
        <f>SUM('DUoS (t)'!N122,'TUoS (t)'!N122,'JSO (t)'!N122)</f>
        <v>0</v>
      </c>
      <c r="O122" s="472">
        <f>SUM('DUoS (t)'!O122,'TUoS (t)'!O122,'JSO (t)'!O122)</f>
        <v>0</v>
      </c>
      <c r="P122" s="471">
        <f>SUM('DUoS (t)'!P122,'TUoS (t)'!P122,'JSO (t)'!P122)</f>
        <v>0</v>
      </c>
      <c r="Q122" s="471">
        <f>SUM('DUoS (t)'!Q122,'TUoS (t)'!Q122,'JSO (t)'!Q122)</f>
        <v>0</v>
      </c>
      <c r="R122" s="472">
        <f>SUM('DUoS (t)'!R122,'TUoS (t)'!R122,'JSO (t)'!R122)</f>
        <v>0</v>
      </c>
      <c r="S122" s="489">
        <f>SUM('DUoS (t)'!S122,'TUoS (t)'!S122,'JSO (t)'!S122)</f>
        <v>0.2432</v>
      </c>
      <c r="T122" s="494">
        <f>SUM('DUoS (t)'!T122,'TUoS (t)'!T122,'JSO (t)'!T122)</f>
        <v>4.1399999999999999E-2</v>
      </c>
      <c r="U122" s="491">
        <f>SUM('DUoS (t)'!U122,'TUoS (t)'!U122,'JSO (t)'!U122)</f>
        <v>0</v>
      </c>
      <c r="V122" s="492">
        <f>SUM('DUoS (t)'!V122,'TUoS (t)'!V122,'JSO (t)'!V122)</f>
        <v>0</v>
      </c>
      <c r="X122" s="183">
        <f>'Q (t)'!G122</f>
        <v>365</v>
      </c>
      <c r="Y122" s="184">
        <f>'Q (t)'!H122</f>
        <v>90658.642500000002</v>
      </c>
      <c r="Z122" s="178">
        <f>'Q (t)'!I122</f>
        <v>0</v>
      </c>
      <c r="AA122" s="178">
        <f>'Q (t)'!J122</f>
        <v>0</v>
      </c>
      <c r="AB122" s="179">
        <f>'Q (t)'!K122</f>
        <v>0</v>
      </c>
      <c r="AC122" s="178">
        <f>'Q (t)'!L122</f>
        <v>0</v>
      </c>
      <c r="AD122" s="178">
        <f>'Q (t)'!M122</f>
        <v>0</v>
      </c>
      <c r="AE122" s="178">
        <f>'Q (t)'!N122</f>
        <v>0</v>
      </c>
      <c r="AF122" s="179">
        <f>'Q (t)'!O122</f>
        <v>0</v>
      </c>
      <c r="AG122" s="178">
        <f>'Q (t)'!P122</f>
        <v>0</v>
      </c>
      <c r="AH122" s="178">
        <f>'Q (t)'!Q122</f>
        <v>0</v>
      </c>
      <c r="AI122" s="179">
        <f>'Q (t)'!R122</f>
        <v>0</v>
      </c>
      <c r="AJ122" s="184">
        <f>'Q (t)'!S122</f>
        <v>4013540</v>
      </c>
      <c r="AK122" s="178">
        <f>'Q (t)'!T122</f>
        <v>5960337.9449999994</v>
      </c>
      <c r="AL122" s="184">
        <f>'Q (t)'!U122</f>
        <v>0</v>
      </c>
      <c r="AM122" s="179">
        <f>'Q (t)'!V122</f>
        <v>0</v>
      </c>
      <c r="AO122" s="183">
        <f t="shared" si="50"/>
        <v>122.01949999999999</v>
      </c>
      <c r="AP122" s="184">
        <f t="shared" si="98"/>
        <v>226.64660625000002</v>
      </c>
      <c r="AQ122" s="178">
        <f t="shared" si="98"/>
        <v>0</v>
      </c>
      <c r="AR122" s="178">
        <f t="shared" si="98"/>
        <v>0</v>
      </c>
      <c r="AS122" s="179">
        <f t="shared" si="98"/>
        <v>0</v>
      </c>
      <c r="AT122" s="178">
        <f t="shared" si="98"/>
        <v>0</v>
      </c>
      <c r="AU122" s="178">
        <f t="shared" si="98"/>
        <v>0</v>
      </c>
      <c r="AV122" s="178">
        <f t="shared" si="98"/>
        <v>0</v>
      </c>
      <c r="AW122" s="179">
        <f t="shared" si="98"/>
        <v>0</v>
      </c>
      <c r="AX122" s="178">
        <f t="shared" si="100"/>
        <v>0</v>
      </c>
      <c r="AY122" s="178">
        <f t="shared" si="100"/>
        <v>0</v>
      </c>
      <c r="AZ122" s="179">
        <f t="shared" si="100"/>
        <v>0</v>
      </c>
      <c r="BA122" s="184">
        <f t="shared" si="100"/>
        <v>976.09292799999992</v>
      </c>
      <c r="BB122" s="178">
        <f t="shared" si="100"/>
        <v>246.75799092299997</v>
      </c>
      <c r="BC122" s="184">
        <f t="shared" si="100"/>
        <v>0</v>
      </c>
      <c r="BD122" s="178">
        <f t="shared" si="99"/>
        <v>0</v>
      </c>
      <c r="BE122" s="251">
        <f t="shared" si="52"/>
        <v>1</v>
      </c>
      <c r="BF122" s="252">
        <f t="shared" si="97"/>
        <v>90658.642500000002</v>
      </c>
      <c r="BH122" s="262">
        <f t="shared" si="103"/>
        <v>122.01949999999999</v>
      </c>
      <c r="BI122" s="262">
        <f t="shared" si="104"/>
        <v>226.64660625000002</v>
      </c>
      <c r="BJ122" s="262">
        <f t="shared" si="105"/>
        <v>0</v>
      </c>
      <c r="BK122" s="263">
        <f t="shared" si="106"/>
        <v>1222.8509189229999</v>
      </c>
      <c r="BL122" s="269">
        <f t="shared" si="107"/>
        <v>0</v>
      </c>
      <c r="BM122" s="264">
        <f t="shared" si="54"/>
        <v>1571.5170251729999</v>
      </c>
      <c r="BO122" s="732">
        <f t="shared" si="55"/>
        <v>17.334442495904344</v>
      </c>
    </row>
    <row r="123" spans="1:72" ht="15" customHeight="1" x14ac:dyDescent="0.25">
      <c r="B123" s="156">
        <f t="shared" si="101"/>
        <v>25</v>
      </c>
      <c r="C123" s="180" t="s">
        <v>146</v>
      </c>
      <c r="D123" s="181"/>
      <c r="E123" s="210" t="s">
        <v>141</v>
      </c>
      <c r="G123" s="488">
        <f>SUM('DUoS (t)'!G123,'TUoS (t)'!G123,'JSO (t)'!G123)</f>
        <v>440</v>
      </c>
      <c r="H123" s="489">
        <f>SUM('DUoS (t)'!H123,'TUoS (t)'!H123,'JSO (t)'!H123)</f>
        <v>2.5000000000000001E-3</v>
      </c>
      <c r="I123" s="471">
        <f>SUM('DUoS (t)'!I123,'TUoS (t)'!I123,'JSO (t)'!I123)</f>
        <v>0</v>
      </c>
      <c r="J123" s="471">
        <f>SUM('DUoS (t)'!J123,'TUoS (t)'!J123,'JSO (t)'!J123)</f>
        <v>0</v>
      </c>
      <c r="K123" s="472">
        <f>SUM('DUoS (t)'!K123,'TUoS (t)'!K123,'JSO (t)'!K123)</f>
        <v>0</v>
      </c>
      <c r="L123" s="471">
        <f>SUM('DUoS (t)'!L123,'TUoS (t)'!L123,'JSO (t)'!L123)</f>
        <v>0</v>
      </c>
      <c r="M123" s="471">
        <f>SUM('DUoS (t)'!M123,'TUoS (t)'!M123,'JSO (t)'!M123)</f>
        <v>0</v>
      </c>
      <c r="N123" s="471">
        <f>SUM('DUoS (t)'!N123,'TUoS (t)'!N123,'JSO (t)'!N123)</f>
        <v>0</v>
      </c>
      <c r="O123" s="472">
        <f>SUM('DUoS (t)'!O123,'TUoS (t)'!O123,'JSO (t)'!O123)</f>
        <v>0</v>
      </c>
      <c r="P123" s="471">
        <f>SUM('DUoS (t)'!P123,'TUoS (t)'!P123,'JSO (t)'!P123)</f>
        <v>0</v>
      </c>
      <c r="Q123" s="471">
        <f>SUM('DUoS (t)'!Q123,'TUoS (t)'!Q123,'JSO (t)'!Q123)</f>
        <v>0</v>
      </c>
      <c r="R123" s="472">
        <f>SUM('DUoS (t)'!R123,'TUoS (t)'!R123,'JSO (t)'!R123)</f>
        <v>0</v>
      </c>
      <c r="S123" s="489">
        <f>SUM('DUoS (t)'!S123,'TUoS (t)'!S123,'JSO (t)'!S123)</f>
        <v>0.27689999999999998</v>
      </c>
      <c r="T123" s="494">
        <f>SUM('DUoS (t)'!T123,'TUoS (t)'!T123,'JSO (t)'!T123)</f>
        <v>4.1399999999999999E-2</v>
      </c>
      <c r="U123" s="491">
        <f>SUM('DUoS (t)'!U123,'TUoS (t)'!U123,'JSO (t)'!U123)</f>
        <v>0</v>
      </c>
      <c r="V123" s="492">
        <f>SUM('DUoS (t)'!V123,'TUoS (t)'!V123,'JSO (t)'!V123)</f>
        <v>0</v>
      </c>
      <c r="X123" s="183">
        <f>'Q (t)'!G123</f>
        <v>365</v>
      </c>
      <c r="Y123" s="184">
        <f>'Q (t)'!H123</f>
        <v>31008.333723000003</v>
      </c>
      <c r="Z123" s="178">
        <f>'Q (t)'!I123</f>
        <v>0</v>
      </c>
      <c r="AA123" s="178">
        <f>'Q (t)'!J123</f>
        <v>0</v>
      </c>
      <c r="AB123" s="179">
        <f>'Q (t)'!K123</f>
        <v>0</v>
      </c>
      <c r="AC123" s="178">
        <f>'Q (t)'!L123</f>
        <v>0</v>
      </c>
      <c r="AD123" s="178">
        <f>'Q (t)'!M123</f>
        <v>0</v>
      </c>
      <c r="AE123" s="178">
        <f>'Q (t)'!N123</f>
        <v>0</v>
      </c>
      <c r="AF123" s="179">
        <f>'Q (t)'!O123</f>
        <v>0</v>
      </c>
      <c r="AG123" s="178">
        <f>'Q (t)'!P123</f>
        <v>0</v>
      </c>
      <c r="AH123" s="178">
        <f>'Q (t)'!Q123</f>
        <v>0</v>
      </c>
      <c r="AI123" s="179">
        <f>'Q (t)'!R123</f>
        <v>0</v>
      </c>
      <c r="AJ123" s="184">
        <f>'Q (t)'!S123</f>
        <v>3680831.55</v>
      </c>
      <c r="AK123" s="178">
        <f>'Q (t)'!T123</f>
        <v>3702753.8150000004</v>
      </c>
      <c r="AL123" s="184">
        <f>'Q (t)'!U123</f>
        <v>0</v>
      </c>
      <c r="AM123" s="179">
        <f>'Q (t)'!V123</f>
        <v>0</v>
      </c>
      <c r="AO123" s="183">
        <f t="shared" si="50"/>
        <v>160.6</v>
      </c>
      <c r="AP123" s="184">
        <f t="shared" si="98"/>
        <v>77.52083430750001</v>
      </c>
      <c r="AQ123" s="178">
        <f t="shared" si="98"/>
        <v>0</v>
      </c>
      <c r="AR123" s="178">
        <f t="shared" si="98"/>
        <v>0</v>
      </c>
      <c r="AS123" s="179">
        <f t="shared" si="98"/>
        <v>0</v>
      </c>
      <c r="AT123" s="178">
        <f t="shared" si="98"/>
        <v>0</v>
      </c>
      <c r="AU123" s="178">
        <f t="shared" si="98"/>
        <v>0</v>
      </c>
      <c r="AV123" s="178">
        <f t="shared" si="98"/>
        <v>0</v>
      </c>
      <c r="AW123" s="179">
        <f t="shared" si="98"/>
        <v>0</v>
      </c>
      <c r="AX123" s="178">
        <f t="shared" si="100"/>
        <v>0</v>
      </c>
      <c r="AY123" s="178">
        <f t="shared" si="100"/>
        <v>0</v>
      </c>
      <c r="AZ123" s="179">
        <f t="shared" si="100"/>
        <v>0</v>
      </c>
      <c r="BA123" s="184">
        <f t="shared" si="100"/>
        <v>1019.2222561949999</v>
      </c>
      <c r="BB123" s="178">
        <f t="shared" si="100"/>
        <v>153.29400794100002</v>
      </c>
      <c r="BC123" s="184">
        <f t="shared" si="100"/>
        <v>0</v>
      </c>
      <c r="BD123" s="178">
        <f t="shared" si="99"/>
        <v>0</v>
      </c>
      <c r="BE123" s="251">
        <f t="shared" si="52"/>
        <v>1</v>
      </c>
      <c r="BF123" s="252">
        <f t="shared" si="97"/>
        <v>31008.333723000003</v>
      </c>
      <c r="BH123" s="262">
        <f t="shared" si="103"/>
        <v>160.6</v>
      </c>
      <c r="BI123" s="262">
        <f t="shared" si="104"/>
        <v>77.52083430750001</v>
      </c>
      <c r="BJ123" s="262">
        <f t="shared" si="105"/>
        <v>0</v>
      </c>
      <c r="BK123" s="263">
        <f t="shared" si="106"/>
        <v>1172.5162641359998</v>
      </c>
      <c r="BL123" s="269">
        <f t="shared" si="107"/>
        <v>0</v>
      </c>
      <c r="BM123" s="264">
        <f t="shared" si="54"/>
        <v>1410.6370984434998</v>
      </c>
      <c r="BO123" s="732">
        <f t="shared" si="55"/>
        <v>45.492192874497448</v>
      </c>
    </row>
    <row r="124" spans="1:72" ht="15" customHeight="1" x14ac:dyDescent="0.25">
      <c r="B124" s="156">
        <f t="shared" si="101"/>
        <v>26</v>
      </c>
      <c r="C124" s="180" t="s">
        <v>147</v>
      </c>
      <c r="D124" s="181"/>
      <c r="E124" s="210" t="s">
        <v>141</v>
      </c>
      <c r="G124" s="488">
        <f>SUM('DUoS (t)'!G124,'TUoS (t)'!G124,'JSO (t)'!G124)</f>
        <v>3613.1</v>
      </c>
      <c r="H124" s="489">
        <f>SUM('DUoS (t)'!H124,'TUoS (t)'!H124,'JSO (t)'!H124)</f>
        <v>2.5000000000000001E-3</v>
      </c>
      <c r="I124" s="471">
        <f>SUM('DUoS (t)'!I124,'TUoS (t)'!I124,'JSO (t)'!I124)</f>
        <v>0</v>
      </c>
      <c r="J124" s="471">
        <f>SUM('DUoS (t)'!J124,'TUoS (t)'!J124,'JSO (t)'!J124)</f>
        <v>0</v>
      </c>
      <c r="K124" s="472">
        <f>SUM('DUoS (t)'!K124,'TUoS (t)'!K124,'JSO (t)'!K124)</f>
        <v>0</v>
      </c>
      <c r="L124" s="471">
        <f>SUM('DUoS (t)'!L124,'TUoS (t)'!L124,'JSO (t)'!L124)</f>
        <v>0</v>
      </c>
      <c r="M124" s="471">
        <f>SUM('DUoS (t)'!M124,'TUoS (t)'!M124,'JSO (t)'!M124)</f>
        <v>0</v>
      </c>
      <c r="N124" s="471">
        <f>SUM('DUoS (t)'!N124,'TUoS (t)'!N124,'JSO (t)'!N124)</f>
        <v>0</v>
      </c>
      <c r="O124" s="472">
        <f>SUM('DUoS (t)'!O124,'TUoS (t)'!O124,'JSO (t)'!O124)</f>
        <v>0</v>
      </c>
      <c r="P124" s="471">
        <f>SUM('DUoS (t)'!P124,'TUoS (t)'!P124,'JSO (t)'!P124)</f>
        <v>0</v>
      </c>
      <c r="Q124" s="471">
        <f>SUM('DUoS (t)'!Q124,'TUoS (t)'!Q124,'JSO (t)'!Q124)</f>
        <v>0</v>
      </c>
      <c r="R124" s="472">
        <f>SUM('DUoS (t)'!R124,'TUoS (t)'!R124,'JSO (t)'!R124)</f>
        <v>0</v>
      </c>
      <c r="S124" s="489">
        <f>SUM('DUoS (t)'!S124,'TUoS (t)'!S124,'JSO (t)'!S124)</f>
        <v>0</v>
      </c>
      <c r="T124" s="494">
        <f>SUM('DUoS (t)'!T124,'TUoS (t)'!T124,'JSO (t)'!T124)</f>
        <v>4.1399999999999999E-2</v>
      </c>
      <c r="U124" s="491">
        <f>SUM('DUoS (t)'!U124,'TUoS (t)'!U124,'JSO (t)'!U124)</f>
        <v>0</v>
      </c>
      <c r="V124" s="492">
        <f>SUM('DUoS (t)'!V124,'TUoS (t)'!V124,'JSO (t)'!V124)</f>
        <v>0</v>
      </c>
      <c r="X124" s="183">
        <f>'Q (t)'!G124</f>
        <v>365</v>
      </c>
      <c r="Y124" s="184">
        <f>'Q (t)'!H124</f>
        <v>17329.286500000002</v>
      </c>
      <c r="Z124" s="178">
        <f>'Q (t)'!I124</f>
        <v>0</v>
      </c>
      <c r="AA124" s="178">
        <f>'Q (t)'!J124</f>
        <v>0</v>
      </c>
      <c r="AB124" s="179">
        <f>'Q (t)'!K124</f>
        <v>0</v>
      </c>
      <c r="AC124" s="178">
        <f>'Q (t)'!L124</f>
        <v>0</v>
      </c>
      <c r="AD124" s="178">
        <f>'Q (t)'!M124</f>
        <v>0</v>
      </c>
      <c r="AE124" s="178">
        <f>'Q (t)'!N124</f>
        <v>0</v>
      </c>
      <c r="AF124" s="179">
        <f>'Q (t)'!O124</f>
        <v>0</v>
      </c>
      <c r="AG124" s="178">
        <f>'Q (t)'!P124</f>
        <v>0</v>
      </c>
      <c r="AH124" s="178">
        <f>'Q (t)'!Q124</f>
        <v>0</v>
      </c>
      <c r="AI124" s="179">
        <f>'Q (t)'!R124</f>
        <v>0</v>
      </c>
      <c r="AJ124" s="184">
        <f>'Q (t)'!S124</f>
        <v>2555000</v>
      </c>
      <c r="AK124" s="178">
        <f>'Q (t)'!T124</f>
        <v>9330396.8149999995</v>
      </c>
      <c r="AL124" s="184">
        <f>'Q (t)'!U124</f>
        <v>0</v>
      </c>
      <c r="AM124" s="179">
        <f>'Q (t)'!V124</f>
        <v>0</v>
      </c>
      <c r="AO124" s="183">
        <f t="shared" si="50"/>
        <v>1318.7815000000001</v>
      </c>
      <c r="AP124" s="184">
        <f t="shared" si="98"/>
        <v>43.323216250000009</v>
      </c>
      <c r="AQ124" s="178">
        <f t="shared" si="98"/>
        <v>0</v>
      </c>
      <c r="AR124" s="178">
        <f t="shared" si="98"/>
        <v>0</v>
      </c>
      <c r="AS124" s="179">
        <f t="shared" si="98"/>
        <v>0</v>
      </c>
      <c r="AT124" s="178">
        <f t="shared" si="98"/>
        <v>0</v>
      </c>
      <c r="AU124" s="178">
        <f t="shared" si="98"/>
        <v>0</v>
      </c>
      <c r="AV124" s="178">
        <f t="shared" si="98"/>
        <v>0</v>
      </c>
      <c r="AW124" s="179">
        <f t="shared" si="98"/>
        <v>0</v>
      </c>
      <c r="AX124" s="178">
        <f t="shared" si="100"/>
        <v>0</v>
      </c>
      <c r="AY124" s="178">
        <f t="shared" si="100"/>
        <v>0</v>
      </c>
      <c r="AZ124" s="179">
        <f t="shared" si="100"/>
        <v>0</v>
      </c>
      <c r="BA124" s="184">
        <f t="shared" si="100"/>
        <v>0</v>
      </c>
      <c r="BB124" s="178">
        <f t="shared" si="100"/>
        <v>386.27842814100001</v>
      </c>
      <c r="BC124" s="184">
        <f t="shared" si="100"/>
        <v>0</v>
      </c>
      <c r="BD124" s="178">
        <f t="shared" si="99"/>
        <v>0</v>
      </c>
      <c r="BE124" s="251">
        <f t="shared" si="52"/>
        <v>1</v>
      </c>
      <c r="BF124" s="252">
        <f t="shared" si="97"/>
        <v>17329.286500000002</v>
      </c>
      <c r="BH124" s="262">
        <f t="shared" si="103"/>
        <v>1318.7815000000001</v>
      </c>
      <c r="BI124" s="262">
        <f t="shared" si="104"/>
        <v>43.323216250000009</v>
      </c>
      <c r="BJ124" s="262">
        <f t="shared" si="105"/>
        <v>0</v>
      </c>
      <c r="BK124" s="263">
        <f t="shared" si="106"/>
        <v>386.27842814100001</v>
      </c>
      <c r="BL124" s="269">
        <f t="shared" si="107"/>
        <v>0</v>
      </c>
      <c r="BM124" s="264">
        <f t="shared" si="54"/>
        <v>1748.3831443910001</v>
      </c>
      <c r="BO124" s="732">
        <f t="shared" si="55"/>
        <v>100.89181365839845</v>
      </c>
    </row>
    <row r="125" spans="1:72" ht="15" customHeight="1" x14ac:dyDescent="0.25">
      <c r="B125" s="156">
        <f t="shared" si="101"/>
        <v>27</v>
      </c>
      <c r="C125" s="180" t="s">
        <v>148</v>
      </c>
      <c r="D125" s="181"/>
      <c r="E125" s="210" t="s">
        <v>141</v>
      </c>
      <c r="G125" s="488">
        <f>SUM('DUoS (t)'!G125,'TUoS (t)'!G125,'JSO (t)'!G125)</f>
        <v>1768.7</v>
      </c>
      <c r="H125" s="489">
        <f>SUM('DUoS (t)'!H125,'TUoS (t)'!H125,'JSO (t)'!H125)</f>
        <v>2.5000000000000001E-3</v>
      </c>
      <c r="I125" s="471">
        <f>SUM('DUoS (t)'!I125,'TUoS (t)'!I125,'JSO (t)'!I125)</f>
        <v>0</v>
      </c>
      <c r="J125" s="471">
        <f>SUM('DUoS (t)'!J125,'TUoS (t)'!J125,'JSO (t)'!J125)</f>
        <v>0</v>
      </c>
      <c r="K125" s="472">
        <f>SUM('DUoS (t)'!K125,'TUoS (t)'!K125,'JSO (t)'!K125)</f>
        <v>0</v>
      </c>
      <c r="L125" s="471">
        <f>SUM('DUoS (t)'!L125,'TUoS (t)'!L125,'JSO (t)'!L125)</f>
        <v>0</v>
      </c>
      <c r="M125" s="471">
        <f>SUM('DUoS (t)'!M125,'TUoS (t)'!M125,'JSO (t)'!M125)</f>
        <v>0</v>
      </c>
      <c r="N125" s="471">
        <f>SUM('DUoS (t)'!N125,'TUoS (t)'!N125,'JSO (t)'!N125)</f>
        <v>0</v>
      </c>
      <c r="O125" s="472">
        <f>SUM('DUoS (t)'!O125,'TUoS (t)'!O125,'JSO (t)'!O125)</f>
        <v>0</v>
      </c>
      <c r="P125" s="471">
        <f>SUM('DUoS (t)'!P125,'TUoS (t)'!P125,'JSO (t)'!P125)</f>
        <v>0</v>
      </c>
      <c r="Q125" s="471">
        <f>SUM('DUoS (t)'!Q125,'TUoS (t)'!Q125,'JSO (t)'!Q125)</f>
        <v>0</v>
      </c>
      <c r="R125" s="472">
        <f>SUM('DUoS (t)'!R125,'TUoS (t)'!R125,'JSO (t)'!R125)</f>
        <v>0</v>
      </c>
      <c r="S125" s="489">
        <f>SUM('DUoS (t)'!S125,'TUoS (t)'!S125,'JSO (t)'!S125)</f>
        <v>0</v>
      </c>
      <c r="T125" s="494">
        <f>SUM('DUoS (t)'!T125,'TUoS (t)'!T125,'JSO (t)'!T125)</f>
        <v>4.1399999999999999E-2</v>
      </c>
      <c r="U125" s="491">
        <f>SUM('DUoS (t)'!U125,'TUoS (t)'!U125,'JSO (t)'!U125)</f>
        <v>0</v>
      </c>
      <c r="V125" s="492">
        <f>SUM('DUoS (t)'!V125,'TUoS (t)'!V125,'JSO (t)'!V125)</f>
        <v>0</v>
      </c>
      <c r="X125" s="183">
        <f>'Q (t)'!G125</f>
        <v>365</v>
      </c>
      <c r="Y125" s="184">
        <f>'Q (t)'!H125</f>
        <v>33415.6944</v>
      </c>
      <c r="Z125" s="178">
        <f>'Q (t)'!I125</f>
        <v>0</v>
      </c>
      <c r="AA125" s="178">
        <f>'Q (t)'!J125</f>
        <v>0</v>
      </c>
      <c r="AB125" s="179">
        <f>'Q (t)'!K125</f>
        <v>0</v>
      </c>
      <c r="AC125" s="178">
        <f>'Q (t)'!L125</f>
        <v>0</v>
      </c>
      <c r="AD125" s="178">
        <f>'Q (t)'!M125</f>
        <v>0</v>
      </c>
      <c r="AE125" s="178">
        <f>'Q (t)'!N125</f>
        <v>0</v>
      </c>
      <c r="AF125" s="179">
        <f>'Q (t)'!O125</f>
        <v>0</v>
      </c>
      <c r="AG125" s="178">
        <f>'Q (t)'!P125</f>
        <v>0</v>
      </c>
      <c r="AH125" s="178">
        <f>'Q (t)'!Q125</f>
        <v>0</v>
      </c>
      <c r="AI125" s="179">
        <f>'Q (t)'!R125</f>
        <v>0</v>
      </c>
      <c r="AJ125" s="184">
        <f>'Q (t)'!S125</f>
        <v>3308941.4450000003</v>
      </c>
      <c r="AK125" s="178">
        <f>'Q (t)'!T125</f>
        <v>3317635.38</v>
      </c>
      <c r="AL125" s="184">
        <f>'Q (t)'!U125</f>
        <v>0</v>
      </c>
      <c r="AM125" s="179">
        <f>'Q (t)'!V125</f>
        <v>0</v>
      </c>
      <c r="AO125" s="183">
        <f t="shared" si="50"/>
        <v>645.57550000000003</v>
      </c>
      <c r="AP125" s="184">
        <f t="shared" ref="AP125:AW126" si="108">H125*Y125</f>
        <v>83.539236000000002</v>
      </c>
      <c r="AQ125" s="178">
        <f t="shared" si="108"/>
        <v>0</v>
      </c>
      <c r="AR125" s="178">
        <f t="shared" si="108"/>
        <v>0</v>
      </c>
      <c r="AS125" s="179">
        <f t="shared" si="108"/>
        <v>0</v>
      </c>
      <c r="AT125" s="178">
        <f t="shared" si="108"/>
        <v>0</v>
      </c>
      <c r="AU125" s="178">
        <f t="shared" si="108"/>
        <v>0</v>
      </c>
      <c r="AV125" s="178">
        <f t="shared" si="108"/>
        <v>0</v>
      </c>
      <c r="AW125" s="179">
        <f t="shared" si="108"/>
        <v>0</v>
      </c>
      <c r="AX125" s="178">
        <f t="shared" si="100"/>
        <v>0</v>
      </c>
      <c r="AY125" s="178">
        <f t="shared" si="100"/>
        <v>0</v>
      </c>
      <c r="AZ125" s="179">
        <f t="shared" si="100"/>
        <v>0</v>
      </c>
      <c r="BA125" s="184">
        <f t="shared" si="100"/>
        <v>0</v>
      </c>
      <c r="BB125" s="178">
        <f t="shared" si="100"/>
        <v>137.35010473200001</v>
      </c>
      <c r="BC125" s="184">
        <f t="shared" si="100"/>
        <v>0</v>
      </c>
      <c r="BD125" s="178">
        <f t="shared" si="99"/>
        <v>0</v>
      </c>
      <c r="BE125" s="251">
        <f t="shared" si="52"/>
        <v>1</v>
      </c>
      <c r="BF125" s="252">
        <f t="shared" si="97"/>
        <v>33415.6944</v>
      </c>
      <c r="BH125" s="262">
        <f t="shared" si="103"/>
        <v>645.57550000000003</v>
      </c>
      <c r="BI125" s="262">
        <f t="shared" si="104"/>
        <v>83.539236000000002</v>
      </c>
      <c r="BJ125" s="262">
        <f t="shared" si="105"/>
        <v>0</v>
      </c>
      <c r="BK125" s="263">
        <f t="shared" si="106"/>
        <v>137.35010473200001</v>
      </c>
      <c r="BL125" s="269">
        <f t="shared" si="107"/>
        <v>0</v>
      </c>
      <c r="BM125" s="264">
        <f t="shared" si="54"/>
        <v>866.46484073199997</v>
      </c>
      <c r="BO125" s="732">
        <f t="shared" si="55"/>
        <v>25.929876852476838</v>
      </c>
    </row>
    <row r="126" spans="1:72" ht="15" customHeight="1" x14ac:dyDescent="0.25">
      <c r="A126" s="220"/>
      <c r="B126" s="162">
        <f t="shared" si="101"/>
        <v>28</v>
      </c>
      <c r="C126" s="187" t="s">
        <v>149</v>
      </c>
      <c r="D126" s="188"/>
      <c r="E126" s="221" t="s">
        <v>141</v>
      </c>
      <c r="G126" s="496">
        <f>SUM('DUoS (t)'!G126,'TUoS (t)'!G126,'JSO (t)'!G126)</f>
        <v>940.97</v>
      </c>
      <c r="H126" s="497">
        <f>SUM('DUoS (t)'!H126,'TUoS (t)'!H126,'JSO (t)'!H126)</f>
        <v>2.5000000000000001E-3</v>
      </c>
      <c r="I126" s="498">
        <f>SUM('DUoS (t)'!I126,'TUoS (t)'!I126,'JSO (t)'!I126)</f>
        <v>0</v>
      </c>
      <c r="J126" s="498">
        <f>SUM('DUoS (t)'!J126,'TUoS (t)'!J126,'JSO (t)'!J126)</f>
        <v>0</v>
      </c>
      <c r="K126" s="499">
        <f>SUM('DUoS (t)'!K126,'TUoS (t)'!K126,'JSO (t)'!K126)</f>
        <v>0</v>
      </c>
      <c r="L126" s="498">
        <f>SUM('DUoS (t)'!L126,'TUoS (t)'!L126,'JSO (t)'!L126)</f>
        <v>0</v>
      </c>
      <c r="M126" s="498">
        <f>SUM('DUoS (t)'!M126,'TUoS (t)'!M126,'JSO (t)'!M126)</f>
        <v>0</v>
      </c>
      <c r="N126" s="498">
        <f>SUM('DUoS (t)'!N126,'TUoS (t)'!N126,'JSO (t)'!N126)</f>
        <v>0</v>
      </c>
      <c r="O126" s="499">
        <f>SUM('DUoS (t)'!O126,'TUoS (t)'!O126,'JSO (t)'!O126)</f>
        <v>0</v>
      </c>
      <c r="P126" s="498">
        <f>SUM('DUoS (t)'!P126,'TUoS (t)'!P126,'JSO (t)'!P126)</f>
        <v>0</v>
      </c>
      <c r="Q126" s="498">
        <f>SUM('DUoS (t)'!Q126,'TUoS (t)'!Q126,'JSO (t)'!Q126)</f>
        <v>0</v>
      </c>
      <c r="R126" s="499">
        <f>SUM('DUoS (t)'!R126,'TUoS (t)'!R126,'JSO (t)'!R126)</f>
        <v>0</v>
      </c>
      <c r="S126" s="497">
        <f>SUM('DUoS (t)'!S126,'TUoS (t)'!S126,'JSO (t)'!S126)</f>
        <v>0</v>
      </c>
      <c r="T126" s="500">
        <f>SUM('DUoS (t)'!T126,'TUoS (t)'!T126,'JSO (t)'!T126)</f>
        <v>4.1399999999999999E-2</v>
      </c>
      <c r="U126" s="503">
        <f>SUM('DUoS (t)'!U126,'TUoS (t)'!U126,'JSO (t)'!U126)</f>
        <v>0</v>
      </c>
      <c r="V126" s="504">
        <f>SUM('DUoS (t)'!V126,'TUoS (t)'!V126,'JSO (t)'!V126)</f>
        <v>0</v>
      </c>
      <c r="X126" s="190">
        <f>'Q (t)'!G126</f>
        <v>365</v>
      </c>
      <c r="Y126" s="197">
        <f>'Q (t)'!H126</f>
        <v>12000</v>
      </c>
      <c r="Z126" s="192">
        <f>'Q (t)'!I126</f>
        <v>0</v>
      </c>
      <c r="AA126" s="192">
        <f>'Q (t)'!J126</f>
        <v>0</v>
      </c>
      <c r="AB126" s="193">
        <f>'Q (t)'!K126</f>
        <v>0</v>
      </c>
      <c r="AC126" s="192">
        <f>'Q (t)'!L126</f>
        <v>0</v>
      </c>
      <c r="AD126" s="192">
        <f>'Q (t)'!M126</f>
        <v>0</v>
      </c>
      <c r="AE126" s="192">
        <f>'Q (t)'!N126</f>
        <v>0</v>
      </c>
      <c r="AF126" s="193">
        <f>'Q (t)'!O126</f>
        <v>0</v>
      </c>
      <c r="AG126" s="192">
        <f>'Q (t)'!P126</f>
        <v>0</v>
      </c>
      <c r="AH126" s="192">
        <f>'Q (t)'!Q126</f>
        <v>0</v>
      </c>
      <c r="AI126" s="193">
        <f>'Q (t)'!R126</f>
        <v>0</v>
      </c>
      <c r="AJ126" s="197">
        <f>'Q (t)'!S126</f>
        <v>2015820.54</v>
      </c>
      <c r="AK126" s="192">
        <f>'Q (t)'!T126</f>
        <v>2331851.0449999999</v>
      </c>
      <c r="AL126" s="197">
        <f>'Q (t)'!U126</f>
        <v>0</v>
      </c>
      <c r="AM126" s="193">
        <f>'Q (t)'!V126</f>
        <v>0</v>
      </c>
      <c r="AO126" s="190">
        <f t="shared" si="50"/>
        <v>343.45405</v>
      </c>
      <c r="AP126" s="197">
        <f t="shared" si="108"/>
        <v>30</v>
      </c>
      <c r="AQ126" s="192">
        <f t="shared" si="108"/>
        <v>0</v>
      </c>
      <c r="AR126" s="192">
        <f t="shared" si="108"/>
        <v>0</v>
      </c>
      <c r="AS126" s="193">
        <f t="shared" si="108"/>
        <v>0</v>
      </c>
      <c r="AT126" s="192">
        <f t="shared" si="108"/>
        <v>0</v>
      </c>
      <c r="AU126" s="192">
        <f t="shared" si="108"/>
        <v>0</v>
      </c>
      <c r="AV126" s="192">
        <f t="shared" si="108"/>
        <v>0</v>
      </c>
      <c r="AW126" s="193">
        <f t="shared" si="108"/>
        <v>0</v>
      </c>
      <c r="AX126" s="192">
        <f t="shared" si="100"/>
        <v>0</v>
      </c>
      <c r="AY126" s="192">
        <f t="shared" si="100"/>
        <v>0</v>
      </c>
      <c r="AZ126" s="193">
        <f t="shared" si="100"/>
        <v>0</v>
      </c>
      <c r="BA126" s="197">
        <f t="shared" si="100"/>
        <v>0</v>
      </c>
      <c r="BB126" s="192">
        <f t="shared" si="100"/>
        <v>96.538633262999994</v>
      </c>
      <c r="BC126" s="197">
        <f t="shared" si="100"/>
        <v>0</v>
      </c>
      <c r="BD126" s="193">
        <f t="shared" si="99"/>
        <v>0</v>
      </c>
      <c r="BE126" s="253">
        <f t="shared" si="52"/>
        <v>1</v>
      </c>
      <c r="BF126" s="254">
        <f t="shared" si="97"/>
        <v>12000</v>
      </c>
      <c r="BH126" s="265">
        <f t="shared" si="103"/>
        <v>343.45405</v>
      </c>
      <c r="BI126" s="265">
        <f t="shared" si="104"/>
        <v>30</v>
      </c>
      <c r="BJ126" s="265">
        <f t="shared" si="105"/>
        <v>0</v>
      </c>
      <c r="BK126" s="266">
        <f t="shared" si="106"/>
        <v>96.538633262999994</v>
      </c>
      <c r="BL126" s="270">
        <f t="shared" si="107"/>
        <v>0</v>
      </c>
      <c r="BM126" s="271">
        <f t="shared" si="54"/>
        <v>469.992683263</v>
      </c>
      <c r="BO126" s="732">
        <f t="shared" si="55"/>
        <v>39.166056938583331</v>
      </c>
    </row>
    <row r="127" spans="1:72" x14ac:dyDescent="0.25">
      <c r="BE127" s="255"/>
      <c r="BF127" s="256"/>
    </row>
    <row r="128" spans="1:72" x14ac:dyDescent="0.25">
      <c r="C128" s="223" t="s">
        <v>150</v>
      </c>
      <c r="D128" s="224"/>
      <c r="E128" s="224"/>
      <c r="G128" s="224"/>
      <c r="H128" s="224"/>
      <c r="I128" s="224"/>
      <c r="J128" s="224"/>
      <c r="K128" s="224"/>
      <c r="L128" s="224"/>
      <c r="M128" s="224"/>
      <c r="N128" s="224"/>
      <c r="O128" s="224"/>
      <c r="P128" s="224"/>
      <c r="Q128" s="224"/>
      <c r="R128" s="224"/>
      <c r="S128" s="224"/>
      <c r="T128" s="224"/>
      <c r="U128" s="224"/>
      <c r="V128" s="224"/>
      <c r="X128" s="225">
        <f t="shared" ref="X128:AM128" si="109">SUM(X16:X25)</f>
        <v>291420380</v>
      </c>
      <c r="Y128" s="225">
        <f t="shared" si="109"/>
        <v>2657800</v>
      </c>
      <c r="Z128" s="225">
        <f t="shared" si="109"/>
        <v>354400</v>
      </c>
      <c r="AA128" s="225">
        <f t="shared" si="109"/>
        <v>69400</v>
      </c>
      <c r="AB128" s="225">
        <f t="shared" si="109"/>
        <v>105400</v>
      </c>
      <c r="AC128" s="225">
        <f t="shared" si="109"/>
        <v>361600</v>
      </c>
      <c r="AD128" s="225">
        <f t="shared" si="109"/>
        <v>0</v>
      </c>
      <c r="AE128" s="225">
        <f t="shared" si="109"/>
        <v>87500</v>
      </c>
      <c r="AF128" s="225">
        <f t="shared" si="109"/>
        <v>21900</v>
      </c>
      <c r="AG128" s="225">
        <f t="shared" si="109"/>
        <v>0</v>
      </c>
      <c r="AH128" s="225">
        <f t="shared" si="109"/>
        <v>0</v>
      </c>
      <c r="AI128" s="225">
        <f t="shared" si="109"/>
        <v>0</v>
      </c>
      <c r="AJ128" s="225">
        <f t="shared" si="109"/>
        <v>0</v>
      </c>
      <c r="AK128" s="225">
        <f t="shared" si="109"/>
        <v>0</v>
      </c>
      <c r="AL128" s="225">
        <f t="shared" si="109"/>
        <v>1752000</v>
      </c>
      <c r="AM128" s="225">
        <f t="shared" si="109"/>
        <v>0</v>
      </c>
      <c r="AO128" s="225">
        <f t="shared" ref="AO128:BD128" si="110">SUM(AO16:AO25)</f>
        <v>135743.61300400001</v>
      </c>
      <c r="AP128" s="225">
        <f t="shared" si="110"/>
        <v>366244.83999999997</v>
      </c>
      <c r="AQ128" s="225">
        <f t="shared" si="110"/>
        <v>60938.920000000006</v>
      </c>
      <c r="AR128" s="225">
        <f t="shared" si="110"/>
        <v>4741.68</v>
      </c>
      <c r="AS128" s="225">
        <f t="shared" si="110"/>
        <v>3622.4</v>
      </c>
      <c r="AT128" s="225">
        <f t="shared" si="110"/>
        <v>24950.400000000001</v>
      </c>
      <c r="AU128" s="225">
        <f t="shared" si="110"/>
        <v>0</v>
      </c>
      <c r="AV128" s="225">
        <f t="shared" si="110"/>
        <v>6037.5000000000009</v>
      </c>
      <c r="AW128" s="225">
        <f t="shared" si="110"/>
        <v>755.55000000000007</v>
      </c>
      <c r="AX128" s="225">
        <f t="shared" si="110"/>
        <v>0</v>
      </c>
      <c r="AY128" s="225">
        <f t="shared" si="110"/>
        <v>0</v>
      </c>
      <c r="AZ128" s="225">
        <f t="shared" si="110"/>
        <v>0</v>
      </c>
      <c r="BA128" s="225">
        <f t="shared" si="110"/>
        <v>0</v>
      </c>
      <c r="BB128" s="225">
        <f t="shared" si="110"/>
        <v>0</v>
      </c>
      <c r="BC128" s="225">
        <f t="shared" si="110"/>
        <v>1342.2072000000001</v>
      </c>
      <c r="BD128" s="225">
        <f t="shared" si="110"/>
        <v>0</v>
      </c>
      <c r="BE128" s="251">
        <f>SUM(BE17:BE25)</f>
        <v>798412</v>
      </c>
      <c r="BF128" s="252">
        <f>SUM(BF17:BF25)</f>
        <v>3658000</v>
      </c>
      <c r="BH128" s="225">
        <f t="shared" ref="BH128:BM128" si="111">BH16</f>
        <v>135743.61300400001</v>
      </c>
      <c r="BI128" s="225">
        <f t="shared" si="111"/>
        <v>435547.83999999997</v>
      </c>
      <c r="BJ128" s="225">
        <f t="shared" si="111"/>
        <v>31743.450000000004</v>
      </c>
      <c r="BK128" s="225">
        <f t="shared" si="111"/>
        <v>0</v>
      </c>
      <c r="BL128" s="225">
        <f t="shared" si="111"/>
        <v>1342.2072000000001</v>
      </c>
      <c r="BM128" s="225">
        <f t="shared" si="111"/>
        <v>604377.11020399991</v>
      </c>
      <c r="BN128" s="736">
        <f>BM128/$BM$133</f>
        <v>0.52424461634558639</v>
      </c>
      <c r="BO128" s="732">
        <f t="shared" ref="BO128:BO133" si="112">BM128*1000/BF128</f>
        <v>165.22064248332418</v>
      </c>
      <c r="BQ128" s="677">
        <f>'[14]NUOS (t)'!AT133</f>
        <v>170.25817172489204</v>
      </c>
      <c r="BR128" s="736">
        <f>BO128/BQ128-1</f>
        <v>-2.9587591541318958E-2</v>
      </c>
      <c r="BT128" s="137"/>
    </row>
    <row r="129" spans="3:72" x14ac:dyDescent="0.25">
      <c r="C129" s="223" t="s">
        <v>151</v>
      </c>
      <c r="D129" s="224"/>
      <c r="E129" s="224"/>
      <c r="G129" s="224"/>
      <c r="H129" s="224"/>
      <c r="I129" s="224"/>
      <c r="J129" s="224"/>
      <c r="K129" s="224"/>
      <c r="L129" s="224"/>
      <c r="M129" s="224"/>
      <c r="N129" s="224"/>
      <c r="O129" s="224"/>
      <c r="P129" s="224"/>
      <c r="Q129" s="224"/>
      <c r="R129" s="224"/>
      <c r="S129" s="224"/>
      <c r="T129" s="224"/>
      <c r="U129" s="224"/>
      <c r="V129" s="224"/>
      <c r="X129" s="225">
        <f t="shared" ref="X129:AM129" si="113">SUM(X26:X39)</f>
        <v>33899740</v>
      </c>
      <c r="Y129" s="225">
        <f t="shared" si="113"/>
        <v>478700</v>
      </c>
      <c r="Z129" s="225">
        <f t="shared" si="113"/>
        <v>208600</v>
      </c>
      <c r="AA129" s="225">
        <f t="shared" si="113"/>
        <v>267600</v>
      </c>
      <c r="AB129" s="225">
        <f t="shared" si="113"/>
        <v>385400</v>
      </c>
      <c r="AC129" s="225">
        <f t="shared" si="113"/>
        <v>6000</v>
      </c>
      <c r="AD129" s="225">
        <f t="shared" si="113"/>
        <v>0</v>
      </c>
      <c r="AE129" s="225">
        <f t="shared" si="113"/>
        <v>0</v>
      </c>
      <c r="AF129" s="225">
        <f t="shared" si="113"/>
        <v>0</v>
      </c>
      <c r="AG129" s="225">
        <f t="shared" si="113"/>
        <v>0</v>
      </c>
      <c r="AH129" s="225">
        <f t="shared" si="113"/>
        <v>1825137</v>
      </c>
      <c r="AI129" s="225">
        <f t="shared" si="113"/>
        <v>4632215</v>
      </c>
      <c r="AJ129" s="225">
        <f t="shared" si="113"/>
        <v>0</v>
      </c>
      <c r="AK129" s="225">
        <f t="shared" si="113"/>
        <v>26073045</v>
      </c>
      <c r="AL129" s="225">
        <f t="shared" si="113"/>
        <v>0</v>
      </c>
      <c r="AM129" s="225">
        <f t="shared" si="113"/>
        <v>0</v>
      </c>
      <c r="AO129" s="225">
        <f t="shared" ref="AO129:BF129" si="114">SUM(AO26:AO39)</f>
        <v>18105.849382</v>
      </c>
      <c r="AP129" s="225">
        <f t="shared" si="114"/>
        <v>64086.829999999994</v>
      </c>
      <c r="AQ129" s="225">
        <f t="shared" si="114"/>
        <v>37189.980000000003</v>
      </c>
      <c r="AR129" s="225">
        <f t="shared" si="114"/>
        <v>40766.479999999996</v>
      </c>
      <c r="AS129" s="225">
        <f t="shared" si="114"/>
        <v>32170.51</v>
      </c>
      <c r="AT129" s="225">
        <f t="shared" si="114"/>
        <v>429</v>
      </c>
      <c r="AU129" s="225">
        <f t="shared" si="114"/>
        <v>0</v>
      </c>
      <c r="AV129" s="225">
        <f t="shared" si="114"/>
        <v>0</v>
      </c>
      <c r="AW129" s="225">
        <f t="shared" si="114"/>
        <v>0</v>
      </c>
      <c r="AX129" s="225">
        <f t="shared" si="114"/>
        <v>0</v>
      </c>
      <c r="AY129" s="225">
        <f t="shared" si="114"/>
        <v>723.11927939999998</v>
      </c>
      <c r="AZ129" s="225">
        <f t="shared" si="114"/>
        <v>907.91413999999997</v>
      </c>
      <c r="BA129" s="225">
        <f t="shared" si="114"/>
        <v>0</v>
      </c>
      <c r="BB129" s="225">
        <f t="shared" si="114"/>
        <v>2122.345863</v>
      </c>
      <c r="BC129" s="225">
        <f t="shared" si="114"/>
        <v>0</v>
      </c>
      <c r="BD129" s="225">
        <f t="shared" si="114"/>
        <v>0</v>
      </c>
      <c r="BE129" s="251">
        <f t="shared" si="114"/>
        <v>92876</v>
      </c>
      <c r="BF129" s="252">
        <f t="shared" si="114"/>
        <v>1346300</v>
      </c>
      <c r="BH129" s="225">
        <f t="shared" ref="BH129:BM129" si="115">BH26</f>
        <v>18105.849382</v>
      </c>
      <c r="BI129" s="225">
        <f t="shared" si="115"/>
        <v>174213.8</v>
      </c>
      <c r="BJ129" s="225">
        <f t="shared" si="115"/>
        <v>429</v>
      </c>
      <c r="BK129" s="225">
        <f t="shared" si="115"/>
        <v>3753.3792824000002</v>
      </c>
      <c r="BL129" s="225">
        <f t="shared" si="115"/>
        <v>0</v>
      </c>
      <c r="BM129" s="225">
        <f t="shared" si="115"/>
        <v>196502.02866439999</v>
      </c>
      <c r="BN129" s="736">
        <f t="shared" ref="BN129:BN133" si="116">BM129/$BM$133</f>
        <v>0.17044843176394672</v>
      </c>
      <c r="BO129" s="732">
        <f t="shared" si="112"/>
        <v>145.95708880962636</v>
      </c>
      <c r="BQ129" s="677">
        <f>'[14]NUOS (t)'!AT134</f>
        <v>146.48379397738697</v>
      </c>
      <c r="BR129" s="736">
        <f t="shared" ref="BR129:BR136" si="117">BO129/BQ129-1</f>
        <v>-3.5956548738894645E-3</v>
      </c>
      <c r="BT129" s="137"/>
    </row>
    <row r="130" spans="3:72" x14ac:dyDescent="0.25">
      <c r="C130" s="223" t="s">
        <v>152</v>
      </c>
      <c r="D130" s="224"/>
      <c r="E130" s="224"/>
      <c r="G130" s="224"/>
      <c r="H130" s="224"/>
      <c r="I130" s="224"/>
      <c r="J130" s="224"/>
      <c r="K130" s="224"/>
      <c r="L130" s="224"/>
      <c r="M130" s="224"/>
      <c r="N130" s="224"/>
      <c r="O130" s="224"/>
      <c r="P130" s="224"/>
      <c r="Q130" s="224"/>
      <c r="R130" s="224"/>
      <c r="S130" s="224"/>
      <c r="T130" s="224"/>
      <c r="U130" s="224"/>
      <c r="V130" s="224"/>
      <c r="X130" s="225">
        <f t="shared" ref="X130:AM130" si="118">SUM(X40:X67)</f>
        <v>1581050</v>
      </c>
      <c r="Y130" s="225">
        <f t="shared" si="118"/>
        <v>71100</v>
      </c>
      <c r="Z130" s="225">
        <f t="shared" si="118"/>
        <v>1376300</v>
      </c>
      <c r="AA130" s="225">
        <f t="shared" si="118"/>
        <v>0</v>
      </c>
      <c r="AB130" s="225">
        <f t="shared" si="118"/>
        <v>1303600</v>
      </c>
      <c r="AC130" s="225">
        <f t="shared" si="118"/>
        <v>0</v>
      </c>
      <c r="AD130" s="225">
        <f t="shared" si="118"/>
        <v>0</v>
      </c>
      <c r="AE130" s="225">
        <f t="shared" si="118"/>
        <v>0</v>
      </c>
      <c r="AF130" s="225">
        <f t="shared" si="118"/>
        <v>0</v>
      </c>
      <c r="AG130" s="225">
        <f t="shared" si="118"/>
        <v>3760806</v>
      </c>
      <c r="AH130" s="225">
        <f t="shared" si="118"/>
        <v>5382848</v>
      </c>
      <c r="AI130" s="225">
        <f t="shared" si="118"/>
        <v>11592765</v>
      </c>
      <c r="AJ130" s="225">
        <f t="shared" si="118"/>
        <v>238761465</v>
      </c>
      <c r="AK130" s="225">
        <f t="shared" si="118"/>
        <v>357781395</v>
      </c>
      <c r="AL130" s="225">
        <f t="shared" si="118"/>
        <v>0</v>
      </c>
      <c r="AM130" s="225">
        <f t="shared" si="118"/>
        <v>0</v>
      </c>
      <c r="AO130" s="225">
        <f t="shared" ref="AO130:BF130" si="119">SUM(AO40:AO67)</f>
        <v>10552.279281499999</v>
      </c>
      <c r="AP130" s="225">
        <f t="shared" si="119"/>
        <v>5485.03</v>
      </c>
      <c r="AQ130" s="225">
        <f t="shared" si="119"/>
        <v>91124.760000000024</v>
      </c>
      <c r="AR130" s="225">
        <f t="shared" si="119"/>
        <v>0</v>
      </c>
      <c r="AS130" s="225">
        <f t="shared" si="119"/>
        <v>53970.92</v>
      </c>
      <c r="AT130" s="225">
        <f t="shared" si="119"/>
        <v>0</v>
      </c>
      <c r="AU130" s="225">
        <f t="shared" si="119"/>
        <v>0</v>
      </c>
      <c r="AV130" s="225">
        <f t="shared" si="119"/>
        <v>0</v>
      </c>
      <c r="AW130" s="225">
        <f t="shared" si="119"/>
        <v>0</v>
      </c>
      <c r="AX130" s="225">
        <f t="shared" si="119"/>
        <v>3453.5481497999995</v>
      </c>
      <c r="AY130" s="225">
        <f t="shared" si="119"/>
        <v>2132.6843775999996</v>
      </c>
      <c r="AZ130" s="225">
        <f t="shared" si="119"/>
        <v>2272.1819399999999</v>
      </c>
      <c r="BA130" s="225">
        <f t="shared" si="119"/>
        <v>60478.279084499991</v>
      </c>
      <c r="BB130" s="225">
        <f t="shared" si="119"/>
        <v>37066.152521999997</v>
      </c>
      <c r="BC130" s="225">
        <f t="shared" si="119"/>
        <v>0</v>
      </c>
      <c r="BD130" s="225">
        <f t="shared" si="119"/>
        <v>0</v>
      </c>
      <c r="BE130" s="251">
        <f t="shared" si="119"/>
        <v>4331.6438356164381</v>
      </c>
      <c r="BF130" s="252">
        <f t="shared" si="119"/>
        <v>2751000</v>
      </c>
      <c r="BH130" s="225">
        <f t="shared" ref="BH130:BM130" si="120">BH40</f>
        <v>10552.279281499999</v>
      </c>
      <c r="BI130" s="225">
        <f t="shared" si="120"/>
        <v>150580.71000000002</v>
      </c>
      <c r="BJ130" s="225">
        <f t="shared" si="120"/>
        <v>0</v>
      </c>
      <c r="BK130" s="225">
        <f t="shared" si="120"/>
        <v>105402.84607389999</v>
      </c>
      <c r="BL130" s="225">
        <f t="shared" si="120"/>
        <v>0</v>
      </c>
      <c r="BM130" s="225">
        <f t="shared" si="120"/>
        <v>266535.83535539999</v>
      </c>
      <c r="BN130" s="736">
        <f t="shared" si="116"/>
        <v>0.2311966723906502</v>
      </c>
      <c r="BO130" s="732">
        <f t="shared" si="112"/>
        <v>96.886890350926933</v>
      </c>
      <c r="BQ130" s="677">
        <f>'[14]NUOS (t)'!AT135</f>
        <v>97.609685747815405</v>
      </c>
      <c r="BR130" s="736">
        <f t="shared" si="117"/>
        <v>-7.4049556798685412E-3</v>
      </c>
      <c r="BT130" s="137"/>
    </row>
    <row r="131" spans="3:72" x14ac:dyDescent="0.25">
      <c r="C131" s="223" t="s">
        <v>153</v>
      </c>
      <c r="D131" s="224"/>
      <c r="E131" s="224"/>
      <c r="G131" s="224"/>
      <c r="H131" s="224"/>
      <c r="I131" s="224"/>
      <c r="J131" s="224"/>
      <c r="K131" s="224"/>
      <c r="L131" s="224"/>
      <c r="M131" s="224"/>
      <c r="N131" s="224"/>
      <c r="O131" s="224"/>
      <c r="P131" s="224"/>
      <c r="Q131" s="224"/>
      <c r="R131" s="224"/>
      <c r="S131" s="224"/>
      <c r="T131" s="224"/>
      <c r="U131" s="224"/>
      <c r="V131" s="224"/>
      <c r="X131" s="225">
        <f t="shared" ref="X131:AM131" si="121">SUM(X68:X91)</f>
        <v>69715</v>
      </c>
      <c r="Y131" s="225">
        <f t="shared" si="121"/>
        <v>12500</v>
      </c>
      <c r="Z131" s="225">
        <f t="shared" si="121"/>
        <v>353600</v>
      </c>
      <c r="AA131" s="225">
        <f t="shared" si="121"/>
        <v>0</v>
      </c>
      <c r="AB131" s="225">
        <f t="shared" si="121"/>
        <v>377600</v>
      </c>
      <c r="AC131" s="225">
        <f t="shared" si="121"/>
        <v>0</v>
      </c>
      <c r="AD131" s="225">
        <f t="shared" si="121"/>
        <v>0</v>
      </c>
      <c r="AE131" s="225">
        <f t="shared" si="121"/>
        <v>0</v>
      </c>
      <c r="AF131" s="225">
        <f t="shared" si="121"/>
        <v>0</v>
      </c>
      <c r="AG131" s="225">
        <f t="shared" si="121"/>
        <v>546922</v>
      </c>
      <c r="AH131" s="225">
        <f t="shared" si="121"/>
        <v>449678</v>
      </c>
      <c r="AI131" s="225">
        <f t="shared" si="121"/>
        <v>1623520</v>
      </c>
      <c r="AJ131" s="225">
        <f t="shared" si="121"/>
        <v>62775255</v>
      </c>
      <c r="AK131" s="225">
        <f t="shared" si="121"/>
        <v>85346125</v>
      </c>
      <c r="AL131" s="225">
        <f t="shared" si="121"/>
        <v>0</v>
      </c>
      <c r="AM131" s="225">
        <f t="shared" si="121"/>
        <v>0</v>
      </c>
      <c r="AO131" s="225">
        <f t="shared" ref="AO131:BF131" si="122">SUM(AO68:AO91)</f>
        <v>4940.3345314999997</v>
      </c>
      <c r="AP131" s="225">
        <f t="shared" si="122"/>
        <v>942.50000000000011</v>
      </c>
      <c r="AQ131" s="225">
        <f t="shared" si="122"/>
        <v>13920.000000000002</v>
      </c>
      <c r="AR131" s="225">
        <f t="shared" si="122"/>
        <v>0</v>
      </c>
      <c r="AS131" s="225">
        <f t="shared" si="122"/>
        <v>9399.42</v>
      </c>
      <c r="AT131" s="225">
        <f t="shared" si="122"/>
        <v>0</v>
      </c>
      <c r="AU131" s="225">
        <f t="shared" si="122"/>
        <v>0</v>
      </c>
      <c r="AV131" s="225">
        <f t="shared" si="122"/>
        <v>0</v>
      </c>
      <c r="AW131" s="225">
        <f t="shared" si="122"/>
        <v>0</v>
      </c>
      <c r="AX131" s="225">
        <f t="shared" si="122"/>
        <v>425.94285359999998</v>
      </c>
      <c r="AY131" s="225">
        <f t="shared" si="122"/>
        <v>178.16242360000001</v>
      </c>
      <c r="AZ131" s="225">
        <f t="shared" si="122"/>
        <v>318.20992000000001</v>
      </c>
      <c r="BA131" s="225">
        <f t="shared" si="122"/>
        <v>12418.550855</v>
      </c>
      <c r="BB131" s="225">
        <f t="shared" si="122"/>
        <v>8841.8585500000008</v>
      </c>
      <c r="BC131" s="225">
        <f t="shared" si="122"/>
        <v>0</v>
      </c>
      <c r="BD131" s="225">
        <f t="shared" si="122"/>
        <v>0</v>
      </c>
      <c r="BE131" s="251">
        <f t="shared" si="122"/>
        <v>191</v>
      </c>
      <c r="BF131" s="252">
        <f t="shared" si="122"/>
        <v>743700</v>
      </c>
      <c r="BH131" s="225">
        <f t="shared" ref="BH131:BM131" si="123">BH68</f>
        <v>4940.3345314999997</v>
      </c>
      <c r="BI131" s="225">
        <f t="shared" si="123"/>
        <v>24261.920000000006</v>
      </c>
      <c r="BJ131" s="225">
        <f t="shared" si="123"/>
        <v>0</v>
      </c>
      <c r="BK131" s="225">
        <f t="shared" si="123"/>
        <v>22182.724602200004</v>
      </c>
      <c r="BL131" s="225">
        <f t="shared" si="123"/>
        <v>0</v>
      </c>
      <c r="BM131" s="225">
        <f t="shared" si="123"/>
        <v>51384.979133700006</v>
      </c>
      <c r="BN131" s="736">
        <f t="shared" si="116"/>
        <v>4.4572003500893402E-2</v>
      </c>
      <c r="BO131" s="732">
        <f t="shared" si="112"/>
        <v>69.093692528842283</v>
      </c>
      <c r="BQ131" s="677">
        <f>'[14]NUOS (t)'!AT136</f>
        <v>72.051715082964776</v>
      </c>
      <c r="BR131" s="736">
        <f t="shared" si="117"/>
        <v>-4.1054158817960706E-2</v>
      </c>
      <c r="BT131" s="137"/>
    </row>
    <row r="132" spans="3:72" x14ac:dyDescent="0.25">
      <c r="C132" s="223" t="s">
        <v>154</v>
      </c>
      <c r="D132" s="224"/>
      <c r="E132" s="224"/>
      <c r="G132" s="224"/>
      <c r="H132" s="224"/>
      <c r="I132" s="224"/>
      <c r="J132" s="224"/>
      <c r="K132" s="224"/>
      <c r="L132" s="224"/>
      <c r="M132" s="224"/>
      <c r="N132" s="224"/>
      <c r="O132" s="224"/>
      <c r="P132" s="224"/>
      <c r="Q132" s="224"/>
      <c r="R132" s="224"/>
      <c r="S132" s="224"/>
      <c r="T132" s="224"/>
      <c r="U132" s="224"/>
      <c r="V132" s="224"/>
      <c r="X132" s="225">
        <f t="shared" ref="X132:AM132" si="124">SUM(X92:X126)</f>
        <v>9855</v>
      </c>
      <c r="Y132" s="225">
        <f t="shared" si="124"/>
        <v>1194167.5054229998</v>
      </c>
      <c r="Z132" s="225">
        <f t="shared" si="124"/>
        <v>0</v>
      </c>
      <c r="AA132" s="225">
        <f t="shared" si="124"/>
        <v>0</v>
      </c>
      <c r="AB132" s="225">
        <f t="shared" si="124"/>
        <v>0</v>
      </c>
      <c r="AC132" s="225">
        <f t="shared" si="124"/>
        <v>0</v>
      </c>
      <c r="AD132" s="225">
        <f t="shared" si="124"/>
        <v>0</v>
      </c>
      <c r="AE132" s="225">
        <f t="shared" si="124"/>
        <v>0</v>
      </c>
      <c r="AF132" s="225">
        <f t="shared" si="124"/>
        <v>0</v>
      </c>
      <c r="AG132" s="225">
        <f t="shared" si="124"/>
        <v>0</v>
      </c>
      <c r="AH132" s="225">
        <f t="shared" si="124"/>
        <v>0</v>
      </c>
      <c r="AI132" s="225">
        <f t="shared" si="124"/>
        <v>0</v>
      </c>
      <c r="AJ132" s="225">
        <f t="shared" si="124"/>
        <v>90514331.184999987</v>
      </c>
      <c r="AK132" s="225">
        <f t="shared" si="124"/>
        <v>118491241.00499998</v>
      </c>
      <c r="AL132" s="225">
        <f t="shared" si="124"/>
        <v>0</v>
      </c>
      <c r="AM132" s="225">
        <f t="shared" si="124"/>
        <v>0</v>
      </c>
      <c r="AO132" s="225">
        <f t="shared" ref="AO132:BF132" si="125">SUM(AO92:AO126)</f>
        <v>11524.261800000002</v>
      </c>
      <c r="AP132" s="225">
        <f t="shared" si="125"/>
        <v>5342.8880047644998</v>
      </c>
      <c r="AQ132" s="225">
        <f t="shared" si="125"/>
        <v>0</v>
      </c>
      <c r="AR132" s="225">
        <f t="shared" si="125"/>
        <v>0</v>
      </c>
      <c r="AS132" s="225">
        <f t="shared" si="125"/>
        <v>0</v>
      </c>
      <c r="AT132" s="225">
        <f t="shared" si="125"/>
        <v>0</v>
      </c>
      <c r="AU132" s="225">
        <f t="shared" si="125"/>
        <v>0</v>
      </c>
      <c r="AV132" s="225">
        <f t="shared" si="125"/>
        <v>0</v>
      </c>
      <c r="AW132" s="225">
        <f t="shared" si="125"/>
        <v>0</v>
      </c>
      <c r="AX132" s="225">
        <f t="shared" si="125"/>
        <v>0</v>
      </c>
      <c r="AY132" s="225">
        <f t="shared" si="125"/>
        <v>0</v>
      </c>
      <c r="AZ132" s="225">
        <f t="shared" si="125"/>
        <v>0</v>
      </c>
      <c r="BA132" s="225">
        <f t="shared" si="125"/>
        <v>10862.020531765</v>
      </c>
      <c r="BB132" s="225">
        <f t="shared" si="125"/>
        <v>6324.1271738619998</v>
      </c>
      <c r="BC132" s="225">
        <f t="shared" si="125"/>
        <v>0</v>
      </c>
      <c r="BD132" s="225">
        <f t="shared" si="125"/>
        <v>0</v>
      </c>
      <c r="BE132" s="251">
        <f t="shared" si="125"/>
        <v>27</v>
      </c>
      <c r="BF132" s="252">
        <f t="shared" si="125"/>
        <v>1194167.5054229998</v>
      </c>
      <c r="BH132" s="225">
        <f t="shared" ref="BH132:BM132" si="126">BH92</f>
        <v>11524.261800000002</v>
      </c>
      <c r="BI132" s="225">
        <f t="shared" si="126"/>
        <v>5342.8880047644998</v>
      </c>
      <c r="BJ132" s="225">
        <f t="shared" si="126"/>
        <v>0</v>
      </c>
      <c r="BK132" s="225">
        <f t="shared" si="126"/>
        <v>17186.147705626998</v>
      </c>
      <c r="BL132" s="225">
        <f t="shared" si="126"/>
        <v>0</v>
      </c>
      <c r="BM132" s="225">
        <f t="shared" si="126"/>
        <v>34053.297510391494</v>
      </c>
      <c r="BN132" s="736">
        <f t="shared" si="116"/>
        <v>2.9538275998923082E-2</v>
      </c>
      <c r="BO132" s="732">
        <f t="shared" si="112"/>
        <v>28.516349135064669</v>
      </c>
      <c r="BQ132" s="677">
        <f>'[14]NUOS (t)'!AT137</f>
        <v>27.296410725554065</v>
      </c>
      <c r="BR132" s="736">
        <f t="shared" si="117"/>
        <v>4.4692264553615191E-2</v>
      </c>
      <c r="BT132" s="137"/>
    </row>
    <row r="133" spans="3:72" s="126" customFormat="1" ht="15.75" thickBot="1" x14ac:dyDescent="0.3">
      <c r="C133" s="226" t="s">
        <v>155</v>
      </c>
      <c r="D133" s="227"/>
      <c r="E133" s="227"/>
      <c r="G133" s="227"/>
      <c r="H133" s="227"/>
      <c r="I133" s="227"/>
      <c r="J133" s="227"/>
      <c r="K133" s="227"/>
      <c r="L133" s="227"/>
      <c r="M133" s="227"/>
      <c r="N133" s="227"/>
      <c r="O133" s="227"/>
      <c r="P133" s="227"/>
      <c r="Q133" s="227"/>
      <c r="R133" s="227"/>
      <c r="S133" s="227"/>
      <c r="T133" s="227"/>
      <c r="U133" s="227"/>
      <c r="V133" s="227"/>
      <c r="X133" s="228">
        <f t="shared" ref="X133:AL133" si="127">SUM(X128:X132)</f>
        <v>326980740</v>
      </c>
      <c r="Y133" s="228">
        <f t="shared" si="127"/>
        <v>4414267.5054230001</v>
      </c>
      <c r="Z133" s="228">
        <f t="shared" si="127"/>
        <v>2292900</v>
      </c>
      <c r="AA133" s="228">
        <f t="shared" si="127"/>
        <v>337000</v>
      </c>
      <c r="AB133" s="228">
        <f t="shared" si="127"/>
        <v>2172000</v>
      </c>
      <c r="AC133" s="228">
        <f t="shared" si="127"/>
        <v>367600</v>
      </c>
      <c r="AD133" s="228">
        <f t="shared" si="127"/>
        <v>0</v>
      </c>
      <c r="AE133" s="228">
        <f t="shared" si="127"/>
        <v>87500</v>
      </c>
      <c r="AF133" s="228">
        <f t="shared" si="127"/>
        <v>21900</v>
      </c>
      <c r="AG133" s="228">
        <f t="shared" si="127"/>
        <v>4307728</v>
      </c>
      <c r="AH133" s="228">
        <f t="shared" si="127"/>
        <v>7657663</v>
      </c>
      <c r="AI133" s="228">
        <f t="shared" si="127"/>
        <v>17848500</v>
      </c>
      <c r="AJ133" s="228">
        <f t="shared" si="127"/>
        <v>392051051.185</v>
      </c>
      <c r="AK133" s="228">
        <f t="shared" si="127"/>
        <v>587691806.005</v>
      </c>
      <c r="AL133" s="228">
        <f t="shared" si="127"/>
        <v>1752000</v>
      </c>
      <c r="AM133" s="228">
        <f>SUM(AM128:AM132)</f>
        <v>0</v>
      </c>
      <c r="AO133" s="228">
        <f>SUM(AO128:AO132)</f>
        <v>180866.33799900004</v>
      </c>
      <c r="AP133" s="228">
        <f t="shared" ref="AP133:BD133" si="128">SUM(AP128:AP132)</f>
        <v>442102.08800476452</v>
      </c>
      <c r="AQ133" s="228">
        <f t="shared" si="128"/>
        <v>203173.66000000003</v>
      </c>
      <c r="AR133" s="228">
        <f t="shared" si="128"/>
        <v>45508.159999999996</v>
      </c>
      <c r="AS133" s="228">
        <f t="shared" si="128"/>
        <v>99163.249999999985</v>
      </c>
      <c r="AT133" s="228">
        <f t="shared" si="128"/>
        <v>25379.4</v>
      </c>
      <c r="AU133" s="228">
        <f t="shared" si="128"/>
        <v>0</v>
      </c>
      <c r="AV133" s="228">
        <f t="shared" si="128"/>
        <v>6037.5000000000009</v>
      </c>
      <c r="AW133" s="228">
        <f t="shared" si="128"/>
        <v>755.55000000000007</v>
      </c>
      <c r="AX133" s="228">
        <f t="shared" si="128"/>
        <v>3879.4910033999995</v>
      </c>
      <c r="AY133" s="228">
        <f t="shared" si="128"/>
        <v>3033.9660805999993</v>
      </c>
      <c r="AZ133" s="228">
        <f t="shared" si="128"/>
        <v>3498.3059999999996</v>
      </c>
      <c r="BA133" s="228">
        <f t="shared" si="128"/>
        <v>83758.850471264988</v>
      </c>
      <c r="BB133" s="228">
        <f t="shared" si="128"/>
        <v>54354.484108862001</v>
      </c>
      <c r="BC133" s="228">
        <f t="shared" si="128"/>
        <v>1342.2072000000001</v>
      </c>
      <c r="BD133" s="228">
        <f t="shared" si="128"/>
        <v>0</v>
      </c>
      <c r="BE133" s="245">
        <f>SUM(BE128:BE132)</f>
        <v>895837.64383561641</v>
      </c>
      <c r="BF133" s="246">
        <f>SUM(BF128:BF132)</f>
        <v>9693167.5054230001</v>
      </c>
      <c r="BH133" s="228">
        <f>SUM(BH128:BH132)</f>
        <v>180866.33799900004</v>
      </c>
      <c r="BI133" s="228">
        <f t="shared" ref="BI133:BM133" si="129">SUM(BI128:BI132)</f>
        <v>789947.15800476435</v>
      </c>
      <c r="BJ133" s="228">
        <f t="shared" si="129"/>
        <v>32172.450000000004</v>
      </c>
      <c r="BK133" s="228">
        <f t="shared" si="129"/>
        <v>148525.09766412698</v>
      </c>
      <c r="BL133" s="228">
        <f t="shared" si="129"/>
        <v>1342.2072000000001</v>
      </c>
      <c r="BM133" s="228">
        <f t="shared" si="129"/>
        <v>1152853.2508678916</v>
      </c>
      <c r="BN133" s="736">
        <f t="shared" si="116"/>
        <v>1</v>
      </c>
      <c r="BO133" s="733">
        <f t="shared" si="112"/>
        <v>118.93462588188113</v>
      </c>
      <c r="BQ133" s="677">
        <f>'[14]NUOS (t)'!AT138</f>
        <v>121.11818256028208</v>
      </c>
      <c r="BR133" s="736">
        <f t="shared" si="117"/>
        <v>-1.8028314430115877E-2</v>
      </c>
      <c r="BS133" s="128"/>
      <c r="BT133" s="137"/>
    </row>
    <row r="134" spans="3:72" x14ac:dyDescent="0.25">
      <c r="C134" s="222"/>
      <c r="D134" s="222"/>
      <c r="K134" s="136"/>
      <c r="L134" s="136"/>
      <c r="M134" s="136"/>
      <c r="N134" s="136"/>
      <c r="O134" s="136"/>
      <c r="P134" s="136"/>
      <c r="Q134" s="136"/>
      <c r="R134" s="136"/>
      <c r="S134" s="136"/>
      <c r="T134" s="136"/>
      <c r="U134" s="136"/>
      <c r="V134" s="136"/>
      <c r="AB134" s="136"/>
      <c r="AC134" s="136"/>
      <c r="AD134" s="136"/>
      <c r="AE134" s="136"/>
      <c r="AF134" s="136"/>
      <c r="AG134" s="136"/>
      <c r="AH134" s="136"/>
      <c r="AI134" s="136"/>
      <c r="AJ134" s="136"/>
      <c r="AK134" s="136"/>
      <c r="AL134" s="136"/>
      <c r="AM134" s="136"/>
      <c r="AS134" s="136"/>
      <c r="AT134" s="136"/>
      <c r="AU134" s="136"/>
      <c r="AV134" s="136"/>
      <c r="AW134" s="136"/>
      <c r="AX134" s="136"/>
      <c r="AY134" s="136"/>
      <c r="AZ134" s="136"/>
      <c r="BA134" s="136"/>
      <c r="BB134" s="136"/>
      <c r="BC134" s="136"/>
      <c r="BD134" s="136"/>
      <c r="BE134" s="257"/>
      <c r="BF134" s="257"/>
      <c r="BN134" s="736"/>
      <c r="BO134" s="731"/>
      <c r="BR134" s="736"/>
    </row>
    <row r="135" spans="3:72" x14ac:dyDescent="0.25">
      <c r="C135" s="223" t="s">
        <v>617</v>
      </c>
      <c r="D135" s="224"/>
      <c r="J135" s="136"/>
      <c r="K135" s="136"/>
      <c r="L135" s="136"/>
      <c r="M135" s="136"/>
      <c r="N135" s="136"/>
      <c r="O135" s="136"/>
      <c r="P135" s="136"/>
      <c r="Q135" s="136"/>
      <c r="R135" s="136"/>
      <c r="S135" s="136"/>
      <c r="T135" s="136"/>
      <c r="U135" s="136"/>
      <c r="AB135" s="136"/>
      <c r="AC135" s="136"/>
      <c r="AD135" s="136"/>
      <c r="AE135" s="136"/>
      <c r="AF135" s="136"/>
      <c r="AG135" s="136"/>
      <c r="AH135" s="136"/>
      <c r="AI135" s="136"/>
      <c r="AJ135" s="136"/>
      <c r="AK135" s="136"/>
      <c r="AL135" s="136"/>
      <c r="AS135" s="136"/>
      <c r="AT135" s="136"/>
      <c r="AU135" s="136"/>
      <c r="AV135" s="136"/>
      <c r="AW135" s="136"/>
      <c r="AX135" s="136"/>
      <c r="AY135" s="136"/>
      <c r="AZ135" s="136"/>
      <c r="BA135" s="136"/>
      <c r="BB135" s="136"/>
      <c r="BC135" s="136"/>
      <c r="BD135" s="136"/>
      <c r="BE135" s="257"/>
      <c r="BF135" s="252">
        <f>BF128-BF136</f>
        <v>3187000</v>
      </c>
      <c r="BH135" s="225">
        <f>BH128</f>
        <v>135743.61300400001</v>
      </c>
      <c r="BI135" s="225">
        <f>BI128</f>
        <v>435547.83999999997</v>
      </c>
      <c r="BJ135" s="225"/>
      <c r="BK135" s="225">
        <f>BK128</f>
        <v>0</v>
      </c>
      <c r="BL135" s="225">
        <f>BL128</f>
        <v>1342.2072000000001</v>
      </c>
      <c r="BM135" s="225">
        <f>SUM(BH135:BL135)</f>
        <v>572633.66020399996</v>
      </c>
      <c r="BN135" s="736">
        <f t="shared" ref="BN135:BN136" si="130">BM135/$BM$133</f>
        <v>0.49670993231177479</v>
      </c>
      <c r="BO135" s="732">
        <f>BM135*1000/BF135</f>
        <v>179.6779605283966</v>
      </c>
      <c r="BQ135" s="677">
        <f>'[14]NUOS (t)'!AT131</f>
        <v>184.77974696924755</v>
      </c>
      <c r="BR135" s="736">
        <f t="shared" si="117"/>
        <v>-2.7610095394816403E-2</v>
      </c>
    </row>
    <row r="136" spans="3:72" x14ac:dyDescent="0.25">
      <c r="C136" s="223" t="s">
        <v>616</v>
      </c>
      <c r="D136" s="224"/>
      <c r="J136" s="136"/>
      <c r="K136" s="136"/>
      <c r="L136" s="136"/>
      <c r="M136" s="136"/>
      <c r="N136" s="136"/>
      <c r="O136" s="136"/>
      <c r="P136" s="136"/>
      <c r="Q136" s="136"/>
      <c r="R136" s="136"/>
      <c r="S136" s="136"/>
      <c r="T136" s="136"/>
      <c r="U136" s="136"/>
      <c r="AB136" s="136"/>
      <c r="AC136" s="136"/>
      <c r="AD136" s="136"/>
      <c r="AE136" s="136"/>
      <c r="AF136" s="136"/>
      <c r="AG136" s="136"/>
      <c r="AH136" s="136"/>
      <c r="AI136" s="136"/>
      <c r="AJ136" s="136"/>
      <c r="AK136" s="136"/>
      <c r="AL136" s="136"/>
      <c r="AS136" s="136"/>
      <c r="AT136" s="136"/>
      <c r="AU136" s="136"/>
      <c r="AV136" s="136"/>
      <c r="AW136" s="136"/>
      <c r="AX136" s="136"/>
      <c r="AY136" s="136"/>
      <c r="AZ136" s="136"/>
      <c r="BA136" s="136"/>
      <c r="BB136" s="136"/>
      <c r="BC136" s="136"/>
      <c r="BD136" s="136"/>
      <c r="BE136" s="257"/>
      <c r="BF136" s="252">
        <f>SUM(AC16:AF25)</f>
        <v>471000</v>
      </c>
      <c r="BH136" s="225"/>
      <c r="BI136" s="225"/>
      <c r="BJ136" s="225">
        <f>BJ128</f>
        <v>31743.450000000004</v>
      </c>
      <c r="BK136" s="225"/>
      <c r="BL136" s="225"/>
      <c r="BM136" s="225">
        <f>SUM(BH136:BL136)</f>
        <v>31743.450000000004</v>
      </c>
      <c r="BN136" s="736">
        <f t="shared" si="130"/>
        <v>2.7534684033811662E-2</v>
      </c>
      <c r="BO136" s="732">
        <f>BM136*1000/BF136</f>
        <v>67.395859872611467</v>
      </c>
      <c r="BQ136" s="677">
        <f>'[14]NUOS (t)'!AT132</f>
        <v>73.400000000000006</v>
      </c>
      <c r="BR136" s="736">
        <f t="shared" si="117"/>
        <v>-8.180027421510272E-2</v>
      </c>
    </row>
    <row r="137" spans="3:72" x14ac:dyDescent="0.25">
      <c r="J137" s="136"/>
      <c r="K137" s="136"/>
      <c r="L137" s="136"/>
      <c r="M137" s="136"/>
      <c r="N137" s="136"/>
      <c r="O137" s="136"/>
      <c r="P137" s="136"/>
      <c r="Q137" s="136"/>
      <c r="R137" s="136"/>
      <c r="S137" s="136"/>
      <c r="T137" s="136"/>
      <c r="U137" s="136"/>
      <c r="AB137" s="136"/>
      <c r="AC137" s="136"/>
      <c r="AD137" s="136"/>
      <c r="AE137" s="136"/>
      <c r="AF137" s="136"/>
      <c r="AG137" s="136"/>
      <c r="AH137" s="136"/>
      <c r="AI137" s="136"/>
      <c r="AJ137" s="136"/>
      <c r="AK137" s="136"/>
      <c r="AL137" s="136"/>
      <c r="AS137" s="136"/>
      <c r="AT137" s="136"/>
      <c r="AU137" s="136"/>
      <c r="AV137" s="136"/>
      <c r="AW137" s="136"/>
      <c r="AX137" s="136"/>
      <c r="AY137" s="136"/>
      <c r="AZ137" s="136"/>
      <c r="BA137" s="136"/>
      <c r="BB137" s="136"/>
      <c r="BC137" s="136"/>
      <c r="BD137" s="136"/>
      <c r="BE137" s="257"/>
      <c r="BF137" s="734"/>
      <c r="BH137" s="225"/>
      <c r="BI137" s="225"/>
      <c r="BJ137" s="225"/>
      <c r="BK137" s="225"/>
      <c r="BL137" s="225"/>
      <c r="BM137" s="225"/>
      <c r="BN137" s="736"/>
      <c r="BO137" s="732"/>
    </row>
    <row r="138" spans="3:72" x14ac:dyDescent="0.25">
      <c r="J138" s="136"/>
      <c r="K138" s="136"/>
      <c r="L138" s="136"/>
      <c r="M138" s="136"/>
      <c r="N138" s="136"/>
      <c r="O138" s="136"/>
      <c r="P138" s="136"/>
      <c r="Q138" s="136"/>
      <c r="R138" s="136"/>
      <c r="S138" s="136"/>
      <c r="T138" s="136"/>
      <c r="U138" s="136"/>
      <c r="AB138" s="136"/>
      <c r="AC138" s="136"/>
      <c r="AD138" s="136"/>
      <c r="AE138" s="136"/>
      <c r="AF138" s="136"/>
      <c r="AG138" s="136"/>
      <c r="AH138" s="136"/>
      <c r="AI138" s="136"/>
      <c r="AJ138" s="136"/>
      <c r="AK138" s="136"/>
      <c r="AL138" s="136"/>
      <c r="AS138" s="136"/>
      <c r="AT138" s="136"/>
      <c r="AU138" s="136"/>
      <c r="AV138" s="136"/>
      <c r="AW138" s="136"/>
      <c r="AX138" s="136"/>
      <c r="AY138" s="136"/>
      <c r="AZ138" s="136"/>
      <c r="BA138" s="136"/>
      <c r="BB138" s="136"/>
      <c r="BC138" s="136"/>
      <c r="BD138" s="136"/>
      <c r="BE138" s="257"/>
    </row>
    <row r="139" spans="3:72" x14ac:dyDescent="0.25">
      <c r="E139" s="229" t="s">
        <v>197</v>
      </c>
      <c r="F139" s="229"/>
      <c r="G139" s="230" t="s">
        <v>156</v>
      </c>
      <c r="H139" s="230" t="s">
        <v>157</v>
      </c>
      <c r="I139" s="230" t="s">
        <v>155</v>
      </c>
      <c r="J139" s="136"/>
      <c r="K139" s="136"/>
      <c r="L139" s="136"/>
      <c r="M139" s="136"/>
      <c r="N139" s="136"/>
      <c r="O139" s="136"/>
      <c r="P139" s="136"/>
      <c r="Q139" s="136"/>
      <c r="R139" s="136"/>
      <c r="S139" s="136"/>
      <c r="T139" s="136"/>
      <c r="U139" s="136"/>
      <c r="AB139" s="136"/>
      <c r="AC139" s="136"/>
      <c r="AD139" s="136"/>
      <c r="AE139" s="136"/>
      <c r="AF139" s="136"/>
      <c r="AG139" s="136"/>
      <c r="AH139" s="136"/>
      <c r="AI139" s="136"/>
      <c r="AJ139" s="136"/>
      <c r="AK139" s="136"/>
      <c r="AL139" s="136"/>
      <c r="AS139" s="136"/>
      <c r="AT139" s="136"/>
      <c r="AU139" s="136"/>
      <c r="AV139" s="136"/>
      <c r="AW139" s="136"/>
      <c r="AX139" s="136"/>
      <c r="AY139" s="136"/>
      <c r="AZ139" s="136"/>
      <c r="BA139" s="136"/>
      <c r="BB139" s="136"/>
      <c r="BC139" s="136"/>
      <c r="BD139" s="136"/>
      <c r="BE139" s="257"/>
    </row>
    <row r="140" spans="3:72" x14ac:dyDescent="0.25">
      <c r="E140" s="231"/>
      <c r="F140" s="231"/>
      <c r="G140" s="231"/>
      <c r="H140" s="231"/>
      <c r="I140" s="231"/>
      <c r="J140" s="136"/>
      <c r="K140" s="136"/>
      <c r="L140" s="136"/>
      <c r="M140" s="136"/>
      <c r="N140" s="136"/>
      <c r="O140" s="136"/>
      <c r="P140" s="136"/>
      <c r="Q140" s="136"/>
      <c r="R140" s="136"/>
      <c r="S140" s="136"/>
      <c r="T140" s="136"/>
      <c r="U140" s="136"/>
      <c r="AB140" s="136"/>
      <c r="AC140" s="136"/>
      <c r="AD140" s="136"/>
      <c r="AE140" s="136"/>
      <c r="AF140" s="136"/>
      <c r="AG140" s="136"/>
      <c r="AH140" s="136"/>
      <c r="AI140" s="136"/>
      <c r="AJ140" s="136"/>
      <c r="AK140" s="136"/>
      <c r="AL140" s="136"/>
      <c r="AS140" s="136"/>
      <c r="AT140" s="136"/>
      <c r="AU140" s="136"/>
      <c r="AV140" s="136"/>
      <c r="AW140" s="136"/>
      <c r="AX140" s="136"/>
      <c r="AY140" s="136"/>
      <c r="AZ140" s="136"/>
      <c r="BA140" s="136"/>
      <c r="BB140" s="136"/>
      <c r="BC140" s="136"/>
      <c r="BD140" s="136"/>
      <c r="BE140" s="257"/>
    </row>
    <row r="141" spans="3:72" x14ac:dyDescent="0.25">
      <c r="E141" s="231" t="s">
        <v>45</v>
      </c>
      <c r="F141" s="231"/>
      <c r="G141" s="232">
        <f>SUM(AO18:AO19,AX18:BD19)</f>
        <v>113097.858655</v>
      </c>
      <c r="H141" s="232">
        <f>SUM(AP18:AS19)</f>
        <v>366244.83999999997</v>
      </c>
      <c r="I141" s="232">
        <f>SUM(G141:H141)</f>
        <v>479342.69865499996</v>
      </c>
      <c r="J141" s="136"/>
      <c r="K141" s="136"/>
      <c r="L141" s="136"/>
      <c r="M141" s="136"/>
      <c r="N141" s="136"/>
      <c r="O141" s="136"/>
      <c r="P141" s="136"/>
      <c r="Q141" s="136"/>
      <c r="R141" s="136"/>
      <c r="S141" s="136"/>
      <c r="T141" s="136"/>
      <c r="U141" s="136"/>
      <c r="AB141" s="136"/>
      <c r="AC141" s="136"/>
      <c r="AD141" s="136"/>
      <c r="AE141" s="136"/>
      <c r="AF141" s="136"/>
      <c r="AG141" s="136"/>
      <c r="AH141" s="136"/>
      <c r="AI141" s="136"/>
      <c r="AJ141" s="136"/>
      <c r="AK141" s="136"/>
      <c r="AL141" s="136"/>
      <c r="AS141" s="136"/>
      <c r="AT141" s="136"/>
      <c r="AU141" s="136"/>
      <c r="AV141" s="136"/>
      <c r="AW141" s="136"/>
      <c r="AX141" s="136"/>
      <c r="AY141" s="136"/>
      <c r="AZ141" s="136"/>
      <c r="BA141" s="136"/>
      <c r="BB141" s="136"/>
      <c r="BC141" s="136"/>
      <c r="BD141" s="136"/>
      <c r="BE141" s="257"/>
    </row>
    <row r="142" spans="3:72" x14ac:dyDescent="0.25">
      <c r="E142" s="231" t="s">
        <v>158</v>
      </c>
      <c r="F142" s="231"/>
      <c r="G142" s="232">
        <f>SUM(AO22:AO23,AX22:BD23)</f>
        <v>21965.686349</v>
      </c>
      <c r="H142" s="232">
        <f>SUM(AP22:AS23)</f>
        <v>69026.080000000002</v>
      </c>
      <c r="I142" s="232">
        <f t="shared" ref="I142:I160" si="131">SUM(G142:H142)</f>
        <v>90991.766348999998</v>
      </c>
      <c r="J142" s="136"/>
      <c r="K142" s="136"/>
      <c r="L142" s="136"/>
      <c r="M142" s="136"/>
      <c r="N142" s="136"/>
      <c r="O142" s="136"/>
      <c r="P142" s="136"/>
      <c r="Q142" s="136"/>
      <c r="R142" s="136"/>
      <c r="S142" s="136"/>
      <c r="T142" s="136"/>
      <c r="U142" s="136"/>
      <c r="AB142" s="136"/>
      <c r="AC142" s="136"/>
      <c r="AD142" s="136"/>
      <c r="AE142" s="136"/>
      <c r="AF142" s="136"/>
      <c r="AG142" s="136"/>
      <c r="AH142" s="136"/>
      <c r="AI142" s="136"/>
      <c r="AJ142" s="136"/>
      <c r="AK142" s="136"/>
      <c r="AL142" s="136"/>
      <c r="AS142" s="136"/>
      <c r="AT142" s="136"/>
      <c r="AU142" s="136"/>
      <c r="AV142" s="136"/>
      <c r="AW142" s="136"/>
      <c r="AX142" s="136"/>
      <c r="AY142" s="136"/>
      <c r="AZ142" s="136"/>
      <c r="BA142" s="136"/>
      <c r="BB142" s="136"/>
      <c r="BC142" s="136"/>
      <c r="BD142" s="136"/>
      <c r="BE142" s="257"/>
    </row>
    <row r="143" spans="3:72" x14ac:dyDescent="0.25">
      <c r="E143" s="231" t="s">
        <v>54</v>
      </c>
      <c r="F143" s="231"/>
      <c r="G143" s="232">
        <f>SUM(AO24:AO25,AX24:BD25)</f>
        <v>2022.2752</v>
      </c>
      <c r="H143" s="232">
        <f>SUM(AP24:AS25)</f>
        <v>276.92</v>
      </c>
      <c r="I143" s="232">
        <f t="shared" si="131"/>
        <v>2299.1952000000001</v>
      </c>
      <c r="J143" s="136"/>
      <c r="K143" s="136"/>
      <c r="L143" s="136"/>
      <c r="M143" s="136"/>
      <c r="N143" s="136"/>
      <c r="O143" s="136"/>
      <c r="P143" s="136"/>
      <c r="Q143" s="136"/>
      <c r="R143" s="136"/>
      <c r="S143" s="136"/>
      <c r="T143" s="136"/>
      <c r="U143" s="136"/>
      <c r="AB143" s="136"/>
      <c r="AC143" s="136"/>
      <c r="AD143" s="136"/>
      <c r="AE143" s="136"/>
      <c r="AF143" s="136"/>
      <c r="AG143" s="136"/>
      <c r="AH143" s="136"/>
      <c r="AI143" s="136"/>
      <c r="AJ143" s="136"/>
      <c r="AK143" s="136"/>
      <c r="AL143" s="136"/>
      <c r="AS143" s="136"/>
      <c r="AT143" s="136"/>
      <c r="AU143" s="136"/>
      <c r="AV143" s="136"/>
      <c r="AW143" s="136"/>
      <c r="AX143" s="136"/>
      <c r="AY143" s="136"/>
      <c r="AZ143" s="136"/>
      <c r="BA143" s="136"/>
      <c r="BB143" s="136"/>
      <c r="BC143" s="136"/>
      <c r="BD143" s="136"/>
      <c r="BE143" s="257"/>
    </row>
    <row r="144" spans="3:72" x14ac:dyDescent="0.25">
      <c r="E144" s="231" t="s">
        <v>159</v>
      </c>
      <c r="F144" s="231"/>
      <c r="G144" s="232"/>
      <c r="H144" s="232">
        <f>SUM(AT16:AW126)-H145</f>
        <v>25379.4</v>
      </c>
      <c r="I144" s="232">
        <f t="shared" si="131"/>
        <v>25379.4</v>
      </c>
      <c r="J144" s="136"/>
      <c r="K144" s="136"/>
      <c r="L144" s="136"/>
      <c r="M144" s="136"/>
      <c r="N144" s="136"/>
      <c r="O144" s="136"/>
      <c r="P144" s="136"/>
      <c r="Q144" s="136"/>
      <c r="R144" s="136"/>
      <c r="S144" s="136"/>
      <c r="T144" s="136"/>
      <c r="U144" s="136"/>
      <c r="AB144" s="136"/>
      <c r="AC144" s="136"/>
      <c r="AD144" s="136"/>
      <c r="AE144" s="136"/>
      <c r="AF144" s="136"/>
      <c r="AG144" s="136"/>
      <c r="AH144" s="136"/>
      <c r="AI144" s="136"/>
      <c r="AJ144" s="136"/>
      <c r="AK144" s="136"/>
      <c r="AL144" s="136"/>
      <c r="AS144" s="136"/>
      <c r="AT144" s="136"/>
      <c r="AU144" s="136"/>
      <c r="AV144" s="136"/>
      <c r="AW144" s="136"/>
      <c r="AX144" s="136"/>
      <c r="AY144" s="136"/>
      <c r="AZ144" s="136"/>
      <c r="BA144" s="136"/>
      <c r="BB144" s="136"/>
      <c r="BC144" s="136"/>
      <c r="BD144" s="136"/>
      <c r="BE144" s="257"/>
    </row>
    <row r="145" spans="3:57" x14ac:dyDescent="0.25">
      <c r="E145" s="231" t="s">
        <v>160</v>
      </c>
      <c r="F145" s="231"/>
      <c r="G145" s="232"/>
      <c r="H145" s="232">
        <f>SUM(AT22:AW25,AT37:AW38,AT47:AW51)</f>
        <v>6793.0500000000011</v>
      </c>
      <c r="I145" s="232">
        <f t="shared" si="131"/>
        <v>6793.0500000000011</v>
      </c>
      <c r="J145" s="136"/>
      <c r="K145" s="136"/>
      <c r="L145" s="136"/>
      <c r="M145" s="136"/>
      <c r="N145" s="136"/>
      <c r="O145" s="136"/>
      <c r="P145" s="136"/>
      <c r="Q145" s="136"/>
      <c r="R145" s="136"/>
      <c r="S145" s="136"/>
      <c r="T145" s="136"/>
      <c r="U145" s="136"/>
      <c r="AB145" s="136"/>
      <c r="AC145" s="136"/>
      <c r="AD145" s="136"/>
      <c r="AE145" s="136"/>
      <c r="AF145" s="136"/>
      <c r="AG145" s="136"/>
      <c r="AH145" s="136"/>
      <c r="AI145" s="136"/>
      <c r="AJ145" s="136"/>
      <c r="AK145" s="136"/>
      <c r="AL145" s="136"/>
      <c r="AS145" s="136"/>
      <c r="AT145" s="136"/>
      <c r="AU145" s="136"/>
      <c r="AV145" s="136"/>
      <c r="AW145" s="136"/>
      <c r="AX145" s="136"/>
      <c r="AY145" s="136"/>
      <c r="AZ145" s="136"/>
      <c r="BA145" s="136"/>
      <c r="BB145" s="136"/>
      <c r="BC145" s="136"/>
      <c r="BD145" s="136"/>
      <c r="BE145" s="257"/>
    </row>
    <row r="146" spans="3:57" x14ac:dyDescent="0.25">
      <c r="E146" s="231" t="s">
        <v>161</v>
      </c>
      <c r="F146" s="231"/>
      <c r="G146" s="232">
        <f>SUM(AO28:AO29,AX28:BD29)</f>
        <v>0</v>
      </c>
      <c r="H146" s="232">
        <f>SUM(AP28:AS29)</f>
        <v>10824</v>
      </c>
      <c r="I146" s="232">
        <f t="shared" si="131"/>
        <v>10824</v>
      </c>
      <c r="J146" s="136"/>
      <c r="K146" s="136"/>
      <c r="L146" s="136"/>
      <c r="M146" s="136"/>
      <c r="N146" s="136"/>
      <c r="O146" s="136"/>
      <c r="P146" s="136"/>
      <c r="Q146" s="136"/>
      <c r="R146" s="136"/>
      <c r="S146" s="136"/>
      <c r="T146" s="136"/>
      <c r="U146" s="136"/>
      <c r="AB146" s="136"/>
      <c r="AC146" s="136"/>
      <c r="AD146" s="136"/>
      <c r="AE146" s="136"/>
      <c r="AF146" s="136"/>
      <c r="AG146" s="136"/>
      <c r="AH146" s="136"/>
      <c r="AI146" s="136"/>
      <c r="AJ146" s="136"/>
      <c r="AK146" s="136"/>
      <c r="AL146" s="136"/>
      <c r="AS146" s="136"/>
      <c r="AT146" s="136"/>
      <c r="AU146" s="136"/>
      <c r="AV146" s="136"/>
      <c r="AW146" s="136"/>
      <c r="AX146" s="136"/>
      <c r="AY146" s="136"/>
      <c r="AZ146" s="136"/>
      <c r="BA146" s="136"/>
      <c r="BB146" s="136"/>
      <c r="BC146" s="136"/>
      <c r="BD146" s="136"/>
      <c r="BE146" s="257"/>
    </row>
    <row r="147" spans="3:57" x14ac:dyDescent="0.25">
      <c r="E147" s="231" t="s">
        <v>162</v>
      </c>
      <c r="F147" s="231"/>
      <c r="G147" s="232">
        <f>SUM(AO31:AO35,AO42:AO45,AX31:BD35,AX42:BD45)</f>
        <v>12997.139400000002</v>
      </c>
      <c r="H147" s="232">
        <f>SUM(AP31:AS35,AP42:AS45)</f>
        <v>93138.500000000015</v>
      </c>
      <c r="I147" s="232">
        <f t="shared" si="131"/>
        <v>106135.63940000001</v>
      </c>
      <c r="J147" s="136"/>
      <c r="K147" s="136"/>
      <c r="L147" s="136"/>
      <c r="M147" s="136"/>
      <c r="N147" s="136"/>
      <c r="O147" s="136"/>
      <c r="P147" s="136"/>
      <c r="Q147" s="136"/>
      <c r="R147" s="136"/>
      <c r="S147" s="136"/>
      <c r="T147" s="136"/>
      <c r="U147" s="136"/>
      <c r="AB147" s="136"/>
      <c r="AC147" s="136"/>
      <c r="AD147" s="136"/>
      <c r="AE147" s="136"/>
      <c r="AF147" s="136"/>
      <c r="AG147" s="136"/>
      <c r="AH147" s="136"/>
      <c r="AI147" s="136"/>
      <c r="AJ147" s="136"/>
      <c r="AK147" s="136"/>
      <c r="AL147" s="136"/>
      <c r="AS147" s="136"/>
      <c r="AT147" s="136"/>
      <c r="AU147" s="136"/>
      <c r="AV147" s="136"/>
      <c r="AW147" s="136"/>
      <c r="AX147" s="136"/>
      <c r="AY147" s="136"/>
      <c r="AZ147" s="136"/>
      <c r="BA147" s="136"/>
      <c r="BB147" s="136"/>
      <c r="BC147" s="136"/>
      <c r="BD147" s="136"/>
      <c r="BE147" s="257"/>
    </row>
    <row r="148" spans="3:57" x14ac:dyDescent="0.25">
      <c r="E148" s="231" t="s">
        <v>163</v>
      </c>
      <c r="F148" s="231"/>
      <c r="G148" s="232">
        <f>SUM(AO37:AO37,AX37:BD37)</f>
        <v>3707.0392800000004</v>
      </c>
      <c r="H148" s="232">
        <f>SUM(AP37:AS37)</f>
        <v>60697.52</v>
      </c>
      <c r="I148" s="232">
        <f t="shared" si="131"/>
        <v>64404.559279999994</v>
      </c>
      <c r="J148" s="136"/>
      <c r="K148" s="136"/>
      <c r="L148" s="136"/>
      <c r="M148" s="136"/>
      <c r="N148" s="136"/>
      <c r="O148" s="136"/>
      <c r="P148" s="136"/>
      <c r="Q148" s="136"/>
      <c r="R148" s="136"/>
      <c r="S148" s="136"/>
      <c r="T148" s="136"/>
      <c r="U148" s="136"/>
      <c r="AB148" s="136"/>
      <c r="AC148" s="136"/>
      <c r="AD148" s="136"/>
      <c r="AE148" s="136"/>
      <c r="AF148" s="136"/>
      <c r="AG148" s="136"/>
      <c r="AH148" s="136"/>
      <c r="AI148" s="136"/>
      <c r="AJ148" s="136"/>
      <c r="AK148" s="136"/>
      <c r="AL148" s="136"/>
      <c r="AS148" s="136"/>
      <c r="AT148" s="136"/>
      <c r="AU148" s="136"/>
      <c r="AV148" s="136"/>
      <c r="AW148" s="136"/>
      <c r="AX148" s="136"/>
      <c r="AY148" s="136"/>
      <c r="AZ148" s="136"/>
      <c r="BA148" s="136"/>
      <c r="BB148" s="136"/>
      <c r="BC148" s="136"/>
      <c r="BD148" s="136"/>
      <c r="BE148" s="257"/>
    </row>
    <row r="149" spans="3:57" x14ac:dyDescent="0.25">
      <c r="E149" s="231" t="s">
        <v>164</v>
      </c>
      <c r="F149" s="231"/>
      <c r="G149" s="232">
        <f>SUM(AO38:AO38,AX38:BD38)</f>
        <v>2392.6045650000001</v>
      </c>
      <c r="H149" s="232">
        <f>SUM(AP38:AS38)</f>
        <v>7298.41</v>
      </c>
      <c r="I149" s="232">
        <f t="shared" si="131"/>
        <v>9691.0145649999995</v>
      </c>
      <c r="J149" s="136"/>
      <c r="K149" s="136"/>
      <c r="L149" s="136"/>
      <c r="M149" s="136"/>
      <c r="N149" s="136"/>
      <c r="O149" s="136"/>
      <c r="P149" s="136"/>
      <c r="Q149" s="136"/>
      <c r="R149" s="136"/>
      <c r="S149" s="136"/>
      <c r="T149" s="136"/>
      <c r="U149" s="136"/>
      <c r="AB149" s="136"/>
      <c r="AC149" s="136"/>
      <c r="AD149" s="136"/>
      <c r="AE149" s="136"/>
      <c r="AF149" s="136"/>
      <c r="AG149" s="136"/>
      <c r="AH149" s="136"/>
      <c r="AI149" s="136"/>
      <c r="AJ149" s="136"/>
      <c r="AK149" s="136"/>
      <c r="AL149" s="136"/>
      <c r="AS149" s="136"/>
      <c r="AT149" s="136"/>
      <c r="AU149" s="136"/>
      <c r="AV149" s="136"/>
      <c r="AW149" s="136"/>
      <c r="AX149" s="136"/>
      <c r="AY149" s="136"/>
      <c r="AZ149" s="136"/>
      <c r="BA149" s="136"/>
      <c r="BB149" s="136"/>
      <c r="BC149" s="136"/>
      <c r="BD149" s="136"/>
      <c r="BE149" s="257"/>
    </row>
    <row r="150" spans="3:57" x14ac:dyDescent="0.25">
      <c r="E150" s="231" t="s">
        <v>165</v>
      </c>
      <c r="F150" s="231"/>
      <c r="G150" s="232">
        <f>SUM(AO39:AO39,AX39:BD39)</f>
        <v>2762.7494993999999</v>
      </c>
      <c r="H150" s="232">
        <f>SUM(AP39:AS39)</f>
        <v>2303.88</v>
      </c>
      <c r="I150" s="232">
        <f t="shared" si="131"/>
        <v>5066.6294994</v>
      </c>
      <c r="J150" s="136"/>
      <c r="K150" s="136"/>
      <c r="L150" s="136"/>
      <c r="M150" s="136"/>
      <c r="N150" s="136"/>
      <c r="O150" s="136"/>
      <c r="P150" s="136"/>
      <c r="Q150" s="136"/>
      <c r="R150" s="136"/>
      <c r="S150" s="136"/>
      <c r="T150" s="136"/>
      <c r="U150" s="136"/>
      <c r="AB150" s="136"/>
      <c r="AC150" s="136"/>
      <c r="AD150" s="136"/>
      <c r="AE150" s="136"/>
      <c r="AF150" s="136"/>
      <c r="AG150" s="136"/>
      <c r="AH150" s="136"/>
      <c r="AI150" s="136"/>
      <c r="AJ150" s="136"/>
      <c r="AK150" s="136"/>
      <c r="AL150" s="136"/>
      <c r="AS150" s="136"/>
      <c r="AT150" s="136"/>
      <c r="AU150" s="136"/>
      <c r="AV150" s="136"/>
      <c r="AW150" s="136"/>
      <c r="AX150" s="136"/>
      <c r="AY150" s="136"/>
      <c r="AZ150" s="136"/>
      <c r="BA150" s="136"/>
      <c r="BB150" s="136"/>
      <c r="BC150" s="136"/>
      <c r="BD150" s="136"/>
      <c r="BE150" s="257"/>
    </row>
    <row r="151" spans="3:57" x14ac:dyDescent="0.25">
      <c r="E151" s="231" t="s">
        <v>166</v>
      </c>
      <c r="F151" s="231"/>
      <c r="G151" s="232">
        <f>SUM(AO47:AO47,AO53:AO64,AX47:BD47,AX53:BD64)</f>
        <v>104088.15668099999</v>
      </c>
      <c r="H151" s="232">
        <f>SUM(AP47:AS47,AP53:AS64)</f>
        <v>137566.70000000001</v>
      </c>
      <c r="I151" s="232">
        <f t="shared" si="131"/>
        <v>241654.856681</v>
      </c>
      <c r="J151" s="136"/>
      <c r="K151" s="136"/>
      <c r="L151" s="136"/>
      <c r="M151" s="136"/>
      <c r="N151" s="136"/>
      <c r="O151" s="136"/>
      <c r="P151" s="136"/>
      <c r="Q151" s="136"/>
      <c r="R151" s="136"/>
      <c r="S151" s="136"/>
      <c r="T151" s="136"/>
      <c r="U151" s="136"/>
      <c r="AB151" s="136"/>
      <c r="AC151" s="136"/>
      <c r="AD151" s="136"/>
      <c r="AE151" s="136"/>
      <c r="AF151" s="136"/>
      <c r="AG151" s="136"/>
      <c r="AH151" s="136"/>
      <c r="AI151" s="136"/>
      <c r="AJ151" s="136"/>
      <c r="AK151" s="136"/>
      <c r="AL151" s="136"/>
      <c r="AS151" s="136"/>
      <c r="AT151" s="136"/>
      <c r="AU151" s="136"/>
      <c r="AV151" s="136"/>
      <c r="AW151" s="136"/>
      <c r="AX151" s="136"/>
      <c r="AY151" s="136"/>
      <c r="AZ151" s="136"/>
      <c r="BA151" s="136"/>
      <c r="BB151" s="136"/>
      <c r="BC151" s="136"/>
      <c r="BD151" s="136"/>
      <c r="BE151" s="257"/>
    </row>
    <row r="152" spans="3:57" x14ac:dyDescent="0.25">
      <c r="E152" s="231" t="s">
        <v>167</v>
      </c>
      <c r="F152" s="231"/>
      <c r="G152" s="232">
        <f>SUM(AO48:AO49,AX48:BD49)</f>
        <v>7242.3003437999996</v>
      </c>
      <c r="H152" s="232">
        <f>SUM(AP48:AS49)</f>
        <v>7498.5</v>
      </c>
      <c r="I152" s="232">
        <f t="shared" si="131"/>
        <v>14740.8003438</v>
      </c>
      <c r="J152" s="136"/>
      <c r="K152" s="136"/>
      <c r="L152" s="136"/>
      <c r="M152" s="136"/>
      <c r="N152" s="136"/>
      <c r="O152" s="136"/>
      <c r="P152" s="136"/>
      <c r="Q152" s="136"/>
      <c r="R152" s="136"/>
      <c r="S152" s="136"/>
      <c r="T152" s="136"/>
      <c r="U152" s="136"/>
      <c r="AB152" s="136"/>
      <c r="AC152" s="136"/>
      <c r="AD152" s="136"/>
      <c r="AE152" s="136"/>
      <c r="AF152" s="136"/>
      <c r="AG152" s="136"/>
      <c r="AH152" s="136"/>
      <c r="AI152" s="136"/>
      <c r="AJ152" s="136"/>
      <c r="AK152" s="136"/>
      <c r="AL152" s="136"/>
      <c r="AS152" s="136"/>
      <c r="AT152" s="136"/>
      <c r="AU152" s="136"/>
      <c r="AV152" s="136"/>
      <c r="AW152" s="136"/>
      <c r="AX152" s="136"/>
      <c r="AY152" s="136"/>
      <c r="AZ152" s="136"/>
      <c r="BA152" s="136"/>
      <c r="BB152" s="136"/>
      <c r="BC152" s="136"/>
      <c r="BD152" s="136"/>
      <c r="BE152" s="257"/>
    </row>
    <row r="153" spans="3:57" x14ac:dyDescent="0.25">
      <c r="E153" s="231" t="s">
        <v>168</v>
      </c>
      <c r="F153" s="231"/>
      <c r="G153" s="232">
        <f>SUM(AO50:AO51,AX50:BD51)</f>
        <v>4624.3642505999997</v>
      </c>
      <c r="H153" s="232">
        <f>SUM(AP50:AS51)</f>
        <v>5467</v>
      </c>
      <c r="I153" s="232">
        <f t="shared" si="131"/>
        <v>10091.3642506</v>
      </c>
      <c r="J153" s="136"/>
      <c r="K153" s="136"/>
      <c r="L153" s="136"/>
      <c r="M153" s="136"/>
      <c r="N153" s="136"/>
      <c r="O153" s="136"/>
      <c r="P153" s="136"/>
      <c r="Q153" s="136"/>
      <c r="R153" s="136"/>
      <c r="S153" s="136"/>
      <c r="T153" s="136"/>
      <c r="U153" s="136"/>
      <c r="AB153" s="136"/>
      <c r="AC153" s="136"/>
      <c r="AD153" s="136"/>
      <c r="AE153" s="136"/>
      <c r="AF153" s="136"/>
      <c r="AG153" s="136"/>
      <c r="AH153" s="136"/>
      <c r="AI153" s="136"/>
      <c r="AJ153" s="136"/>
      <c r="AK153" s="136"/>
      <c r="AL153" s="136"/>
      <c r="AS153" s="136"/>
      <c r="AT153" s="136"/>
      <c r="AU153" s="136"/>
      <c r="AV153" s="136"/>
      <c r="AW153" s="136"/>
      <c r="AX153" s="136"/>
      <c r="AY153" s="136"/>
      <c r="AZ153" s="136"/>
      <c r="BA153" s="136"/>
      <c r="BB153" s="136"/>
      <c r="BC153" s="136"/>
      <c r="BD153" s="136"/>
      <c r="BE153" s="257"/>
    </row>
    <row r="154" spans="3:57" x14ac:dyDescent="0.25">
      <c r="E154" s="231" t="s">
        <v>169</v>
      </c>
      <c r="F154" s="231"/>
      <c r="G154" s="232">
        <f>SUM(AO70:AO70,AO74,AO77:AO85,AX70:BD70,AX74:BD74,AX77:BD85)</f>
        <v>25756.510502999987</v>
      </c>
      <c r="H154" s="232">
        <f>SUM(AP70:AS70,AP74:AS74,AP77:AS85)</f>
        <v>22725.060000000005</v>
      </c>
      <c r="I154" s="232">
        <f t="shared" si="131"/>
        <v>48481.570502999995</v>
      </c>
      <c r="J154" s="136"/>
      <c r="K154" s="136"/>
      <c r="L154" s="136"/>
      <c r="M154" s="136"/>
      <c r="N154" s="136"/>
      <c r="O154" s="136"/>
      <c r="P154" s="136"/>
      <c r="Q154" s="136"/>
      <c r="R154" s="136"/>
      <c r="S154" s="136"/>
      <c r="T154" s="136"/>
      <c r="U154" s="136"/>
      <c r="AB154" s="136"/>
      <c r="AC154" s="136"/>
      <c r="AD154" s="136"/>
      <c r="AE154" s="136"/>
      <c r="AF154" s="136"/>
      <c r="AG154" s="136"/>
      <c r="AH154" s="136"/>
      <c r="AI154" s="136"/>
      <c r="AJ154" s="136"/>
      <c r="AK154" s="136"/>
      <c r="AL154" s="136"/>
      <c r="AS154" s="136"/>
      <c r="AT154" s="136"/>
      <c r="AU154" s="136"/>
      <c r="AV154" s="136"/>
      <c r="AW154" s="136"/>
      <c r="AX154" s="136"/>
      <c r="AY154" s="136"/>
      <c r="AZ154" s="136"/>
      <c r="BA154" s="136"/>
      <c r="BB154" s="136"/>
      <c r="BC154" s="136"/>
      <c r="BD154" s="136"/>
      <c r="BE154" s="257"/>
    </row>
    <row r="155" spans="3:57" x14ac:dyDescent="0.25">
      <c r="E155" s="231" t="s">
        <v>170</v>
      </c>
      <c r="F155" s="231"/>
      <c r="G155" s="232">
        <f>SUM(AO71:AO72,AX71:BD72)</f>
        <v>857.17641059999994</v>
      </c>
      <c r="H155" s="232">
        <f>SUM(AP71:AS72)</f>
        <v>594.36000000000013</v>
      </c>
      <c r="I155" s="232">
        <f t="shared" si="131"/>
        <v>1451.5364106000002</v>
      </c>
      <c r="J155" s="136"/>
      <c r="K155" s="136"/>
      <c r="L155" s="136"/>
      <c r="M155" s="136"/>
      <c r="N155" s="136"/>
      <c r="O155" s="136"/>
      <c r="P155" s="136"/>
      <c r="Q155" s="136"/>
      <c r="R155" s="136"/>
      <c r="S155" s="136"/>
      <c r="T155" s="136"/>
      <c r="U155" s="136"/>
      <c r="AB155" s="136"/>
      <c r="AC155" s="136"/>
      <c r="AD155" s="136"/>
      <c r="AE155" s="136"/>
      <c r="AF155" s="136"/>
      <c r="AG155" s="136"/>
      <c r="AH155" s="136"/>
      <c r="AI155" s="136"/>
      <c r="AJ155" s="136"/>
      <c r="AK155" s="136"/>
      <c r="AL155" s="136"/>
      <c r="AS155" s="136"/>
      <c r="AT155" s="136"/>
      <c r="AU155" s="136"/>
      <c r="AV155" s="136"/>
      <c r="AW155" s="136"/>
      <c r="AX155" s="136"/>
      <c r="AY155" s="136"/>
      <c r="AZ155" s="136"/>
      <c r="BA155" s="136"/>
      <c r="BB155" s="136"/>
      <c r="BC155" s="136"/>
      <c r="BD155" s="136"/>
      <c r="BE155" s="257"/>
    </row>
    <row r="156" spans="3:57" x14ac:dyDescent="0.25">
      <c r="E156" s="231" t="s">
        <v>171</v>
      </c>
      <c r="F156" s="231"/>
      <c r="G156" s="232">
        <f>SUM(AO73,AO75:AO75,AX73:BD73,AX75:BD75)</f>
        <v>509.37222010000005</v>
      </c>
      <c r="H156" s="232">
        <f>SUM(AP73:AS73,AP75:AS75)</f>
        <v>942.50000000000011</v>
      </c>
      <c r="I156" s="232">
        <f t="shared" si="131"/>
        <v>1451.8722201</v>
      </c>
      <c r="J156" s="136"/>
      <c r="K156" s="136"/>
      <c r="L156" s="136"/>
      <c r="M156" s="136"/>
      <c r="N156" s="136"/>
      <c r="O156" s="136"/>
      <c r="P156" s="136"/>
      <c r="Q156" s="136"/>
      <c r="R156" s="136"/>
      <c r="S156" s="136"/>
      <c r="T156" s="136"/>
      <c r="U156" s="136"/>
      <c r="AB156" s="136"/>
      <c r="AC156" s="136"/>
      <c r="AD156" s="136"/>
      <c r="AE156" s="136"/>
      <c r="AF156" s="136"/>
      <c r="AG156" s="136"/>
      <c r="AH156" s="136"/>
      <c r="AI156" s="136"/>
      <c r="AJ156" s="136"/>
      <c r="AK156" s="136"/>
      <c r="AL156" s="136"/>
      <c r="AS156" s="136"/>
      <c r="AT156" s="136"/>
      <c r="AU156" s="136"/>
      <c r="AV156" s="136"/>
      <c r="AW156" s="136"/>
      <c r="AX156" s="136"/>
      <c r="AY156" s="136"/>
      <c r="AZ156" s="136"/>
      <c r="BA156" s="136"/>
      <c r="BB156" s="136"/>
      <c r="BC156" s="136"/>
      <c r="BD156" s="136"/>
      <c r="BE156" s="257"/>
    </row>
    <row r="157" spans="3:57" x14ac:dyDescent="0.25">
      <c r="E157" s="231" t="s">
        <v>172</v>
      </c>
      <c r="F157" s="231"/>
      <c r="G157" s="232">
        <f>SUM(AO94:AO100,AX94:BD100)</f>
        <v>3235.7352133205004</v>
      </c>
      <c r="H157" s="232">
        <f>SUM(AP94:AS100)</f>
        <v>1145.3261712020001</v>
      </c>
      <c r="I157" s="232">
        <f t="shared" si="131"/>
        <v>4381.0613845225007</v>
      </c>
      <c r="J157" s="136"/>
      <c r="K157" s="136"/>
      <c r="L157" s="136"/>
      <c r="M157" s="136"/>
      <c r="N157" s="136"/>
      <c r="O157" s="136"/>
      <c r="P157" s="136"/>
      <c r="Q157" s="136"/>
      <c r="R157" s="136"/>
      <c r="S157" s="136"/>
      <c r="T157" s="136"/>
      <c r="U157" s="136"/>
      <c r="AB157" s="136"/>
      <c r="AC157" s="136"/>
      <c r="AD157" s="136"/>
      <c r="AE157" s="136"/>
      <c r="AF157" s="136"/>
      <c r="AG157" s="136"/>
      <c r="AH157" s="136"/>
      <c r="AI157" s="136"/>
      <c r="AJ157" s="136"/>
      <c r="AK157" s="136"/>
      <c r="AL157" s="136"/>
      <c r="AS157" s="136"/>
      <c r="AT157" s="136"/>
      <c r="AU157" s="136"/>
      <c r="AV157" s="136"/>
      <c r="AW157" s="136"/>
      <c r="AX157" s="136"/>
      <c r="AY157" s="136"/>
      <c r="AZ157" s="136"/>
      <c r="BA157" s="136"/>
      <c r="BB157" s="136"/>
      <c r="BC157" s="136"/>
      <c r="BD157" s="136"/>
      <c r="BE157" s="257"/>
    </row>
    <row r="158" spans="3:57" x14ac:dyDescent="0.25">
      <c r="C158" s="222"/>
      <c r="D158" s="222"/>
      <c r="E158" s="231" t="s">
        <v>173</v>
      </c>
      <c r="F158" s="231"/>
      <c r="G158" s="232">
        <f>SUM(AO102:AO110,AX102:BD110)</f>
        <v>9458.1437830180021</v>
      </c>
      <c r="H158" s="232">
        <f>SUM(AP102:AS110)</f>
        <v>2314.0851043211997</v>
      </c>
      <c r="I158" s="232">
        <f t="shared" si="131"/>
        <v>11772.228887339203</v>
      </c>
      <c r="J158" s="136"/>
      <c r="K158" s="136"/>
      <c r="L158" s="136"/>
      <c r="M158" s="136"/>
      <c r="N158" s="136"/>
      <c r="O158" s="136"/>
      <c r="P158" s="136"/>
      <c r="Q158" s="136"/>
      <c r="R158" s="136"/>
      <c r="S158" s="136"/>
      <c r="T158" s="136"/>
      <c r="U158" s="136"/>
      <c r="AB158" s="136"/>
      <c r="AC158" s="136"/>
      <c r="AD158" s="136"/>
      <c r="AE158" s="136"/>
      <c r="AF158" s="136"/>
      <c r="AG158" s="136"/>
      <c r="AH158" s="136"/>
      <c r="AI158" s="136"/>
      <c r="AJ158" s="136"/>
      <c r="AK158" s="136"/>
      <c r="AL158" s="136"/>
      <c r="AS158" s="136"/>
      <c r="AT158" s="136"/>
      <c r="AU158" s="136"/>
      <c r="AV158" s="136"/>
      <c r="AW158" s="136"/>
      <c r="AX158" s="136"/>
      <c r="AY158" s="136"/>
      <c r="AZ158" s="136"/>
      <c r="BA158" s="136"/>
      <c r="BB158" s="136"/>
      <c r="BC158" s="136"/>
      <c r="BD158" s="136"/>
      <c r="BE158" s="257"/>
    </row>
    <row r="159" spans="3:57" x14ac:dyDescent="0.25">
      <c r="C159" s="222"/>
      <c r="D159" s="222"/>
      <c r="E159" s="231" t="s">
        <v>174</v>
      </c>
      <c r="F159" s="231"/>
      <c r="G159" s="232">
        <f>SUM(AO113:AO116,AX113:BD116)</f>
        <v>1019.6009400449998</v>
      </c>
      <c r="H159" s="232">
        <f>SUM(AP113:AS116)</f>
        <v>222.84471372130002</v>
      </c>
      <c r="I159" s="232">
        <f t="shared" si="131"/>
        <v>1242.4456537662998</v>
      </c>
      <c r="J159" s="136"/>
      <c r="K159" s="136"/>
      <c r="L159" s="136"/>
      <c r="M159" s="136"/>
      <c r="N159" s="136"/>
      <c r="O159" s="136"/>
      <c r="P159" s="136"/>
      <c r="Q159" s="136"/>
      <c r="R159" s="136"/>
      <c r="S159" s="136"/>
      <c r="T159" s="136"/>
      <c r="U159" s="136"/>
      <c r="AB159" s="136"/>
      <c r="AC159" s="136"/>
      <c r="AD159" s="136"/>
      <c r="AE159" s="136"/>
      <c r="AF159" s="136"/>
      <c r="AG159" s="136"/>
      <c r="AH159" s="136"/>
      <c r="AI159" s="136"/>
      <c r="AJ159" s="136"/>
      <c r="AK159" s="136"/>
      <c r="AL159" s="136"/>
      <c r="AS159" s="136"/>
      <c r="AT159" s="136"/>
      <c r="AU159" s="136"/>
      <c r="AV159" s="136"/>
      <c r="AW159" s="136"/>
      <c r="AX159" s="136"/>
      <c r="AY159" s="136"/>
      <c r="AZ159" s="136"/>
      <c r="BA159" s="136"/>
      <c r="BB159" s="136"/>
      <c r="BC159" s="136"/>
      <c r="BD159" s="136"/>
      <c r="BE159" s="257"/>
    </row>
    <row r="160" spans="3:57" x14ac:dyDescent="0.25">
      <c r="C160" s="222"/>
      <c r="D160" s="222"/>
      <c r="E160" s="231" t="s">
        <v>175</v>
      </c>
      <c r="F160" s="231"/>
      <c r="G160" s="232">
        <f>SUM(AO118:AO126,AX118:BD126)</f>
        <v>14996.929569243504</v>
      </c>
      <c r="H160" s="232">
        <f>SUM(AP118:AS126)</f>
        <v>1660.6320155200003</v>
      </c>
      <c r="I160" s="232">
        <f t="shared" si="131"/>
        <v>16657.561584763505</v>
      </c>
      <c r="J160" s="136"/>
      <c r="K160" s="136"/>
      <c r="L160" s="136"/>
      <c r="M160" s="136"/>
      <c r="N160" s="136"/>
      <c r="O160" s="136"/>
      <c r="P160" s="136"/>
      <c r="Q160" s="136"/>
      <c r="R160" s="136"/>
      <c r="S160" s="136"/>
      <c r="T160" s="136"/>
      <c r="U160" s="136"/>
      <c r="AB160" s="136"/>
      <c r="AC160" s="136"/>
      <c r="AD160" s="136"/>
      <c r="AE160" s="136"/>
      <c r="AF160" s="136"/>
      <c r="AG160" s="136"/>
      <c r="AH160" s="136"/>
      <c r="AI160" s="136"/>
      <c r="AJ160" s="136"/>
      <c r="AK160" s="136"/>
      <c r="AL160" s="136"/>
      <c r="AS160" s="136"/>
      <c r="AT160" s="136"/>
      <c r="AU160" s="136"/>
      <c r="AV160" s="136"/>
      <c r="AW160" s="136"/>
      <c r="AX160" s="136"/>
      <c r="AY160" s="136"/>
      <c r="AZ160" s="136"/>
      <c r="BA160" s="136"/>
      <c r="BB160" s="136"/>
      <c r="BC160" s="136"/>
      <c r="BD160" s="136"/>
      <c r="BE160" s="257"/>
    </row>
    <row r="161" spans="5:42" ht="15.75" thickBot="1" x14ac:dyDescent="0.3">
      <c r="E161" s="231"/>
      <c r="F161" s="231"/>
      <c r="G161" s="233">
        <f>SUM(G141:G160)</f>
        <v>330733.64286312705</v>
      </c>
      <c r="H161" s="233">
        <f>SUM(H141:H160)</f>
        <v>822119.60800476465</v>
      </c>
      <c r="I161" s="233">
        <f>SUM(I141:I160)</f>
        <v>1152853.2508678916</v>
      </c>
    </row>
    <row r="162" spans="5:42" x14ac:dyDescent="0.25">
      <c r="E162" s="229" t="s">
        <v>176</v>
      </c>
      <c r="F162" s="229"/>
      <c r="G162" s="234"/>
      <c r="H162" s="234"/>
      <c r="I162" s="235">
        <f>SUM(BM133)</f>
        <v>1152853.2508678916</v>
      </c>
    </row>
    <row r="163" spans="5:42" x14ac:dyDescent="0.25">
      <c r="E163" s="229" t="s">
        <v>177</v>
      </c>
      <c r="F163" s="229"/>
      <c r="G163" s="235"/>
      <c r="H163" s="235"/>
      <c r="I163" s="235">
        <f>I162-I161</f>
        <v>0</v>
      </c>
    </row>
    <row r="164" spans="5:42" x14ac:dyDescent="0.25">
      <c r="Y164" s="137"/>
      <c r="AP164" s="137"/>
    </row>
    <row r="165" spans="5:42" x14ac:dyDescent="0.25">
      <c r="Y165" s="137"/>
      <c r="AP165" s="137"/>
    </row>
    <row r="166" spans="5:42" x14ac:dyDescent="0.25">
      <c r="Y166" s="137"/>
      <c r="AP166" s="137"/>
    </row>
    <row r="167" spans="5:42" x14ac:dyDescent="0.25">
      <c r="H167" s="137"/>
      <c r="Y167" s="137"/>
      <c r="AP167" s="137"/>
    </row>
    <row r="168" spans="5:42" x14ac:dyDescent="0.25">
      <c r="H168" s="137"/>
      <c r="Y168" s="137"/>
      <c r="AP168" s="137"/>
    </row>
    <row r="169" spans="5:42" x14ac:dyDescent="0.25">
      <c r="H169" s="137"/>
      <c r="Y169" s="137"/>
      <c r="AP169" s="137"/>
    </row>
    <row r="170" spans="5:42" x14ac:dyDescent="0.25">
      <c r="H170" s="137"/>
      <c r="Y170" s="137"/>
      <c r="AP170" s="137"/>
    </row>
    <row r="171" spans="5:42" x14ac:dyDescent="0.25">
      <c r="H171" s="137"/>
      <c r="Y171" s="137"/>
      <c r="AP171" s="137"/>
    </row>
    <row r="172" spans="5:42" x14ac:dyDescent="0.25">
      <c r="H172" s="137"/>
      <c r="Y172" s="137"/>
      <c r="AP172" s="137"/>
    </row>
    <row r="173" spans="5:42" x14ac:dyDescent="0.25">
      <c r="H173" s="137"/>
      <c r="Y173" s="137"/>
      <c r="AP173" s="137"/>
    </row>
    <row r="174" spans="5:42" x14ac:dyDescent="0.25">
      <c r="H174" s="137"/>
      <c r="Y174" s="137"/>
      <c r="AP174" s="137"/>
    </row>
    <row r="175" spans="5:42" x14ac:dyDescent="0.25">
      <c r="H175" s="137"/>
      <c r="Y175" s="137"/>
      <c r="AP175" s="137"/>
    </row>
    <row r="176" spans="5:42" x14ac:dyDescent="0.25">
      <c r="H176" s="137"/>
      <c r="Y176" s="137"/>
      <c r="AP176" s="137"/>
    </row>
    <row r="177" spans="3:45" x14ac:dyDescent="0.25">
      <c r="H177" s="137"/>
      <c r="Y177" s="137"/>
      <c r="AP177" s="137"/>
    </row>
    <row r="178" spans="3:45" x14ac:dyDescent="0.25">
      <c r="H178" s="137"/>
      <c r="Y178" s="137"/>
      <c r="AP178" s="137"/>
    </row>
    <row r="179" spans="3:45" x14ac:dyDescent="0.25">
      <c r="H179" s="137"/>
      <c r="Y179" s="137"/>
      <c r="AP179" s="137"/>
    </row>
    <row r="180" spans="3:45" x14ac:dyDescent="0.25">
      <c r="H180" s="137"/>
      <c r="Y180" s="137"/>
      <c r="AP180" s="137"/>
    </row>
    <row r="181" spans="3:45" x14ac:dyDescent="0.25">
      <c r="H181" s="137"/>
      <c r="Y181" s="137"/>
      <c r="AP181" s="137"/>
    </row>
    <row r="182" spans="3:45" x14ac:dyDescent="0.25">
      <c r="H182" s="137"/>
      <c r="Y182" s="137"/>
      <c r="AP182" s="137"/>
    </row>
    <row r="183" spans="3:45" x14ac:dyDescent="0.25">
      <c r="C183" s="135"/>
      <c r="D183" s="135"/>
      <c r="H183" s="137"/>
      <c r="Y183" s="137"/>
      <c r="AP183" s="137"/>
    </row>
    <row r="184" spans="3:45" x14ac:dyDescent="0.25">
      <c r="C184" s="135"/>
      <c r="D184" s="135"/>
      <c r="H184" s="137"/>
      <c r="Y184" s="137"/>
      <c r="AP184" s="137"/>
    </row>
    <row r="185" spans="3:45" x14ac:dyDescent="0.25">
      <c r="C185" s="135"/>
      <c r="D185" s="135"/>
      <c r="H185" s="137"/>
      <c r="Y185" s="137"/>
      <c r="Z185" s="137"/>
      <c r="AP185" s="137"/>
      <c r="AQ185" s="137"/>
    </row>
    <row r="186" spans="3:45" x14ac:dyDescent="0.25">
      <c r="C186" s="135"/>
      <c r="D186" s="135"/>
      <c r="H186" s="137"/>
      <c r="K186" s="137"/>
      <c r="Y186" s="137"/>
      <c r="Z186" s="137"/>
      <c r="AB186" s="137"/>
      <c r="AP186" s="137"/>
      <c r="AQ186" s="137"/>
      <c r="AS186" s="137"/>
    </row>
    <row r="187" spans="3:45" x14ac:dyDescent="0.25">
      <c r="C187" s="135"/>
      <c r="D187" s="135"/>
      <c r="E187" s="126"/>
      <c r="F187" s="126"/>
      <c r="H187" s="137"/>
      <c r="K187" s="137"/>
      <c r="Y187" s="137"/>
      <c r="Z187" s="137"/>
      <c r="AB187" s="137"/>
      <c r="AP187" s="137"/>
      <c r="AQ187" s="137"/>
      <c r="AS187" s="137"/>
    </row>
    <row r="188" spans="3:45" x14ac:dyDescent="0.25">
      <c r="C188" s="135"/>
      <c r="D188" s="135"/>
      <c r="H188" s="137"/>
      <c r="I188" s="137"/>
      <c r="K188" s="137"/>
      <c r="Y188" s="137"/>
      <c r="Z188" s="137"/>
      <c r="AB188" s="137"/>
      <c r="AP188" s="137"/>
      <c r="AQ188" s="137"/>
      <c r="AS188" s="137"/>
    </row>
    <row r="189" spans="3:45" x14ac:dyDescent="0.25">
      <c r="C189" s="135"/>
      <c r="D189" s="135"/>
      <c r="H189" s="137"/>
      <c r="I189" s="137"/>
      <c r="K189" s="137"/>
      <c r="Y189" s="137"/>
      <c r="Z189" s="137"/>
      <c r="AB189" s="137"/>
      <c r="AP189" s="137"/>
      <c r="AQ189" s="137"/>
      <c r="AS189" s="137"/>
    </row>
    <row r="190" spans="3:45" x14ac:dyDescent="0.25">
      <c r="C190" s="135"/>
      <c r="D190" s="135"/>
      <c r="H190" s="137"/>
      <c r="I190" s="137"/>
      <c r="K190" s="137"/>
      <c r="Y190" s="137"/>
      <c r="Z190" s="137"/>
      <c r="AB190" s="137"/>
      <c r="AP190" s="137"/>
      <c r="AQ190" s="137"/>
      <c r="AS190" s="137"/>
    </row>
    <row r="191" spans="3:45" x14ac:dyDescent="0.25">
      <c r="C191" s="135"/>
      <c r="D191" s="135"/>
      <c r="H191" s="137"/>
      <c r="I191" s="137"/>
      <c r="K191" s="137"/>
      <c r="Y191" s="137"/>
      <c r="Z191" s="137"/>
      <c r="AB191" s="137"/>
      <c r="AP191" s="137"/>
      <c r="AQ191" s="137"/>
      <c r="AS191" s="137"/>
    </row>
    <row r="192" spans="3:45" x14ac:dyDescent="0.25">
      <c r="C192" s="135"/>
      <c r="D192" s="135"/>
      <c r="H192" s="137"/>
      <c r="I192" s="137"/>
      <c r="K192" s="137"/>
      <c r="Y192" s="137"/>
      <c r="Z192" s="137"/>
      <c r="AB192" s="137"/>
      <c r="AP192" s="137"/>
      <c r="AQ192" s="137"/>
      <c r="AS192" s="137"/>
    </row>
    <row r="193" spans="3:45" x14ac:dyDescent="0.25">
      <c r="C193" s="135"/>
      <c r="D193" s="135"/>
      <c r="H193" s="137"/>
      <c r="I193" s="137"/>
      <c r="K193" s="137"/>
      <c r="Y193" s="137"/>
      <c r="Z193" s="137"/>
      <c r="AB193" s="137"/>
      <c r="AP193" s="137"/>
      <c r="AQ193" s="137"/>
      <c r="AS193" s="137"/>
    </row>
    <row r="194" spans="3:45" x14ac:dyDescent="0.25">
      <c r="C194" s="135"/>
      <c r="D194" s="135"/>
      <c r="H194" s="137"/>
      <c r="I194" s="137"/>
      <c r="Y194" s="137"/>
      <c r="AP194" s="137"/>
    </row>
    <row r="195" spans="3:45" x14ac:dyDescent="0.25">
      <c r="C195" s="135"/>
      <c r="D195" s="135"/>
      <c r="H195" s="137"/>
      <c r="I195" s="137"/>
      <c r="Y195" s="137"/>
      <c r="AP195" s="137"/>
    </row>
    <row r="196" spans="3:45" x14ac:dyDescent="0.25">
      <c r="C196" s="135"/>
      <c r="D196" s="135"/>
      <c r="H196" s="137"/>
      <c r="I196" s="137"/>
      <c r="Y196" s="137"/>
      <c r="Z196" s="137"/>
      <c r="AP196" s="137"/>
      <c r="AQ196" s="137"/>
    </row>
    <row r="197" spans="3:45" x14ac:dyDescent="0.25">
      <c r="C197" s="135"/>
      <c r="D197" s="135"/>
      <c r="H197" s="137"/>
      <c r="K197" s="137"/>
      <c r="Y197" s="137"/>
      <c r="Z197" s="137"/>
      <c r="AB197" s="137"/>
      <c r="AP197" s="137"/>
      <c r="AQ197" s="137"/>
      <c r="AS197" s="137"/>
    </row>
    <row r="198" spans="3:45" x14ac:dyDescent="0.25">
      <c r="C198" s="135"/>
      <c r="D198" s="135"/>
      <c r="H198" s="137"/>
      <c r="K198" s="137"/>
      <c r="Y198" s="137"/>
      <c r="AB198" s="137"/>
      <c r="AP198" s="137"/>
      <c r="AS198" s="137"/>
    </row>
    <row r="199" spans="3:45" x14ac:dyDescent="0.25">
      <c r="C199" s="135"/>
      <c r="D199" s="135"/>
      <c r="H199" s="137"/>
      <c r="I199" s="137"/>
      <c r="Y199" s="137"/>
      <c r="AP199" s="137"/>
    </row>
    <row r="200" spans="3:45" x14ac:dyDescent="0.25">
      <c r="C200" s="135"/>
      <c r="D200" s="135"/>
      <c r="H200" s="137"/>
      <c r="I200" s="137"/>
      <c r="Y200" s="137"/>
      <c r="AP200" s="137"/>
    </row>
    <row r="201" spans="3:45" x14ac:dyDescent="0.25">
      <c r="C201" s="135"/>
      <c r="D201" s="135"/>
      <c r="H201" s="137"/>
      <c r="Y201" s="137"/>
      <c r="Z201" s="137"/>
      <c r="AP201" s="137"/>
      <c r="AQ201" s="137"/>
    </row>
    <row r="202" spans="3:45" x14ac:dyDescent="0.25">
      <c r="C202" s="135"/>
      <c r="D202" s="135"/>
      <c r="H202" s="137"/>
      <c r="K202" s="137"/>
      <c r="Y202" s="137"/>
      <c r="Z202" s="137"/>
      <c r="AB202" s="137"/>
      <c r="AP202" s="137"/>
      <c r="AQ202" s="137"/>
      <c r="AS202" s="137"/>
    </row>
    <row r="203" spans="3:45" x14ac:dyDescent="0.25">
      <c r="C203" s="135"/>
      <c r="D203" s="135"/>
      <c r="H203" s="137"/>
      <c r="K203" s="137"/>
      <c r="Y203" s="137"/>
      <c r="Z203" s="137"/>
      <c r="AB203" s="137"/>
      <c r="AP203" s="137"/>
      <c r="AQ203" s="137"/>
      <c r="AS203" s="137"/>
    </row>
    <row r="204" spans="3:45" x14ac:dyDescent="0.25">
      <c r="C204" s="135"/>
      <c r="D204" s="135"/>
      <c r="H204" s="137"/>
      <c r="I204" s="137"/>
      <c r="K204" s="137"/>
      <c r="Y204" s="137"/>
      <c r="AB204" s="137"/>
      <c r="AP204" s="137"/>
      <c r="AS204" s="137"/>
    </row>
    <row r="205" spans="3:45" x14ac:dyDescent="0.25">
      <c r="C205" s="135"/>
      <c r="D205" s="135"/>
      <c r="H205" s="137"/>
      <c r="I205" s="137"/>
      <c r="Y205" s="137"/>
      <c r="Z205" s="137"/>
      <c r="AP205" s="137"/>
      <c r="AQ205" s="137"/>
    </row>
    <row r="206" spans="3:45" x14ac:dyDescent="0.25">
      <c r="C206" s="135"/>
      <c r="D206" s="135"/>
      <c r="H206" s="137"/>
      <c r="I206" s="137"/>
      <c r="K206" s="137"/>
      <c r="Y206" s="137"/>
      <c r="Z206" s="137"/>
      <c r="AB206" s="137"/>
      <c r="AP206" s="137"/>
      <c r="AQ206" s="137"/>
      <c r="AS206" s="137"/>
    </row>
    <row r="207" spans="3:45" x14ac:dyDescent="0.25">
      <c r="C207" s="135"/>
      <c r="D207" s="135"/>
      <c r="H207" s="137"/>
      <c r="K207" s="137"/>
      <c r="Y207" s="137"/>
      <c r="Z207" s="137"/>
      <c r="AB207" s="137"/>
      <c r="AP207" s="137"/>
      <c r="AQ207" s="137"/>
      <c r="AS207" s="137"/>
    </row>
    <row r="208" spans="3:45" x14ac:dyDescent="0.25">
      <c r="C208" s="135"/>
      <c r="D208" s="135"/>
      <c r="H208" s="137"/>
      <c r="I208" s="137"/>
      <c r="K208" s="137"/>
      <c r="Y208" s="137"/>
      <c r="Z208" s="137"/>
      <c r="AB208" s="137"/>
      <c r="AP208" s="137"/>
      <c r="AQ208" s="137"/>
      <c r="AS208" s="137"/>
    </row>
    <row r="209" spans="3:45" x14ac:dyDescent="0.25">
      <c r="C209" s="135"/>
      <c r="D209" s="135"/>
      <c r="H209" s="137"/>
      <c r="I209" s="137"/>
      <c r="K209" s="137"/>
      <c r="Y209" s="137"/>
      <c r="AB209" s="137"/>
      <c r="AP209" s="137"/>
      <c r="AS209" s="137"/>
    </row>
    <row r="210" spans="3:45" x14ac:dyDescent="0.25">
      <c r="C210" s="135"/>
      <c r="D210" s="135"/>
      <c r="H210" s="137"/>
      <c r="I210" s="137"/>
      <c r="Y210" s="137"/>
      <c r="AP210" s="137"/>
    </row>
    <row r="211" spans="3:45" x14ac:dyDescent="0.25">
      <c r="C211" s="135"/>
      <c r="D211" s="135"/>
      <c r="H211" s="137"/>
      <c r="I211" s="137"/>
      <c r="Y211" s="137"/>
      <c r="Z211" s="137"/>
      <c r="AP211" s="137"/>
      <c r="AQ211" s="137"/>
    </row>
    <row r="212" spans="3:45" x14ac:dyDescent="0.25">
      <c r="C212" s="135"/>
      <c r="D212" s="135"/>
      <c r="H212" s="137"/>
      <c r="K212" s="137"/>
      <c r="Y212" s="137"/>
      <c r="Z212" s="137"/>
      <c r="AB212" s="137"/>
      <c r="AP212" s="137"/>
      <c r="AQ212" s="137"/>
      <c r="AS212" s="137"/>
    </row>
    <row r="213" spans="3:45" x14ac:dyDescent="0.25">
      <c r="H213" s="137"/>
      <c r="K213" s="137"/>
      <c r="Y213" s="137"/>
      <c r="AB213" s="137"/>
      <c r="AP213" s="137"/>
      <c r="AS213" s="137"/>
    </row>
    <row r="214" spans="3:45" x14ac:dyDescent="0.25">
      <c r="H214" s="137"/>
      <c r="I214" s="137"/>
      <c r="Y214" s="137"/>
      <c r="AP214" s="137"/>
    </row>
    <row r="215" spans="3:45" x14ac:dyDescent="0.25">
      <c r="H215" s="137"/>
      <c r="I215" s="137"/>
      <c r="Y215" s="137"/>
      <c r="AP215" s="137"/>
    </row>
    <row r="216" spans="3:45" x14ac:dyDescent="0.25">
      <c r="H216" s="137"/>
      <c r="Y216" s="137"/>
      <c r="AP216" s="137"/>
    </row>
    <row r="217" spans="3:45" x14ac:dyDescent="0.25">
      <c r="C217" s="236"/>
      <c r="D217" s="236"/>
      <c r="H217" s="137"/>
      <c r="Y217" s="137"/>
      <c r="AP217" s="137"/>
    </row>
    <row r="218" spans="3:45" x14ac:dyDescent="0.25">
      <c r="H218" s="137"/>
      <c r="Y218" s="137"/>
      <c r="AP218" s="137"/>
    </row>
    <row r="219" spans="3:45" x14ac:dyDescent="0.25">
      <c r="H219" s="137"/>
      <c r="Y219" s="137"/>
      <c r="AP219" s="137"/>
    </row>
    <row r="220" spans="3:45" x14ac:dyDescent="0.25">
      <c r="H220" s="137"/>
      <c r="Y220" s="137"/>
      <c r="AP220" s="137"/>
    </row>
    <row r="221" spans="3:45" x14ac:dyDescent="0.25">
      <c r="E221" s="126"/>
      <c r="F221" s="126"/>
      <c r="H221" s="137"/>
      <c r="Y221" s="137"/>
      <c r="AP221" s="137"/>
    </row>
    <row r="222" spans="3:45" x14ac:dyDescent="0.25">
      <c r="H222" s="137"/>
      <c r="Y222" s="137"/>
      <c r="AP222" s="137"/>
    </row>
    <row r="223" spans="3:45" x14ac:dyDescent="0.25">
      <c r="H223" s="137"/>
      <c r="Y223" s="137"/>
      <c r="AP223" s="137"/>
    </row>
    <row r="224" spans="3:45" x14ac:dyDescent="0.25">
      <c r="H224" s="137"/>
      <c r="Y224" s="137"/>
      <c r="AP224" s="137"/>
    </row>
    <row r="225" spans="5:42" x14ac:dyDescent="0.25">
      <c r="H225" s="137"/>
      <c r="Y225" s="137"/>
      <c r="AP225" s="137"/>
    </row>
    <row r="226" spans="5:42" x14ac:dyDescent="0.25">
      <c r="H226" s="137"/>
      <c r="Y226" s="137"/>
      <c r="AP226" s="137"/>
    </row>
    <row r="227" spans="5:42" x14ac:dyDescent="0.25">
      <c r="H227" s="137"/>
      <c r="Y227" s="137"/>
      <c r="AP227" s="137"/>
    </row>
    <row r="228" spans="5:42" x14ac:dyDescent="0.25">
      <c r="H228" s="137"/>
      <c r="Y228" s="137"/>
      <c r="AP228" s="137"/>
    </row>
    <row r="229" spans="5:42" x14ac:dyDescent="0.25">
      <c r="H229" s="137"/>
      <c r="Y229" s="137"/>
      <c r="AP229" s="137"/>
    </row>
    <row r="230" spans="5:42" x14ac:dyDescent="0.25">
      <c r="H230" s="137"/>
      <c r="Y230" s="137"/>
      <c r="AP230" s="137"/>
    </row>
    <row r="231" spans="5:42" x14ac:dyDescent="0.25">
      <c r="H231" s="137"/>
      <c r="Y231" s="137"/>
      <c r="AP231" s="137"/>
    </row>
    <row r="232" spans="5:42" x14ac:dyDescent="0.25">
      <c r="E232" s="126"/>
      <c r="F232" s="126"/>
      <c r="H232" s="137"/>
      <c r="Y232" s="137"/>
      <c r="AP232" s="137"/>
    </row>
    <row r="233" spans="5:42" x14ac:dyDescent="0.25">
      <c r="H233" s="137"/>
      <c r="Y233" s="137"/>
      <c r="AP233" s="137"/>
    </row>
    <row r="234" spans="5:42" x14ac:dyDescent="0.25">
      <c r="H234" s="137"/>
      <c r="Y234" s="137"/>
      <c r="AP234" s="137"/>
    </row>
    <row r="235" spans="5:42" x14ac:dyDescent="0.25">
      <c r="H235" s="137"/>
      <c r="Y235" s="137"/>
      <c r="AP235" s="137"/>
    </row>
    <row r="236" spans="5:42" x14ac:dyDescent="0.25">
      <c r="H236" s="137"/>
      <c r="Y236" s="137"/>
      <c r="AP236" s="137"/>
    </row>
    <row r="237" spans="5:42" x14ac:dyDescent="0.25">
      <c r="H237" s="137"/>
      <c r="Y237" s="137"/>
      <c r="AP237" s="137"/>
    </row>
    <row r="238" spans="5:42" x14ac:dyDescent="0.25">
      <c r="H238" s="137"/>
      <c r="Y238" s="137"/>
      <c r="AP238" s="137"/>
    </row>
    <row r="239" spans="5:42" x14ac:dyDescent="0.25">
      <c r="H239" s="137"/>
      <c r="Y239" s="137"/>
      <c r="AP239" s="137"/>
    </row>
    <row r="240" spans="5:42" x14ac:dyDescent="0.25">
      <c r="H240" s="137"/>
      <c r="Y240" s="137"/>
      <c r="AP240" s="137"/>
    </row>
    <row r="241" spans="8:42" x14ac:dyDescent="0.25">
      <c r="H241" s="137"/>
      <c r="Y241" s="137"/>
      <c r="AP241" s="137"/>
    </row>
    <row r="242" spans="8:42" x14ac:dyDescent="0.25">
      <c r="H242" s="137"/>
      <c r="Y242" s="137"/>
      <c r="AP242" s="137"/>
    </row>
    <row r="243" spans="8:42" x14ac:dyDescent="0.25">
      <c r="H243" s="137"/>
      <c r="Y243" s="137"/>
      <c r="AP243" s="137"/>
    </row>
    <row r="244" spans="8:42" x14ac:dyDescent="0.25">
      <c r="H244" s="137"/>
      <c r="Y244" s="137"/>
      <c r="AP244" s="137"/>
    </row>
    <row r="245" spans="8:42" x14ac:dyDescent="0.25">
      <c r="H245" s="137"/>
      <c r="Y245" s="137"/>
      <c r="AP245" s="137"/>
    </row>
    <row r="246" spans="8:42" x14ac:dyDescent="0.25">
      <c r="H246" s="137"/>
      <c r="Y246" s="137"/>
      <c r="AP246" s="137"/>
    </row>
    <row r="247" spans="8:42" x14ac:dyDescent="0.25">
      <c r="H247" s="137"/>
      <c r="Y247" s="137"/>
      <c r="AP247" s="137"/>
    </row>
    <row r="248" spans="8:42" x14ac:dyDescent="0.25">
      <c r="H248" s="137"/>
      <c r="Y248" s="137"/>
      <c r="AP248" s="137"/>
    </row>
    <row r="249" spans="8:42" x14ac:dyDescent="0.25">
      <c r="H249" s="137"/>
      <c r="Y249" s="137"/>
      <c r="AP249" s="137"/>
    </row>
    <row r="250" spans="8:42" x14ac:dyDescent="0.25">
      <c r="H250" s="137"/>
      <c r="Y250" s="137"/>
      <c r="AP250" s="137"/>
    </row>
    <row r="251" spans="8:42" x14ac:dyDescent="0.25">
      <c r="H251" s="137"/>
      <c r="Y251" s="137"/>
      <c r="AP251" s="137"/>
    </row>
    <row r="252" spans="8:42" x14ac:dyDescent="0.25">
      <c r="H252" s="137"/>
      <c r="Y252" s="137"/>
      <c r="AP252" s="137"/>
    </row>
    <row r="253" spans="8:42" x14ac:dyDescent="0.25">
      <c r="H253" s="137"/>
      <c r="Y253" s="137"/>
      <c r="AP253" s="137"/>
    </row>
    <row r="254" spans="8:42" x14ac:dyDescent="0.25">
      <c r="H254" s="137"/>
      <c r="Y254" s="137"/>
      <c r="AP254" s="137"/>
    </row>
    <row r="255" spans="8:42" x14ac:dyDescent="0.25">
      <c r="H255" s="137"/>
      <c r="Y255" s="137"/>
      <c r="AP255" s="137"/>
    </row>
    <row r="256" spans="8:42" x14ac:dyDescent="0.25">
      <c r="H256" s="137"/>
      <c r="Y256" s="137"/>
      <c r="AP256" s="137"/>
    </row>
    <row r="257" spans="8:42" x14ac:dyDescent="0.25">
      <c r="H257" s="137"/>
      <c r="Y257" s="137"/>
      <c r="AP257" s="137"/>
    </row>
    <row r="258" spans="8:42" x14ac:dyDescent="0.25">
      <c r="H258" s="137"/>
      <c r="Y258" s="137"/>
      <c r="AP258" s="137"/>
    </row>
    <row r="259" spans="8:42" x14ac:dyDescent="0.25">
      <c r="H259" s="137"/>
      <c r="Y259" s="137"/>
      <c r="AP259" s="137"/>
    </row>
    <row r="260" spans="8:42" x14ac:dyDescent="0.25">
      <c r="H260" s="137"/>
      <c r="Y260" s="137"/>
      <c r="AP260" s="137"/>
    </row>
    <row r="261" spans="8:42" x14ac:dyDescent="0.25">
      <c r="H261" s="137"/>
      <c r="Y261" s="137"/>
      <c r="AP261" s="137"/>
    </row>
    <row r="262" spans="8:42" x14ac:dyDescent="0.25">
      <c r="H262" s="137"/>
      <c r="Y262" s="137"/>
      <c r="AP262" s="137"/>
    </row>
    <row r="263" spans="8:42" x14ac:dyDescent="0.25">
      <c r="H263" s="137"/>
      <c r="Y263" s="137"/>
      <c r="AP263" s="137"/>
    </row>
    <row r="264" spans="8:42" x14ac:dyDescent="0.25">
      <c r="H264" s="137"/>
      <c r="Y264" s="137"/>
      <c r="AP264" s="137"/>
    </row>
    <row r="265" spans="8:42" x14ac:dyDescent="0.25">
      <c r="H265" s="137"/>
      <c r="Y265" s="137"/>
      <c r="AP265" s="137"/>
    </row>
    <row r="266" spans="8:42" x14ac:dyDescent="0.25">
      <c r="H266" s="137"/>
      <c r="Y266" s="137"/>
      <c r="AP266" s="137"/>
    </row>
    <row r="267" spans="8:42" x14ac:dyDescent="0.25">
      <c r="H267" s="137"/>
      <c r="Y267" s="137"/>
      <c r="AP267" s="137"/>
    </row>
    <row r="268" spans="8:42" x14ac:dyDescent="0.25">
      <c r="H268" s="137"/>
      <c r="Y268" s="137"/>
      <c r="AP268" s="137"/>
    </row>
    <row r="269" spans="8:42" x14ac:dyDescent="0.25">
      <c r="H269" s="137"/>
      <c r="Y269" s="137"/>
      <c r="AP269" s="137"/>
    </row>
    <row r="270" spans="8:42" x14ac:dyDescent="0.25">
      <c r="H270" s="137"/>
      <c r="Y270" s="137"/>
      <c r="AP270" s="137"/>
    </row>
    <row r="271" spans="8:42" x14ac:dyDescent="0.25">
      <c r="H271" s="137"/>
      <c r="Y271" s="137"/>
      <c r="AP271" s="137"/>
    </row>
    <row r="272" spans="8:42" x14ac:dyDescent="0.25">
      <c r="H272" s="137"/>
      <c r="Y272" s="137"/>
      <c r="AP272" s="137"/>
    </row>
    <row r="273" spans="8:42" x14ac:dyDescent="0.25">
      <c r="H273" s="137"/>
      <c r="Y273" s="137"/>
      <c r="AP273" s="137"/>
    </row>
    <row r="274" spans="8:42" x14ac:dyDescent="0.25">
      <c r="H274" s="137"/>
      <c r="Y274" s="137"/>
      <c r="AP274" s="137"/>
    </row>
    <row r="275" spans="8:42" x14ac:dyDescent="0.25">
      <c r="H275" s="137"/>
      <c r="Y275" s="137"/>
      <c r="AP275" s="137"/>
    </row>
    <row r="276" spans="8:42" x14ac:dyDescent="0.25">
      <c r="H276" s="137"/>
      <c r="Y276" s="137"/>
      <c r="AP276" s="137"/>
    </row>
    <row r="277" spans="8:42" x14ac:dyDescent="0.25">
      <c r="H277" s="137"/>
      <c r="Y277" s="137"/>
      <c r="AP277" s="137"/>
    </row>
    <row r="278" spans="8:42" x14ac:dyDescent="0.25">
      <c r="H278" s="137"/>
      <c r="Y278" s="137"/>
      <c r="AP278" s="137"/>
    </row>
    <row r="279" spans="8:42" x14ac:dyDescent="0.25">
      <c r="H279" s="137"/>
      <c r="Y279" s="137"/>
      <c r="AP279" s="137"/>
    </row>
    <row r="280" spans="8:42" x14ac:dyDescent="0.25">
      <c r="H280" s="137"/>
      <c r="Y280" s="137"/>
      <c r="AP280" s="137"/>
    </row>
    <row r="281" spans="8:42" x14ac:dyDescent="0.25">
      <c r="H281" s="137"/>
      <c r="Y281" s="137"/>
      <c r="AP281" s="137"/>
    </row>
    <row r="282" spans="8:42" x14ac:dyDescent="0.25">
      <c r="H282" s="137"/>
      <c r="Y282" s="137"/>
      <c r="AP282" s="137"/>
    </row>
    <row r="283" spans="8:42" x14ac:dyDescent="0.25">
      <c r="H283" s="137"/>
      <c r="Y283" s="137"/>
      <c r="AP283" s="137"/>
    </row>
    <row r="284" spans="8:42" x14ac:dyDescent="0.25">
      <c r="H284" s="137"/>
      <c r="Y284" s="137"/>
      <c r="AP284" s="137"/>
    </row>
    <row r="285" spans="8:42" x14ac:dyDescent="0.25">
      <c r="H285" s="137"/>
      <c r="Y285" s="137"/>
      <c r="AP285" s="137"/>
    </row>
    <row r="286" spans="8:42" x14ac:dyDescent="0.25">
      <c r="H286" s="137"/>
      <c r="Y286" s="137"/>
      <c r="AP286" s="137"/>
    </row>
    <row r="287" spans="8:42" x14ac:dyDescent="0.25">
      <c r="H287" s="137"/>
      <c r="Y287" s="137"/>
      <c r="AP287" s="137"/>
    </row>
    <row r="288" spans="8:42" x14ac:dyDescent="0.25">
      <c r="H288" s="137"/>
      <c r="Y288" s="137"/>
      <c r="AP288" s="137"/>
    </row>
    <row r="289" spans="8:42" x14ac:dyDescent="0.25">
      <c r="H289" s="137"/>
      <c r="Y289" s="137"/>
      <c r="AP289" s="137"/>
    </row>
    <row r="290" spans="8:42" x14ac:dyDescent="0.25">
      <c r="H290" s="137"/>
      <c r="Y290" s="137"/>
      <c r="AP290" s="137"/>
    </row>
    <row r="291" spans="8:42" x14ac:dyDescent="0.25">
      <c r="H291" s="137"/>
      <c r="Y291" s="137"/>
      <c r="AP291" s="137"/>
    </row>
    <row r="292" spans="8:42" x14ac:dyDescent="0.25">
      <c r="H292" s="137"/>
      <c r="Y292" s="137"/>
      <c r="AP292" s="137"/>
    </row>
    <row r="293" spans="8:42" x14ac:dyDescent="0.25">
      <c r="H293" s="137"/>
      <c r="Y293" s="137"/>
      <c r="AP293" s="137"/>
    </row>
    <row r="294" spans="8:42" x14ac:dyDescent="0.25">
      <c r="H294" s="137"/>
      <c r="Y294" s="137"/>
      <c r="AP294" s="137"/>
    </row>
    <row r="295" spans="8:42" x14ac:dyDescent="0.25">
      <c r="H295" s="137"/>
      <c r="Y295" s="137"/>
      <c r="AP295" s="137"/>
    </row>
    <row r="296" spans="8:42" x14ac:dyDescent="0.25">
      <c r="H296" s="137"/>
      <c r="Y296" s="137"/>
      <c r="AP296" s="137"/>
    </row>
    <row r="297" spans="8:42" x14ac:dyDescent="0.25">
      <c r="H297" s="137"/>
      <c r="Y297" s="137"/>
      <c r="AP297" s="137"/>
    </row>
    <row r="298" spans="8:42" x14ac:dyDescent="0.25">
      <c r="H298" s="137"/>
      <c r="Y298" s="137"/>
      <c r="AP298" s="137"/>
    </row>
    <row r="299" spans="8:42" x14ac:dyDescent="0.25">
      <c r="H299" s="137"/>
      <c r="Y299" s="137"/>
      <c r="AP299" s="137"/>
    </row>
    <row r="300" spans="8:42" x14ac:dyDescent="0.25">
      <c r="H300" s="137"/>
      <c r="Y300" s="137"/>
      <c r="AP300" s="137"/>
    </row>
    <row r="301" spans="8:42" x14ac:dyDescent="0.25">
      <c r="H301" s="137"/>
      <c r="Y301" s="137"/>
      <c r="AP301" s="137"/>
    </row>
    <row r="302" spans="8:42" x14ac:dyDescent="0.25">
      <c r="H302" s="137"/>
      <c r="Y302" s="137"/>
      <c r="AP302" s="137"/>
    </row>
    <row r="303" spans="8:42" x14ac:dyDescent="0.25">
      <c r="H303" s="137"/>
      <c r="Y303" s="137"/>
      <c r="AP303" s="137"/>
    </row>
    <row r="304" spans="8:42" x14ac:dyDescent="0.25">
      <c r="H304" s="137"/>
      <c r="Y304" s="137"/>
      <c r="AP304" s="137"/>
    </row>
    <row r="305" spans="8:42" x14ac:dyDescent="0.25">
      <c r="H305" s="137"/>
      <c r="Y305" s="137"/>
      <c r="AP305" s="137"/>
    </row>
    <row r="306" spans="8:42" x14ac:dyDescent="0.25">
      <c r="H306" s="137"/>
      <c r="Y306" s="137"/>
      <c r="AP306" s="137"/>
    </row>
    <row r="307" spans="8:42" x14ac:dyDescent="0.25">
      <c r="H307" s="137"/>
      <c r="Y307" s="137"/>
      <c r="AP307" s="137"/>
    </row>
    <row r="308" spans="8:42" x14ac:dyDescent="0.25">
      <c r="H308" s="137"/>
      <c r="Y308" s="137"/>
      <c r="AP308" s="137"/>
    </row>
    <row r="309" spans="8:42" x14ac:dyDescent="0.25">
      <c r="H309" s="137"/>
      <c r="Y309" s="137"/>
      <c r="AP309" s="137"/>
    </row>
    <row r="310" spans="8:42" x14ac:dyDescent="0.25">
      <c r="H310" s="137"/>
      <c r="Y310" s="137"/>
      <c r="AP310" s="137"/>
    </row>
    <row r="311" spans="8:42" x14ac:dyDescent="0.25">
      <c r="H311" s="137"/>
      <c r="Y311" s="137"/>
      <c r="AP311" s="137"/>
    </row>
    <row r="312" spans="8:42" x14ac:dyDescent="0.25">
      <c r="H312" s="137"/>
      <c r="Y312" s="137"/>
      <c r="AP312" s="137"/>
    </row>
    <row r="313" spans="8:42" x14ac:dyDescent="0.25">
      <c r="H313" s="137"/>
      <c r="Y313" s="137"/>
      <c r="AP313" s="137"/>
    </row>
    <row r="314" spans="8:42" x14ac:dyDescent="0.25">
      <c r="H314" s="137"/>
      <c r="Y314" s="137"/>
      <c r="AP314" s="137"/>
    </row>
    <row r="315" spans="8:42" x14ac:dyDescent="0.25">
      <c r="H315" s="137"/>
      <c r="Y315" s="137"/>
      <c r="AP315" s="137"/>
    </row>
    <row r="316" spans="8:42" x14ac:dyDescent="0.25">
      <c r="H316" s="137"/>
      <c r="Y316" s="137"/>
      <c r="AP316" s="137"/>
    </row>
    <row r="317" spans="8:42" x14ac:dyDescent="0.25">
      <c r="H317" s="137"/>
      <c r="Y317" s="137"/>
      <c r="AP317" s="137"/>
    </row>
    <row r="318" spans="8:42" x14ac:dyDescent="0.25">
      <c r="H318" s="137"/>
      <c r="Y318" s="137"/>
      <c r="AP318" s="137"/>
    </row>
    <row r="319" spans="8:42" x14ac:dyDescent="0.25">
      <c r="H319" s="137"/>
      <c r="Y319" s="137"/>
      <c r="AP319" s="137"/>
    </row>
    <row r="320" spans="8:42" x14ac:dyDescent="0.25">
      <c r="H320" s="137"/>
      <c r="Y320" s="137"/>
      <c r="AP320" s="137"/>
    </row>
    <row r="321" spans="8:42" x14ac:dyDescent="0.25">
      <c r="H321" s="137"/>
      <c r="Y321" s="137"/>
      <c r="AP321" s="137"/>
    </row>
    <row r="322" spans="8:42" x14ac:dyDescent="0.25">
      <c r="H322" s="137"/>
      <c r="Y322" s="137"/>
      <c r="AP322" s="137"/>
    </row>
    <row r="323" spans="8:42" x14ac:dyDescent="0.25">
      <c r="H323" s="137"/>
      <c r="Y323" s="137"/>
      <c r="AP323" s="137"/>
    </row>
    <row r="324" spans="8:42" x14ac:dyDescent="0.25">
      <c r="H324" s="137"/>
      <c r="Y324" s="137"/>
      <c r="AP324" s="137"/>
    </row>
    <row r="325" spans="8:42" x14ac:dyDescent="0.25">
      <c r="H325" s="137"/>
      <c r="Y325" s="137"/>
      <c r="AP325" s="137"/>
    </row>
    <row r="326" spans="8:42" x14ac:dyDescent="0.25">
      <c r="H326" s="137"/>
      <c r="Y326" s="137"/>
      <c r="AP326" s="137"/>
    </row>
    <row r="327" spans="8:42" x14ac:dyDescent="0.25">
      <c r="H327" s="137"/>
      <c r="Y327" s="137"/>
      <c r="AP327" s="137"/>
    </row>
    <row r="328" spans="8:42" x14ac:dyDescent="0.25">
      <c r="H328" s="137"/>
      <c r="Y328" s="137"/>
      <c r="AP328" s="137"/>
    </row>
    <row r="329" spans="8:42" x14ac:dyDescent="0.25">
      <c r="H329" s="137"/>
      <c r="Y329" s="137"/>
      <c r="AP329" s="137"/>
    </row>
    <row r="330" spans="8:42" x14ac:dyDescent="0.25">
      <c r="H330" s="137"/>
      <c r="Y330" s="137"/>
      <c r="AP330" s="137"/>
    </row>
    <row r="331" spans="8:42" x14ac:dyDescent="0.25">
      <c r="H331" s="137"/>
      <c r="Y331" s="137"/>
      <c r="AP331" s="137"/>
    </row>
    <row r="332" spans="8:42" x14ac:dyDescent="0.25">
      <c r="H332" s="137"/>
      <c r="Y332" s="137"/>
      <c r="AP332" s="137"/>
    </row>
    <row r="333" spans="8:42" x14ac:dyDescent="0.25">
      <c r="H333" s="137"/>
      <c r="Y333" s="137"/>
      <c r="AP333" s="137"/>
    </row>
    <row r="334" spans="8:42" x14ac:dyDescent="0.25">
      <c r="H334" s="137"/>
      <c r="Y334" s="137"/>
      <c r="AP334" s="137"/>
    </row>
    <row r="335" spans="8:42" x14ac:dyDescent="0.25">
      <c r="H335" s="137"/>
      <c r="Y335" s="137"/>
      <c r="AP335" s="137"/>
    </row>
    <row r="336" spans="8:42" x14ac:dyDescent="0.25">
      <c r="H336" s="137"/>
      <c r="Y336" s="137"/>
      <c r="AP336" s="137"/>
    </row>
    <row r="337" spans="8:42" x14ac:dyDescent="0.25">
      <c r="H337" s="137"/>
      <c r="Y337" s="137"/>
      <c r="AP337" s="137"/>
    </row>
    <row r="338" spans="8:42" x14ac:dyDescent="0.25">
      <c r="H338" s="137"/>
      <c r="Y338" s="137"/>
      <c r="AP338" s="137"/>
    </row>
    <row r="339" spans="8:42" x14ac:dyDescent="0.25">
      <c r="H339" s="137"/>
      <c r="Y339" s="137"/>
      <c r="AP339" s="137"/>
    </row>
    <row r="340" spans="8:42" x14ac:dyDescent="0.25">
      <c r="H340" s="137"/>
      <c r="Y340" s="137"/>
      <c r="AP340" s="137"/>
    </row>
    <row r="341" spans="8:42" x14ac:dyDescent="0.25">
      <c r="H341" s="137"/>
      <c r="Y341" s="137"/>
      <c r="AP341" s="137"/>
    </row>
    <row r="342" spans="8:42" x14ac:dyDescent="0.25">
      <c r="H342" s="137"/>
      <c r="Y342" s="137"/>
      <c r="AP342" s="137"/>
    </row>
    <row r="343" spans="8:42" x14ac:dyDescent="0.25">
      <c r="H343" s="137"/>
      <c r="Y343" s="137"/>
      <c r="AP343" s="137"/>
    </row>
    <row r="344" spans="8:42" x14ac:dyDescent="0.25">
      <c r="H344" s="137"/>
      <c r="Y344" s="137"/>
      <c r="AP344" s="137"/>
    </row>
    <row r="345" spans="8:42" x14ac:dyDescent="0.25">
      <c r="H345" s="137"/>
      <c r="Y345" s="137"/>
      <c r="AP345" s="137"/>
    </row>
    <row r="346" spans="8:42" x14ac:dyDescent="0.25">
      <c r="H346" s="137"/>
      <c r="Y346" s="137"/>
      <c r="AP346" s="137"/>
    </row>
    <row r="347" spans="8:42" x14ac:dyDescent="0.25">
      <c r="H347" s="137"/>
      <c r="Y347" s="137"/>
      <c r="AP347" s="137"/>
    </row>
    <row r="348" spans="8:42" x14ac:dyDescent="0.25">
      <c r="H348" s="137"/>
      <c r="Y348" s="137"/>
      <c r="AP348" s="137"/>
    </row>
    <row r="349" spans="8:42" x14ac:dyDescent="0.25">
      <c r="H349" s="137"/>
      <c r="Y349" s="137"/>
      <c r="AP349" s="137"/>
    </row>
    <row r="350" spans="8:42" x14ac:dyDescent="0.25">
      <c r="H350" s="137"/>
      <c r="Y350" s="137"/>
      <c r="AP350" s="137"/>
    </row>
    <row r="351" spans="8:42" x14ac:dyDescent="0.25">
      <c r="H351" s="137"/>
      <c r="Y351" s="137"/>
      <c r="AP351" s="137"/>
    </row>
    <row r="352" spans="8:42" x14ac:dyDescent="0.25">
      <c r="H352" s="137"/>
      <c r="Y352" s="137"/>
      <c r="AP352" s="137"/>
    </row>
    <row r="353" spans="8:42" x14ac:dyDescent="0.25">
      <c r="H353" s="137"/>
      <c r="Y353" s="137"/>
      <c r="AP353" s="137"/>
    </row>
    <row r="354" spans="8:42" x14ac:dyDescent="0.25">
      <c r="H354" s="137"/>
      <c r="Y354" s="137"/>
      <c r="AP354" s="137"/>
    </row>
    <row r="355" spans="8:42" x14ac:dyDescent="0.25">
      <c r="H355" s="137"/>
      <c r="Y355" s="137"/>
      <c r="AP355" s="137"/>
    </row>
    <row r="356" spans="8:42" x14ac:dyDescent="0.25">
      <c r="H356" s="137"/>
      <c r="Y356" s="137"/>
      <c r="AP356" s="137"/>
    </row>
    <row r="357" spans="8:42" x14ac:dyDescent="0.25">
      <c r="H357" s="137"/>
      <c r="Y357" s="137"/>
      <c r="AP357" s="137"/>
    </row>
    <row r="358" spans="8:42" x14ac:dyDescent="0.25">
      <c r="H358" s="137"/>
      <c r="Y358" s="137"/>
      <c r="AP358" s="137"/>
    </row>
    <row r="359" spans="8:42" x14ac:dyDescent="0.25">
      <c r="H359" s="137"/>
      <c r="Y359" s="137"/>
      <c r="AP359" s="137"/>
    </row>
    <row r="360" spans="8:42" x14ac:dyDescent="0.25">
      <c r="H360" s="137"/>
      <c r="Y360" s="137"/>
      <c r="AP360" s="137"/>
    </row>
    <row r="361" spans="8:42" x14ac:dyDescent="0.25">
      <c r="H361" s="137"/>
      <c r="Y361" s="137"/>
      <c r="AP361" s="137"/>
    </row>
    <row r="362" spans="8:42" x14ac:dyDescent="0.25">
      <c r="H362" s="137"/>
      <c r="Y362" s="137"/>
      <c r="AP362" s="137"/>
    </row>
    <row r="363" spans="8:42" x14ac:dyDescent="0.25">
      <c r="H363" s="137"/>
      <c r="Y363" s="137"/>
      <c r="AP363" s="137"/>
    </row>
    <row r="364" spans="8:42" x14ac:dyDescent="0.25">
      <c r="H364" s="137"/>
      <c r="Y364" s="137"/>
      <c r="AP364" s="137"/>
    </row>
    <row r="365" spans="8:42" x14ac:dyDescent="0.25">
      <c r="H365" s="137"/>
      <c r="Y365" s="137"/>
      <c r="AP365" s="137"/>
    </row>
    <row r="366" spans="8:42" x14ac:dyDescent="0.25">
      <c r="H366" s="137"/>
      <c r="Y366" s="137"/>
      <c r="AP366" s="137"/>
    </row>
    <row r="367" spans="8:42" x14ac:dyDescent="0.25">
      <c r="H367" s="137"/>
      <c r="Y367" s="137"/>
      <c r="AP367" s="137"/>
    </row>
    <row r="368" spans="8:42" x14ac:dyDescent="0.25">
      <c r="H368" s="137"/>
      <c r="Y368" s="137"/>
      <c r="AP368" s="137"/>
    </row>
    <row r="369" spans="8:42" x14ac:dyDescent="0.25">
      <c r="H369" s="137"/>
      <c r="Y369" s="137"/>
      <c r="AP369" s="137"/>
    </row>
    <row r="370" spans="8:42" x14ac:dyDescent="0.25">
      <c r="H370" s="137"/>
      <c r="Y370" s="137"/>
      <c r="AP370" s="137"/>
    </row>
    <row r="371" spans="8:42" x14ac:dyDescent="0.25">
      <c r="H371" s="137"/>
      <c r="Y371" s="137"/>
      <c r="AP371" s="137"/>
    </row>
    <row r="372" spans="8:42" x14ac:dyDescent="0.25">
      <c r="H372" s="137"/>
      <c r="Y372" s="137"/>
      <c r="AP372" s="137"/>
    </row>
    <row r="373" spans="8:42" x14ac:dyDescent="0.25">
      <c r="H373" s="137"/>
      <c r="Y373" s="137"/>
      <c r="AP373" s="137"/>
    </row>
    <row r="374" spans="8:42" x14ac:dyDescent="0.25">
      <c r="H374" s="137"/>
      <c r="Y374" s="137"/>
      <c r="AP374" s="137"/>
    </row>
    <row r="375" spans="8:42" x14ac:dyDescent="0.25">
      <c r="H375" s="137"/>
      <c r="Y375" s="137"/>
      <c r="AP375" s="137"/>
    </row>
    <row r="376" spans="8:42" x14ac:dyDescent="0.25">
      <c r="H376" s="137"/>
      <c r="Y376" s="137"/>
      <c r="AP376" s="137"/>
    </row>
    <row r="377" spans="8:42" x14ac:dyDescent="0.25">
      <c r="H377" s="137"/>
      <c r="Y377" s="137"/>
      <c r="AP377" s="137"/>
    </row>
    <row r="378" spans="8:42" x14ac:dyDescent="0.25">
      <c r="H378" s="137"/>
      <c r="Y378" s="137"/>
      <c r="AP378" s="137"/>
    </row>
    <row r="379" spans="8:42" x14ac:dyDescent="0.25">
      <c r="H379" s="137"/>
      <c r="Y379" s="137"/>
      <c r="AP379" s="137"/>
    </row>
    <row r="380" spans="8:42" x14ac:dyDescent="0.25">
      <c r="H380" s="137"/>
      <c r="Y380" s="137"/>
      <c r="AP380" s="137"/>
    </row>
    <row r="381" spans="8:42" x14ac:dyDescent="0.25">
      <c r="H381" s="137"/>
      <c r="Y381" s="137"/>
      <c r="AP381" s="137"/>
    </row>
    <row r="382" spans="8:42" x14ac:dyDescent="0.25">
      <c r="H382" s="137"/>
      <c r="Y382" s="137"/>
      <c r="AP382" s="137"/>
    </row>
    <row r="383" spans="8:42" x14ac:dyDescent="0.25">
      <c r="H383" s="137"/>
      <c r="Y383" s="137"/>
      <c r="AP383" s="137"/>
    </row>
    <row r="384" spans="8:42" x14ac:dyDescent="0.25">
      <c r="H384" s="137"/>
      <c r="Y384" s="137"/>
      <c r="AP384" s="137"/>
    </row>
    <row r="385" spans="8:42" x14ac:dyDescent="0.25">
      <c r="H385" s="137"/>
      <c r="Y385" s="137"/>
      <c r="AP385" s="137"/>
    </row>
    <row r="386" spans="8:42" x14ac:dyDescent="0.25">
      <c r="H386" s="137"/>
      <c r="Y386" s="137"/>
      <c r="AP386" s="137"/>
    </row>
    <row r="387" spans="8:42" x14ac:dyDescent="0.25">
      <c r="H387" s="137"/>
      <c r="Y387" s="137"/>
      <c r="AP387" s="137"/>
    </row>
    <row r="388" spans="8:42" x14ac:dyDescent="0.25">
      <c r="H388" s="137"/>
      <c r="Y388" s="137"/>
      <c r="AP388" s="137"/>
    </row>
    <row r="389" spans="8:42" x14ac:dyDescent="0.25">
      <c r="H389" s="137"/>
      <c r="Y389" s="137"/>
      <c r="AP389" s="137"/>
    </row>
    <row r="390" spans="8:42" x14ac:dyDescent="0.25">
      <c r="H390" s="137"/>
      <c r="Y390" s="137"/>
      <c r="AP390" s="137"/>
    </row>
    <row r="391" spans="8:42" x14ac:dyDescent="0.25">
      <c r="H391" s="137"/>
      <c r="Y391" s="137"/>
      <c r="AP391" s="137"/>
    </row>
    <row r="392" spans="8:42" x14ac:dyDescent="0.25">
      <c r="H392" s="137"/>
      <c r="Y392" s="137"/>
      <c r="AP392" s="137"/>
    </row>
    <row r="393" spans="8:42" x14ac:dyDescent="0.25">
      <c r="H393" s="137"/>
      <c r="Y393" s="137"/>
      <c r="AP393" s="137"/>
    </row>
    <row r="394" spans="8:42" x14ac:dyDescent="0.25">
      <c r="H394" s="137"/>
      <c r="Y394" s="137"/>
      <c r="AP394" s="137"/>
    </row>
    <row r="395" spans="8:42" x14ac:dyDescent="0.25">
      <c r="H395" s="137"/>
      <c r="Y395" s="137"/>
      <c r="AP395" s="137"/>
    </row>
    <row r="396" spans="8:42" x14ac:dyDescent="0.25">
      <c r="H396" s="137"/>
      <c r="Y396" s="137"/>
      <c r="AP396" s="137"/>
    </row>
    <row r="397" spans="8:42" x14ac:dyDescent="0.25">
      <c r="H397" s="137"/>
      <c r="Y397" s="137"/>
      <c r="AP397" s="137"/>
    </row>
    <row r="398" spans="8:42" x14ac:dyDescent="0.25">
      <c r="H398" s="137"/>
      <c r="Y398" s="137"/>
      <c r="AP398" s="137"/>
    </row>
    <row r="399" spans="8:42" x14ac:dyDescent="0.25">
      <c r="H399" s="137"/>
      <c r="Y399" s="137"/>
      <c r="AP399" s="137"/>
    </row>
    <row r="400" spans="8:42" x14ac:dyDescent="0.25">
      <c r="H400" s="137"/>
      <c r="Y400" s="137"/>
      <c r="AP400" s="137"/>
    </row>
    <row r="401" spans="8:42" x14ac:dyDescent="0.25">
      <c r="H401" s="137"/>
      <c r="Y401" s="137"/>
      <c r="AP401" s="137"/>
    </row>
    <row r="402" spans="8:42" x14ac:dyDescent="0.25">
      <c r="H402" s="137"/>
      <c r="Y402" s="137"/>
      <c r="AP402" s="137"/>
    </row>
    <row r="403" spans="8:42" x14ac:dyDescent="0.25">
      <c r="H403" s="137"/>
      <c r="Y403" s="137"/>
      <c r="AP403" s="137"/>
    </row>
    <row r="404" spans="8:42" x14ac:dyDescent="0.25">
      <c r="H404" s="137"/>
      <c r="Y404" s="137"/>
      <c r="AP404" s="137"/>
    </row>
    <row r="405" spans="8:42" x14ac:dyDescent="0.25">
      <c r="H405" s="137"/>
      <c r="Y405" s="137"/>
      <c r="AP405" s="137"/>
    </row>
    <row r="406" spans="8:42" x14ac:dyDescent="0.25">
      <c r="H406" s="137"/>
      <c r="Y406" s="137"/>
      <c r="AP406" s="137"/>
    </row>
    <row r="407" spans="8:42" x14ac:dyDescent="0.25">
      <c r="H407" s="137"/>
      <c r="Y407" s="137"/>
      <c r="AP407" s="137"/>
    </row>
    <row r="408" spans="8:42" x14ac:dyDescent="0.25">
      <c r="H408" s="137"/>
      <c r="Y408" s="137"/>
      <c r="AP408" s="137"/>
    </row>
    <row r="409" spans="8:42" x14ac:dyDescent="0.25">
      <c r="H409" s="137"/>
      <c r="Y409" s="137"/>
      <c r="AP409" s="137"/>
    </row>
    <row r="410" spans="8:42" x14ac:dyDescent="0.25">
      <c r="H410" s="137"/>
      <c r="Y410" s="137"/>
      <c r="AP410" s="137"/>
    </row>
    <row r="411" spans="8:42" x14ac:dyDescent="0.25">
      <c r="H411" s="137"/>
      <c r="Y411" s="137"/>
      <c r="AP411" s="137"/>
    </row>
    <row r="412" spans="8:42" x14ac:dyDescent="0.25">
      <c r="H412" s="137"/>
      <c r="Y412" s="137"/>
      <c r="AP412" s="137"/>
    </row>
    <row r="413" spans="8:42" x14ac:dyDescent="0.25">
      <c r="H413" s="137"/>
      <c r="Y413" s="137"/>
      <c r="AP413" s="137"/>
    </row>
    <row r="414" spans="8:42" x14ac:dyDescent="0.25">
      <c r="H414" s="137"/>
      <c r="Y414" s="137"/>
      <c r="AP414" s="137"/>
    </row>
    <row r="415" spans="8:42" x14ac:dyDescent="0.25">
      <c r="H415" s="137"/>
      <c r="Y415" s="137"/>
      <c r="AP415" s="137"/>
    </row>
    <row r="416" spans="8:42" x14ac:dyDescent="0.25">
      <c r="H416" s="137"/>
      <c r="Y416" s="137"/>
      <c r="AP416" s="137"/>
    </row>
    <row r="417" spans="8:42" x14ac:dyDescent="0.25">
      <c r="H417" s="137"/>
      <c r="Y417" s="137"/>
      <c r="AP417" s="137"/>
    </row>
    <row r="418" spans="8:42" x14ac:dyDescent="0.25">
      <c r="H418" s="137"/>
      <c r="Y418" s="137"/>
      <c r="AP418" s="137"/>
    </row>
    <row r="419" spans="8:42" x14ac:dyDescent="0.25">
      <c r="H419" s="137"/>
      <c r="Y419" s="137"/>
      <c r="AP419" s="137"/>
    </row>
    <row r="420" spans="8:42" x14ac:dyDescent="0.25">
      <c r="H420" s="137"/>
      <c r="Y420" s="137"/>
      <c r="AP420" s="137"/>
    </row>
    <row r="421" spans="8:42" x14ac:dyDescent="0.25">
      <c r="H421" s="137"/>
      <c r="Y421" s="137"/>
      <c r="AP421" s="137"/>
    </row>
    <row r="422" spans="8:42" x14ac:dyDescent="0.25">
      <c r="H422" s="137"/>
      <c r="Y422" s="137"/>
      <c r="AP422" s="137"/>
    </row>
    <row r="423" spans="8:42" x14ac:dyDescent="0.25">
      <c r="H423" s="137"/>
      <c r="Y423" s="137"/>
      <c r="AP423" s="137"/>
    </row>
    <row r="424" spans="8:42" x14ac:dyDescent="0.25">
      <c r="H424" s="137"/>
      <c r="Y424" s="137"/>
      <c r="AP424" s="137"/>
    </row>
    <row r="425" spans="8:42" x14ac:dyDescent="0.25">
      <c r="H425" s="137"/>
      <c r="Y425" s="137"/>
      <c r="AP425" s="137"/>
    </row>
    <row r="426" spans="8:42" x14ac:dyDescent="0.25">
      <c r="H426" s="137"/>
      <c r="Y426" s="137"/>
      <c r="AP426" s="137"/>
    </row>
    <row r="427" spans="8:42" x14ac:dyDescent="0.25">
      <c r="H427" s="137"/>
      <c r="Y427" s="137"/>
      <c r="AP427" s="137"/>
    </row>
    <row r="428" spans="8:42" x14ac:dyDescent="0.25">
      <c r="H428" s="137"/>
      <c r="Y428" s="137"/>
      <c r="AP428" s="137"/>
    </row>
    <row r="429" spans="8:42" x14ac:dyDescent="0.25">
      <c r="H429" s="137"/>
      <c r="Y429" s="137"/>
      <c r="AP429" s="137"/>
    </row>
    <row r="430" spans="8:42" x14ac:dyDescent="0.25">
      <c r="H430" s="137"/>
      <c r="Y430" s="137"/>
      <c r="AP430" s="137"/>
    </row>
    <row r="431" spans="8:42" x14ac:dyDescent="0.25">
      <c r="H431" s="137"/>
      <c r="Y431" s="137"/>
      <c r="AP431" s="137"/>
    </row>
    <row r="432" spans="8:42" x14ac:dyDescent="0.25">
      <c r="H432" s="137"/>
      <c r="Y432" s="137"/>
      <c r="AP432" s="137"/>
    </row>
    <row r="433" spans="8:42" x14ac:dyDescent="0.25">
      <c r="H433" s="137"/>
      <c r="Y433" s="137"/>
      <c r="AP433" s="137"/>
    </row>
    <row r="434" spans="8:42" x14ac:dyDescent="0.25">
      <c r="H434" s="137"/>
      <c r="Y434" s="137"/>
      <c r="AP434" s="137"/>
    </row>
    <row r="435" spans="8:42" x14ac:dyDescent="0.25">
      <c r="H435" s="137"/>
      <c r="Y435" s="137"/>
      <c r="AP435" s="137"/>
    </row>
    <row r="436" spans="8:42" x14ac:dyDescent="0.25">
      <c r="H436" s="137"/>
      <c r="Y436" s="137"/>
      <c r="AP436" s="137"/>
    </row>
    <row r="437" spans="8:42" x14ac:dyDescent="0.25">
      <c r="H437" s="137"/>
      <c r="Y437" s="137"/>
      <c r="AP437" s="137"/>
    </row>
    <row r="438" spans="8:42" x14ac:dyDescent="0.25">
      <c r="H438" s="137"/>
      <c r="Y438" s="137"/>
      <c r="AP438" s="137"/>
    </row>
    <row r="439" spans="8:42" x14ac:dyDescent="0.25">
      <c r="H439" s="137"/>
      <c r="Y439" s="137"/>
      <c r="AP439" s="137"/>
    </row>
    <row r="440" spans="8:42" x14ac:dyDescent="0.25">
      <c r="H440" s="137"/>
      <c r="Y440" s="137"/>
      <c r="AP440" s="137"/>
    </row>
    <row r="441" spans="8:42" x14ac:dyDescent="0.25">
      <c r="H441" s="137"/>
      <c r="Y441" s="137"/>
      <c r="AP441" s="137"/>
    </row>
    <row r="442" spans="8:42" x14ac:dyDescent="0.25">
      <c r="H442" s="137"/>
      <c r="Y442" s="137"/>
      <c r="AP442" s="137"/>
    </row>
    <row r="443" spans="8:42" x14ac:dyDescent="0.25">
      <c r="H443" s="137"/>
      <c r="Y443" s="137"/>
      <c r="AP443" s="137"/>
    </row>
    <row r="444" spans="8:42" x14ac:dyDescent="0.25">
      <c r="H444" s="137"/>
      <c r="Y444" s="137"/>
      <c r="AP444" s="137"/>
    </row>
    <row r="445" spans="8:42" x14ac:dyDescent="0.25">
      <c r="H445" s="137"/>
      <c r="Y445" s="137"/>
      <c r="AP445" s="137"/>
    </row>
    <row r="446" spans="8:42" x14ac:dyDescent="0.25">
      <c r="H446" s="137"/>
      <c r="Y446" s="137"/>
      <c r="AP446" s="137"/>
    </row>
    <row r="447" spans="8:42" x14ac:dyDescent="0.25">
      <c r="H447" s="137"/>
      <c r="Y447" s="137"/>
      <c r="AP447" s="137"/>
    </row>
    <row r="448" spans="8:42" x14ac:dyDescent="0.25">
      <c r="H448" s="137"/>
    </row>
    <row r="449" spans="8:8" x14ac:dyDescent="0.25">
      <c r="H449" s="137"/>
    </row>
    <row r="450" spans="8:8" x14ac:dyDescent="0.25">
      <c r="H450" s="137"/>
    </row>
  </sheetData>
  <mergeCells count="14">
    <mergeCell ref="G9:V9"/>
    <mergeCell ref="X9:AM9"/>
    <mergeCell ref="AO9:BF9"/>
    <mergeCell ref="BE11:BF11"/>
    <mergeCell ref="BH11:BM11"/>
    <mergeCell ref="AL12:AM12"/>
    <mergeCell ref="AX12:AZ12"/>
    <mergeCell ref="BA12:BB12"/>
    <mergeCell ref="BC12:BD12"/>
    <mergeCell ref="P12:R12"/>
    <mergeCell ref="S12:T12"/>
    <mergeCell ref="U12:V12"/>
    <mergeCell ref="AG12:AI12"/>
    <mergeCell ref="AJ12:AK12"/>
  </mergeCells>
  <printOptions horizontalCentered="1"/>
  <pageMargins left="0.39370078740157483" right="0.23622047244094491" top="0.34" bottom="0.39370078740157483" header="0.23" footer="0.19685039370078741"/>
  <pageSetup paperSize="9" scale="45" fitToHeight="3" orientation="landscape" r:id="rId1"/>
  <headerFooter alignWithMargins="0">
    <oddFooter>&amp;L&amp;D&amp;T&amp;C&amp;F&amp;R&amp;A&amp;P</oddFooter>
  </headerFooter>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7873-A934-498B-9937-440C3460D1F8}">
  <sheetPr codeName="Sheet4">
    <pageSetUpPr fitToPage="1"/>
  </sheetPr>
  <dimension ref="A1:AC446"/>
  <sheetViews>
    <sheetView showGridLines="0" zoomScale="90" zoomScaleNormal="90" workbookViewId="0">
      <pane xSplit="4" ySplit="15" topLeftCell="L16" activePane="bottomRight" state="frozenSplit"/>
      <selection activeCell="L139" sqref="L139"/>
      <selection pane="topRight" activeCell="L139" sqref="L139"/>
      <selection pane="bottomLeft" activeCell="L139" sqref="L139"/>
      <selection pane="bottomRight" activeCell="Z24" sqref="Z24"/>
    </sheetView>
  </sheetViews>
  <sheetFormatPr defaultRowHeight="15" x14ac:dyDescent="0.25"/>
  <cols>
    <col min="1" max="1" width="1.5703125" style="3" customWidth="1"/>
    <col min="2" max="2" width="7.7109375" style="3" customWidth="1"/>
    <col min="3" max="3" width="10.7109375" style="3" customWidth="1"/>
    <col min="4" max="4" width="11.7109375" style="3" customWidth="1"/>
    <col min="5" max="5" width="48.42578125" style="3" bestFit="1" customWidth="1"/>
    <col min="6" max="6" width="3.7109375" style="3" customWidth="1"/>
    <col min="7" max="24" width="13.140625" style="3" customWidth="1"/>
    <col min="25" max="26" width="9.140625" style="3"/>
    <col min="27" max="29" width="12.140625" style="128" customWidth="1"/>
    <col min="30" max="16384" width="9.140625" style="3"/>
  </cols>
  <sheetData>
    <row r="1" spans="2:29" ht="24" customHeight="1" x14ac:dyDescent="0.35">
      <c r="B1" s="1" t="str">
        <f>'Model Update'!D5</f>
        <v>SA Power Networks</v>
      </c>
      <c r="C1" s="2"/>
      <c r="D1" s="2"/>
      <c r="G1" s="4" t="s">
        <v>11</v>
      </c>
    </row>
    <row r="2" spans="2:29" ht="21.75" customHeight="1" x14ac:dyDescent="0.25">
      <c r="B2" s="5" t="s">
        <v>178</v>
      </c>
      <c r="C2" s="2"/>
      <c r="D2" s="2"/>
      <c r="H2" s="6" t="s">
        <v>13</v>
      </c>
      <c r="I2" s="6"/>
      <c r="J2" s="6"/>
      <c r="K2" s="6"/>
    </row>
    <row r="3" spans="2:29" ht="18" hidden="1" customHeight="1" x14ac:dyDescent="0.3">
      <c r="B3" s="7"/>
      <c r="C3" s="2"/>
      <c r="D3" s="2"/>
      <c r="H3" s="6"/>
      <c r="I3" s="6"/>
      <c r="J3" s="6"/>
      <c r="K3" s="6"/>
    </row>
    <row r="4" spans="2:29" ht="18" hidden="1" customHeight="1" x14ac:dyDescent="0.3">
      <c r="B4" s="7"/>
      <c r="C4" s="2"/>
      <c r="D4" s="2"/>
      <c r="H4" s="6"/>
      <c r="I4" s="6"/>
      <c r="J4" s="6"/>
      <c r="K4" s="6"/>
    </row>
    <row r="5" spans="2:29" ht="12.75" customHeight="1" x14ac:dyDescent="0.3">
      <c r="B5" s="7"/>
      <c r="C5" s="2"/>
      <c r="D5" s="2"/>
      <c r="H5" s="6"/>
      <c r="I5" s="6"/>
      <c r="J5" s="6"/>
      <c r="K5" s="6"/>
    </row>
    <row r="6" spans="2:29" ht="12.75" customHeight="1" x14ac:dyDescent="0.3">
      <c r="B6" s="7"/>
      <c r="C6" s="2"/>
      <c r="D6" s="2"/>
      <c r="I6" s="6"/>
      <c r="J6" s="6"/>
      <c r="K6" s="6"/>
    </row>
    <row r="7" spans="2:29" ht="18.75" x14ac:dyDescent="0.3">
      <c r="B7" s="7" t="str">
        <f>"Information for financial year ending 30 June "&amp;'Model Update'!C12</f>
        <v>Information for financial year ending 30 June 2021</v>
      </c>
      <c r="C7" s="2"/>
      <c r="D7" s="2"/>
      <c r="H7" s="6"/>
      <c r="I7" s="6"/>
      <c r="J7" s="6"/>
      <c r="K7" s="6"/>
      <c r="W7" s="258">
        <f>Days_Year</f>
        <v>365</v>
      </c>
    </row>
    <row r="8" spans="2:29" x14ac:dyDescent="0.25">
      <c r="B8" s="8"/>
      <c r="C8" s="2"/>
      <c r="D8" s="2"/>
    </row>
    <row r="9" spans="2:29" ht="18.75" x14ac:dyDescent="0.25">
      <c r="B9" s="8"/>
      <c r="C9" s="2"/>
      <c r="D9" s="2"/>
      <c r="G9" s="865" t="s">
        <v>15</v>
      </c>
      <c r="H9" s="865"/>
      <c r="I9" s="865"/>
      <c r="J9" s="865"/>
      <c r="K9" s="865"/>
      <c r="L9" s="865"/>
      <c r="M9" s="865"/>
      <c r="N9" s="865"/>
      <c r="O9" s="865"/>
      <c r="P9" s="865"/>
      <c r="Q9" s="865"/>
      <c r="R9" s="865"/>
      <c r="S9" s="865"/>
      <c r="T9" s="865"/>
      <c r="U9" s="865"/>
      <c r="V9" s="866"/>
      <c r="W9" s="867"/>
      <c r="X9" s="867"/>
    </row>
    <row r="10" spans="2:29" x14ac:dyDescent="0.25">
      <c r="E10" s="9"/>
      <c r="V10" s="10"/>
    </row>
    <row r="11" spans="2:29" ht="12.75" x14ac:dyDescent="0.2">
      <c r="B11" s="11" t="s">
        <v>16</v>
      </c>
      <c r="C11" s="12"/>
      <c r="D11" s="12"/>
      <c r="E11" s="13"/>
      <c r="G11" s="121">
        <f>'Model Update'!C12</f>
        <v>2021</v>
      </c>
      <c r="H11" s="122">
        <f>$G$11</f>
        <v>2021</v>
      </c>
      <c r="I11" s="12"/>
      <c r="J11" s="14"/>
      <c r="K11" s="15"/>
      <c r="L11" s="122">
        <f>$G$11</f>
        <v>2021</v>
      </c>
      <c r="M11" s="16"/>
      <c r="N11" s="16"/>
      <c r="O11" s="15"/>
      <c r="P11" s="122">
        <f>$G$11</f>
        <v>2021</v>
      </c>
      <c r="Q11" s="12"/>
      <c r="R11" s="14"/>
      <c r="S11" s="122">
        <f>$G$11</f>
        <v>2021</v>
      </c>
      <c r="T11" s="17"/>
      <c r="U11" s="122">
        <f>$G$11</f>
        <v>2021</v>
      </c>
      <c r="V11" s="13"/>
      <c r="W11" s="871" t="s">
        <v>17</v>
      </c>
      <c r="X11" s="872"/>
      <c r="AA11" s="462"/>
      <c r="AB11" s="12"/>
      <c r="AC11" s="13"/>
    </row>
    <row r="12" spans="2:29" x14ac:dyDescent="0.25">
      <c r="B12" s="18"/>
      <c r="E12" s="10"/>
      <c r="G12" s="19" t="s">
        <v>18</v>
      </c>
      <c r="H12" s="20" t="s">
        <v>19</v>
      </c>
      <c r="J12" s="21"/>
      <c r="K12" s="22"/>
      <c r="L12" s="20" t="s">
        <v>20</v>
      </c>
      <c r="M12" s="23"/>
      <c r="N12" s="23"/>
      <c r="O12" s="22"/>
      <c r="P12" s="856" t="s">
        <v>21</v>
      </c>
      <c r="Q12" s="857"/>
      <c r="R12" s="858"/>
      <c r="S12" s="859" t="s">
        <v>662</v>
      </c>
      <c r="T12" s="860"/>
      <c r="U12" s="856" t="s">
        <v>663</v>
      </c>
      <c r="V12" s="858"/>
      <c r="W12" s="24"/>
      <c r="X12" s="22" t="s">
        <v>23</v>
      </c>
      <c r="AA12" s="868" t="s">
        <v>372</v>
      </c>
      <c r="AB12" s="869"/>
      <c r="AC12" s="870"/>
    </row>
    <row r="13" spans="2:29" x14ac:dyDescent="0.25">
      <c r="B13" s="18"/>
      <c r="E13" s="10"/>
      <c r="G13" s="19"/>
      <c r="H13" s="25" t="s">
        <v>23</v>
      </c>
      <c r="I13" s="21" t="s">
        <v>23</v>
      </c>
      <c r="J13" s="21" t="s">
        <v>23</v>
      </c>
      <c r="K13" s="22" t="s">
        <v>23</v>
      </c>
      <c r="L13" s="25" t="s">
        <v>23</v>
      </c>
      <c r="M13" s="21" t="s">
        <v>23</v>
      </c>
      <c r="N13" s="21" t="s">
        <v>23</v>
      </c>
      <c r="O13" s="22" t="s">
        <v>23</v>
      </c>
      <c r="P13" s="129" t="s">
        <v>24</v>
      </c>
      <c r="Q13" s="128" t="s">
        <v>24</v>
      </c>
      <c r="R13" s="159" t="s">
        <v>24</v>
      </c>
      <c r="S13" s="129" t="s">
        <v>24</v>
      </c>
      <c r="T13" s="159" t="s">
        <v>24</v>
      </c>
      <c r="U13" s="160" t="s">
        <v>25</v>
      </c>
      <c r="V13" s="158" t="s">
        <v>25</v>
      </c>
      <c r="W13" s="24"/>
      <c r="X13" s="22"/>
      <c r="AA13" s="241" t="s">
        <v>23</v>
      </c>
      <c r="AB13" s="242" t="s">
        <v>23</v>
      </c>
      <c r="AC13" s="243" t="s">
        <v>212</v>
      </c>
    </row>
    <row r="14" spans="2:29" s="21" customFormat="1" x14ac:dyDescent="0.25">
      <c r="B14" s="19" t="s">
        <v>26</v>
      </c>
      <c r="C14" s="21" t="s">
        <v>27</v>
      </c>
      <c r="D14" s="21" t="s">
        <v>27</v>
      </c>
      <c r="E14" s="22" t="s">
        <v>28</v>
      </c>
      <c r="F14" s="3"/>
      <c r="G14" s="19" t="s">
        <v>29</v>
      </c>
      <c r="H14" s="25" t="s">
        <v>30</v>
      </c>
      <c r="I14" s="21" t="s">
        <v>31</v>
      </c>
      <c r="J14" s="21" t="s">
        <v>32</v>
      </c>
      <c r="K14" s="22" t="s">
        <v>33</v>
      </c>
      <c r="L14" s="25" t="s">
        <v>30</v>
      </c>
      <c r="M14" s="21" t="s">
        <v>31</v>
      </c>
      <c r="N14" s="21" t="s">
        <v>32</v>
      </c>
      <c r="O14" s="22" t="s">
        <v>33</v>
      </c>
      <c r="P14" s="160"/>
      <c r="Q14" s="129"/>
      <c r="R14" s="129"/>
      <c r="S14" s="160"/>
      <c r="T14" s="158"/>
      <c r="U14" s="160" t="s">
        <v>34</v>
      </c>
      <c r="V14" s="158"/>
      <c r="W14" s="25" t="s">
        <v>22</v>
      </c>
      <c r="X14" s="22" t="s">
        <v>35</v>
      </c>
      <c r="AA14" s="241" t="s">
        <v>208</v>
      </c>
      <c r="AB14" s="242" t="s">
        <v>209</v>
      </c>
      <c r="AC14" s="243"/>
    </row>
    <row r="15" spans="2:29" s="21" customFormat="1" x14ac:dyDescent="0.25">
      <c r="B15" s="26"/>
      <c r="C15" s="27" t="s">
        <v>36</v>
      </c>
      <c r="D15" s="27" t="s">
        <v>37</v>
      </c>
      <c r="E15" s="28" t="s">
        <v>38</v>
      </c>
      <c r="F15" s="3"/>
      <c r="G15" s="26" t="s">
        <v>29</v>
      </c>
      <c r="H15" s="29" t="s">
        <v>30</v>
      </c>
      <c r="I15" s="27" t="s">
        <v>31</v>
      </c>
      <c r="J15" s="27" t="s">
        <v>39</v>
      </c>
      <c r="K15" s="28" t="s">
        <v>32</v>
      </c>
      <c r="L15" s="29" t="s">
        <v>30</v>
      </c>
      <c r="M15" s="27"/>
      <c r="N15" s="27"/>
      <c r="O15" s="28"/>
      <c r="P15" s="165" t="s">
        <v>40</v>
      </c>
      <c r="Q15" s="163" t="s">
        <v>666</v>
      </c>
      <c r="R15" s="163" t="s">
        <v>667</v>
      </c>
      <c r="S15" s="165" t="s">
        <v>665</v>
      </c>
      <c r="T15" s="164" t="s">
        <v>664</v>
      </c>
      <c r="U15" s="165" t="s">
        <v>34</v>
      </c>
      <c r="V15" s="166" t="s">
        <v>664</v>
      </c>
      <c r="W15" s="29" t="s">
        <v>22</v>
      </c>
      <c r="X15" s="28" t="s">
        <v>35</v>
      </c>
      <c r="AA15" s="165"/>
      <c r="AB15" s="163"/>
      <c r="AC15" s="164"/>
    </row>
    <row r="16" spans="2:29" ht="15" customHeight="1" x14ac:dyDescent="0.25">
      <c r="B16" s="30" t="s">
        <v>41</v>
      </c>
      <c r="C16" s="14" t="s">
        <v>42</v>
      </c>
      <c r="D16" s="12"/>
      <c r="E16" s="13"/>
      <c r="G16" s="31"/>
      <c r="H16" s="32"/>
      <c r="I16" s="33"/>
      <c r="J16" s="33"/>
      <c r="K16" s="34"/>
      <c r="L16" s="33"/>
      <c r="M16" s="33"/>
      <c r="N16" s="33"/>
      <c r="O16" s="34"/>
      <c r="P16" s="32"/>
      <c r="Q16" s="33"/>
      <c r="R16" s="34"/>
      <c r="S16" s="32"/>
      <c r="T16" s="33"/>
      <c r="U16" s="32"/>
      <c r="V16" s="34"/>
      <c r="W16" s="308">
        <f>G16/$W$7</f>
        <v>0</v>
      </c>
      <c r="X16" s="309">
        <f>SUM(H16:O16)</f>
        <v>0</v>
      </c>
      <c r="AA16" s="260">
        <f>SUBTOTAL(9,AA17:AA25)</f>
        <v>3187000</v>
      </c>
      <c r="AB16" s="260">
        <f>SUBTOTAL(9,AB17:AB25)</f>
        <v>471000</v>
      </c>
      <c r="AC16" s="261">
        <f>SUM(AA16:AB16)</f>
        <v>3658000</v>
      </c>
    </row>
    <row r="17" spans="2:29" ht="15" customHeight="1" x14ac:dyDescent="0.25">
      <c r="B17" s="35"/>
      <c r="C17" s="36" t="s">
        <v>43</v>
      </c>
      <c r="D17" s="37"/>
      <c r="E17" s="10"/>
      <c r="G17" s="38"/>
      <c r="H17" s="39"/>
      <c r="I17" s="40"/>
      <c r="J17" s="40"/>
      <c r="K17" s="41"/>
      <c r="L17" s="42"/>
      <c r="M17" s="42"/>
      <c r="N17" s="42"/>
      <c r="O17" s="43"/>
      <c r="P17" s="39"/>
      <c r="Q17" s="40"/>
      <c r="R17" s="41"/>
      <c r="S17" s="39"/>
      <c r="T17" s="40"/>
      <c r="U17" s="39"/>
      <c r="V17" s="41"/>
      <c r="W17" s="310">
        <f t="shared" ref="W17:W77" si="0">G17/$W$7</f>
        <v>0</v>
      </c>
      <c r="X17" s="311">
        <f t="shared" ref="X17:X77" si="1">SUM(H17:O17)</f>
        <v>0</v>
      </c>
      <c r="AA17" s="267">
        <f>SUBTOTAL(9,AA18:AA19)</f>
        <v>2657800</v>
      </c>
      <c r="AB17" s="268">
        <f>SUBTOTAL(9,AB18:AB19)</f>
        <v>361600</v>
      </c>
      <c r="AC17" s="261">
        <f>SUM(AA17:AB17)</f>
        <v>3019400</v>
      </c>
    </row>
    <row r="18" spans="2:29" ht="15" customHeight="1" x14ac:dyDescent="0.25">
      <c r="B18" s="156">
        <v>1</v>
      </c>
      <c r="C18" s="44" t="s">
        <v>44</v>
      </c>
      <c r="D18" s="45" t="s">
        <v>44</v>
      </c>
      <c r="E18" s="46" t="s">
        <v>669</v>
      </c>
      <c r="G18" s="47">
        <f>'[15]Billing Qty 2021 NEW Format'!G18</f>
        <v>242803475</v>
      </c>
      <c r="H18" s="48">
        <f>'[15]Billing Qty 2021 NEW Format'!H18</f>
        <v>2657800</v>
      </c>
      <c r="I18" s="40"/>
      <c r="J18" s="40"/>
      <c r="K18" s="41"/>
      <c r="L18" s="42"/>
      <c r="M18" s="49"/>
      <c r="N18" s="49"/>
      <c r="O18" s="50"/>
      <c r="P18" s="39"/>
      <c r="Q18" s="40"/>
      <c r="R18" s="41"/>
      <c r="S18" s="39"/>
      <c r="T18" s="40"/>
      <c r="U18" s="39"/>
      <c r="V18" s="41"/>
      <c r="W18" s="310">
        <f t="shared" si="0"/>
        <v>665215</v>
      </c>
      <c r="X18" s="311">
        <f t="shared" si="1"/>
        <v>2657800</v>
      </c>
      <c r="AA18" s="263">
        <f>SUM(H18:K18)</f>
        <v>2657800</v>
      </c>
      <c r="AB18" s="269">
        <f>SUM(L18:O18)</f>
        <v>0</v>
      </c>
      <c r="AC18" s="264">
        <f t="shared" ref="AC18:AC80" si="2">SUM(AA18:AB18)</f>
        <v>2657800</v>
      </c>
    </row>
    <row r="19" spans="2:29" ht="15" customHeight="1" x14ac:dyDescent="0.25">
      <c r="B19" s="156">
        <f>B18+1</f>
        <v>2</v>
      </c>
      <c r="C19" s="44" t="s">
        <v>671</v>
      </c>
      <c r="D19" s="45" t="s">
        <v>671</v>
      </c>
      <c r="E19" s="46" t="s">
        <v>47</v>
      </c>
      <c r="G19" s="47">
        <f>'[15]Billing Qty 2021 NEW Format'!G19</f>
        <v>0</v>
      </c>
      <c r="H19" s="48">
        <f>'[15]Billing Qty 2021 NEW Format'!H19</f>
        <v>0</v>
      </c>
      <c r="I19" s="40"/>
      <c r="J19" s="40"/>
      <c r="K19" s="41"/>
      <c r="L19" s="53">
        <f>'[15]Billing Qty 2021 NEW Format'!L19</f>
        <v>361600</v>
      </c>
      <c r="M19" s="49"/>
      <c r="N19" s="49"/>
      <c r="O19" s="50"/>
      <c r="P19" s="39"/>
      <c r="Q19" s="40"/>
      <c r="R19" s="41"/>
      <c r="S19" s="39"/>
      <c r="T19" s="40"/>
      <c r="U19" s="39"/>
      <c r="V19" s="41"/>
      <c r="W19" s="310">
        <f t="shared" si="0"/>
        <v>0</v>
      </c>
      <c r="X19" s="311">
        <f>SUM(H19:O19)</f>
        <v>361600</v>
      </c>
      <c r="AA19" s="263">
        <f>SUM(H19:K19)</f>
        <v>0</v>
      </c>
      <c r="AB19" s="269">
        <f>SUM(L19:O19)</f>
        <v>361600</v>
      </c>
      <c r="AC19" s="264">
        <f t="shared" si="2"/>
        <v>361600</v>
      </c>
    </row>
    <row r="20" spans="2:29" ht="15" customHeight="1" x14ac:dyDescent="0.25">
      <c r="B20" s="172"/>
      <c r="C20" s="36" t="s">
        <v>48</v>
      </c>
      <c r="D20" s="37"/>
      <c r="E20" s="10"/>
      <c r="G20" s="38"/>
      <c r="H20" s="39"/>
      <c r="I20" s="40"/>
      <c r="J20" s="40"/>
      <c r="K20" s="41"/>
      <c r="L20" s="40"/>
      <c r="M20" s="40"/>
      <c r="N20" s="40"/>
      <c r="O20" s="41"/>
      <c r="P20" s="39"/>
      <c r="Q20" s="40"/>
      <c r="R20" s="41"/>
      <c r="S20" s="39"/>
      <c r="T20" s="40"/>
      <c r="U20" s="39"/>
      <c r="V20" s="41"/>
      <c r="W20" s="310">
        <f t="shared" si="0"/>
        <v>0</v>
      </c>
      <c r="X20" s="311">
        <f t="shared" si="1"/>
        <v>0</v>
      </c>
      <c r="AA20" s="267">
        <f t="shared" ref="AA20:AB20" si="3">SUBTOTAL(9,AA22:AA25)</f>
        <v>529200</v>
      </c>
      <c r="AB20" s="268">
        <f t="shared" si="3"/>
        <v>109400</v>
      </c>
      <c r="AC20" s="264">
        <f t="shared" si="2"/>
        <v>638600</v>
      </c>
    </row>
    <row r="21" spans="2:29" ht="15" customHeight="1" x14ac:dyDescent="0.25">
      <c r="B21" s="156">
        <f>B19+1</f>
        <v>3</v>
      </c>
      <c r="C21" s="44" t="s">
        <v>46</v>
      </c>
      <c r="D21" s="45" t="s">
        <v>46</v>
      </c>
      <c r="E21" s="182" t="s">
        <v>670</v>
      </c>
      <c r="G21" s="47">
        <v>0</v>
      </c>
      <c r="H21" s="48">
        <v>0</v>
      </c>
      <c r="I21" s="40"/>
      <c r="J21" s="40"/>
      <c r="K21" s="41"/>
      <c r="L21" s="49"/>
      <c r="M21" s="53">
        <v>0</v>
      </c>
      <c r="N21" s="53">
        <v>0</v>
      </c>
      <c r="O21" s="53">
        <v>0</v>
      </c>
      <c r="P21" s="39"/>
      <c r="Q21" s="40"/>
      <c r="R21" s="41"/>
      <c r="S21" s="39"/>
      <c r="T21" s="40"/>
      <c r="U21" s="39"/>
      <c r="V21" s="41"/>
      <c r="W21" s="310"/>
      <c r="X21" s="311">
        <f t="shared" ref="X21" si="4">SUM(H21:O21)</f>
        <v>0</v>
      </c>
      <c r="AA21" s="263">
        <f t="shared" ref="AA21" si="5">SUM(H21:K21)</f>
        <v>0</v>
      </c>
      <c r="AB21" s="269">
        <f t="shared" ref="AB21" si="6">SUM(L21:O21)</f>
        <v>0</v>
      </c>
      <c r="AC21" s="264">
        <f t="shared" si="2"/>
        <v>0</v>
      </c>
    </row>
    <row r="22" spans="2:29" ht="15" customHeight="1" x14ac:dyDescent="0.25">
      <c r="B22" s="156">
        <f>B21+1</f>
        <v>4</v>
      </c>
      <c r="C22" s="44" t="s">
        <v>49</v>
      </c>
      <c r="D22" s="45" t="s">
        <v>49</v>
      </c>
      <c r="E22" s="46" t="s">
        <v>50</v>
      </c>
      <c r="G22" s="47">
        <f>'[15]Billing Qty 2021 NEW Format'!G21</f>
        <v>47156905</v>
      </c>
      <c r="H22" s="39"/>
      <c r="I22" s="53">
        <f>'[15]Billing Qty 2021 NEW Format'!I21</f>
        <v>352600</v>
      </c>
      <c r="J22" s="53">
        <f>'[15]Billing Qty 2021 NEW Format'!J21</f>
        <v>67700</v>
      </c>
      <c r="K22" s="54">
        <f>'[15]Billing Qty 2021 NEW Format'!K21</f>
        <v>104400</v>
      </c>
      <c r="L22" s="49"/>
      <c r="M22" s="49"/>
      <c r="N22" s="49"/>
      <c r="O22" s="50"/>
      <c r="P22" s="39"/>
      <c r="Q22" s="40"/>
      <c r="R22" s="41"/>
      <c r="S22" s="39"/>
      <c r="T22" s="40"/>
      <c r="U22" s="39"/>
      <c r="V22" s="41"/>
      <c r="W22" s="310">
        <f t="shared" si="0"/>
        <v>129197</v>
      </c>
      <c r="X22" s="311">
        <f t="shared" si="1"/>
        <v>524700</v>
      </c>
      <c r="AA22" s="263">
        <f t="shared" ref="AA22:AA25" si="7">SUM(H22:K22)</f>
        <v>524700</v>
      </c>
      <c r="AB22" s="269">
        <f t="shared" ref="AB22:AB25" si="8">SUM(L22:O22)</f>
        <v>0</v>
      </c>
      <c r="AC22" s="264">
        <f t="shared" si="2"/>
        <v>524700</v>
      </c>
    </row>
    <row r="23" spans="2:29" ht="15" customHeight="1" x14ac:dyDescent="0.25">
      <c r="B23" s="19">
        <f t="shared" ref="B23:B25" si="9">B22+1</f>
        <v>5</v>
      </c>
      <c r="C23" s="44" t="s">
        <v>51</v>
      </c>
      <c r="D23" s="45" t="s">
        <v>51</v>
      </c>
      <c r="E23" s="46" t="s">
        <v>52</v>
      </c>
      <c r="G23" s="47">
        <f>'[15]Billing Qty 2021 NEW Format'!G22</f>
        <v>0</v>
      </c>
      <c r="H23" s="39"/>
      <c r="I23" s="53">
        <f>'[15]Billing Qty 2021 NEW Format'!I22</f>
        <v>0</v>
      </c>
      <c r="J23" s="53">
        <f>'[15]Billing Qty 2021 NEW Format'!J22</f>
        <v>0</v>
      </c>
      <c r="K23" s="54">
        <f>'[15]Billing Qty 2021 NEW Format'!K22</f>
        <v>0</v>
      </c>
      <c r="L23" s="49"/>
      <c r="M23" s="53">
        <f>'[15]Billing Qty 2021 NEW Format'!M22</f>
        <v>0</v>
      </c>
      <c r="N23" s="53">
        <f>'[15]Billing Qty 2021 NEW Format'!N22</f>
        <v>87500</v>
      </c>
      <c r="O23" s="53">
        <f>'[15]Billing Qty 2021 NEW Format'!O22</f>
        <v>21900</v>
      </c>
      <c r="P23" s="39"/>
      <c r="Q23" s="40"/>
      <c r="R23" s="41"/>
      <c r="S23" s="39"/>
      <c r="T23" s="40"/>
      <c r="U23" s="39"/>
      <c r="V23" s="41"/>
      <c r="W23" s="310">
        <f t="shared" si="0"/>
        <v>0</v>
      </c>
      <c r="X23" s="311">
        <f t="shared" si="1"/>
        <v>109400</v>
      </c>
      <c r="AA23" s="263">
        <f t="shared" si="7"/>
        <v>0</v>
      </c>
      <c r="AB23" s="269">
        <f t="shared" si="8"/>
        <v>109400</v>
      </c>
      <c r="AC23" s="264">
        <f t="shared" si="2"/>
        <v>109400</v>
      </c>
    </row>
    <row r="24" spans="2:29" ht="15" customHeight="1" x14ac:dyDescent="0.25">
      <c r="B24" s="19">
        <f t="shared" si="9"/>
        <v>6</v>
      </c>
      <c r="C24" s="44" t="s">
        <v>53</v>
      </c>
      <c r="D24" s="45" t="s">
        <v>53</v>
      </c>
      <c r="E24" s="46" t="s">
        <v>54</v>
      </c>
      <c r="G24" s="47">
        <f>'[15]Billing Qty 2021 NEW Format'!G23</f>
        <v>1460000</v>
      </c>
      <c r="H24" s="39"/>
      <c r="I24" s="53">
        <f>'[15]Billing Qty 2021 NEW Format'!I23</f>
        <v>1800</v>
      </c>
      <c r="J24" s="53">
        <f>'[15]Billing Qty 2021 NEW Format'!J23</f>
        <v>1700</v>
      </c>
      <c r="K24" s="54">
        <f>'[15]Billing Qty 2021 NEW Format'!K23</f>
        <v>1000</v>
      </c>
      <c r="L24" s="49"/>
      <c r="M24" s="49"/>
      <c r="N24" s="49"/>
      <c r="O24" s="50"/>
      <c r="P24" s="39"/>
      <c r="Q24" s="40"/>
      <c r="R24" s="41"/>
      <c r="S24" s="39"/>
      <c r="T24" s="40"/>
      <c r="U24" s="48">
        <f>'[15]Billing Qty 2021 NEW Format'!U23</f>
        <v>1752000</v>
      </c>
      <c r="V24" s="41"/>
      <c r="W24" s="310">
        <f t="shared" si="0"/>
        <v>4000</v>
      </c>
      <c r="X24" s="311">
        <f t="shared" si="1"/>
        <v>4500</v>
      </c>
      <c r="AA24" s="263">
        <f t="shared" si="7"/>
        <v>4500</v>
      </c>
      <c r="AB24" s="269">
        <f t="shared" si="8"/>
        <v>0</v>
      </c>
      <c r="AC24" s="264">
        <f t="shared" si="2"/>
        <v>4500</v>
      </c>
    </row>
    <row r="25" spans="2:29" ht="15" customHeight="1" x14ac:dyDescent="0.25">
      <c r="B25" s="26">
        <f t="shared" si="9"/>
        <v>7</v>
      </c>
      <c r="C25" s="55" t="s">
        <v>55</v>
      </c>
      <c r="D25" s="56" t="s">
        <v>55</v>
      </c>
      <c r="E25" s="57" t="s">
        <v>56</v>
      </c>
      <c r="G25" s="58">
        <f>'[15]Billing Qty 2021 NEW Format'!G24</f>
        <v>0</v>
      </c>
      <c r="H25" s="59"/>
      <c r="I25" s="60">
        <f>'[15]Billing Qty 2021 NEW Format'!I24</f>
        <v>0</v>
      </c>
      <c r="J25" s="60">
        <f>'[15]Billing Qty 2021 NEW Format'!J24</f>
        <v>0</v>
      </c>
      <c r="K25" s="61">
        <f>'[15]Billing Qty 2021 NEW Format'!K24</f>
        <v>0</v>
      </c>
      <c r="L25" s="62"/>
      <c r="M25" s="60">
        <f>'[15]Billing Qty 2021 NEW Format'!M24</f>
        <v>0</v>
      </c>
      <c r="N25" s="60">
        <f>'[15]Billing Qty 2021 NEW Format'!N24</f>
        <v>0</v>
      </c>
      <c r="O25" s="60">
        <f>'[15]Billing Qty 2021 NEW Format'!O24</f>
        <v>0</v>
      </c>
      <c r="P25" s="59"/>
      <c r="Q25" s="63"/>
      <c r="R25" s="64"/>
      <c r="S25" s="59"/>
      <c r="T25" s="63"/>
      <c r="U25" s="65">
        <f>'[15]Billing Qty 2021 NEW Format'!U24</f>
        <v>0</v>
      </c>
      <c r="V25" s="64"/>
      <c r="W25" s="312">
        <f t="shared" si="0"/>
        <v>0</v>
      </c>
      <c r="X25" s="313">
        <f t="shared" si="1"/>
        <v>0</v>
      </c>
      <c r="AA25" s="263">
        <f t="shared" si="7"/>
        <v>0</v>
      </c>
      <c r="AB25" s="269">
        <f t="shared" si="8"/>
        <v>0</v>
      </c>
      <c r="AC25" s="264">
        <f t="shared" si="2"/>
        <v>0</v>
      </c>
    </row>
    <row r="26" spans="2:29" ht="15" customHeight="1" x14ac:dyDescent="0.25">
      <c r="B26" s="30" t="s">
        <v>57</v>
      </c>
      <c r="C26" s="14" t="s">
        <v>58</v>
      </c>
      <c r="D26" s="14"/>
      <c r="E26" s="13"/>
      <c r="G26" s="66"/>
      <c r="H26" s="67"/>
      <c r="I26" s="68"/>
      <c r="J26" s="68"/>
      <c r="K26" s="69"/>
      <c r="L26" s="70"/>
      <c r="M26" s="70"/>
      <c r="N26" s="70"/>
      <c r="O26" s="71"/>
      <c r="P26" s="68"/>
      <c r="Q26" s="68"/>
      <c r="R26" s="69"/>
      <c r="S26" s="67"/>
      <c r="T26" s="68"/>
      <c r="U26" s="67"/>
      <c r="V26" s="69"/>
      <c r="W26" s="308">
        <f t="shared" si="0"/>
        <v>0</v>
      </c>
      <c r="X26" s="309">
        <f t="shared" si="1"/>
        <v>0</v>
      </c>
      <c r="AA26" s="260">
        <f t="shared" ref="AA26:AB26" si="10">SUBTOTAL(9,AA27:AA39)</f>
        <v>1340300</v>
      </c>
      <c r="AB26" s="260">
        <f t="shared" si="10"/>
        <v>6000</v>
      </c>
      <c r="AC26" s="261">
        <f t="shared" si="2"/>
        <v>1346300</v>
      </c>
    </row>
    <row r="27" spans="2:29" ht="15" customHeight="1" x14ac:dyDescent="0.25">
      <c r="B27" s="35"/>
      <c r="C27" s="36" t="s">
        <v>59</v>
      </c>
      <c r="D27" s="37"/>
      <c r="E27" s="10"/>
      <c r="G27" s="72"/>
      <c r="H27" s="73"/>
      <c r="I27" s="74"/>
      <c r="J27" s="74"/>
      <c r="K27" s="75"/>
      <c r="L27" s="51"/>
      <c r="M27" s="51"/>
      <c r="N27" s="51"/>
      <c r="O27" s="52"/>
      <c r="P27" s="74"/>
      <c r="Q27" s="74"/>
      <c r="R27" s="75"/>
      <c r="S27" s="73"/>
      <c r="T27" s="74"/>
      <c r="U27" s="73"/>
      <c r="V27" s="75"/>
      <c r="W27" s="310">
        <f t="shared" si="0"/>
        <v>0</v>
      </c>
      <c r="X27" s="311">
        <f t="shared" si="1"/>
        <v>0</v>
      </c>
      <c r="AA27" s="267">
        <f t="shared" ref="AA27:AB27" si="11">SUBTOTAL(9,AA28:AA29)</f>
        <v>110000</v>
      </c>
      <c r="AB27" s="268">
        <f t="shared" si="11"/>
        <v>0</v>
      </c>
      <c r="AC27" s="264">
        <f t="shared" si="2"/>
        <v>110000</v>
      </c>
    </row>
    <row r="28" spans="2:29" ht="15" customHeight="1" x14ac:dyDescent="0.25">
      <c r="B28" s="19">
        <v>1</v>
      </c>
      <c r="C28" s="44" t="s">
        <v>60</v>
      </c>
      <c r="D28" s="45" t="str">
        <f t="shared" ref="D28:D29" si="12">C28</f>
        <v>LVUU</v>
      </c>
      <c r="E28" s="76" t="s">
        <v>61</v>
      </c>
      <c r="G28" s="77">
        <f>'[15]Billing Qty 2021 NEW Format'!G27</f>
        <v>0</v>
      </c>
      <c r="H28" s="78">
        <f>'[15]Billing Qty 2021 NEW Format'!H27</f>
        <v>93000</v>
      </c>
      <c r="I28" s="79"/>
      <c r="J28" s="79"/>
      <c r="K28" s="80"/>
      <c r="L28" s="79"/>
      <c r="M28" s="79"/>
      <c r="N28" s="79"/>
      <c r="O28" s="80"/>
      <c r="P28" s="79"/>
      <c r="Q28" s="79"/>
      <c r="R28" s="80"/>
      <c r="S28" s="81"/>
      <c r="T28" s="79"/>
      <c r="U28" s="82"/>
      <c r="V28" s="83"/>
      <c r="W28" s="310">
        <f t="shared" si="0"/>
        <v>0</v>
      </c>
      <c r="X28" s="311">
        <f t="shared" si="1"/>
        <v>93000</v>
      </c>
      <c r="AA28" s="263">
        <f t="shared" ref="AA28:AA29" si="13">SUM(H28:K28)</f>
        <v>93000</v>
      </c>
      <c r="AB28" s="269">
        <f t="shared" ref="AB28:AB29" si="14">SUM(L28:O28)</f>
        <v>0</v>
      </c>
      <c r="AC28" s="264">
        <f t="shared" si="2"/>
        <v>93000</v>
      </c>
    </row>
    <row r="29" spans="2:29" ht="15" customHeight="1" x14ac:dyDescent="0.25">
      <c r="B29" s="19">
        <f t="shared" ref="B29:B86" si="15">B28+1</f>
        <v>2</v>
      </c>
      <c r="C29" s="44" t="s">
        <v>62</v>
      </c>
      <c r="D29" s="45" t="str">
        <f t="shared" si="12"/>
        <v>LVUU24</v>
      </c>
      <c r="E29" s="76" t="s">
        <v>63</v>
      </c>
      <c r="G29" s="77">
        <f>'[15]Billing Qty 2021 NEW Format'!G28</f>
        <v>0</v>
      </c>
      <c r="H29" s="78">
        <f>'[15]Billing Qty 2021 NEW Format'!H28</f>
        <v>17000</v>
      </c>
      <c r="I29" s="79"/>
      <c r="J29" s="79"/>
      <c r="K29" s="80"/>
      <c r="L29" s="79"/>
      <c r="M29" s="79"/>
      <c r="N29" s="79"/>
      <c r="O29" s="80"/>
      <c r="P29" s="79"/>
      <c r="Q29" s="79"/>
      <c r="R29" s="80"/>
      <c r="S29" s="81"/>
      <c r="T29" s="79"/>
      <c r="U29" s="82"/>
      <c r="V29" s="83"/>
      <c r="W29" s="310">
        <f t="shared" si="0"/>
        <v>0</v>
      </c>
      <c r="X29" s="311">
        <f t="shared" si="1"/>
        <v>17000</v>
      </c>
      <c r="AA29" s="263">
        <f t="shared" si="13"/>
        <v>17000</v>
      </c>
      <c r="AB29" s="269">
        <f t="shared" si="14"/>
        <v>0</v>
      </c>
      <c r="AC29" s="264">
        <f t="shared" si="2"/>
        <v>17000</v>
      </c>
    </row>
    <row r="30" spans="2:29" ht="15" customHeight="1" x14ac:dyDescent="0.25">
      <c r="B30" s="19"/>
      <c r="C30" s="84" t="s">
        <v>64</v>
      </c>
      <c r="D30" s="85"/>
      <c r="E30" s="85"/>
      <c r="G30" s="86"/>
      <c r="H30" s="81"/>
      <c r="I30" s="79"/>
      <c r="J30" s="79"/>
      <c r="K30" s="80"/>
      <c r="L30" s="79"/>
      <c r="M30" s="79"/>
      <c r="N30" s="79"/>
      <c r="O30" s="80"/>
      <c r="P30" s="79"/>
      <c r="Q30" s="79"/>
      <c r="R30" s="80"/>
      <c r="S30" s="81"/>
      <c r="T30" s="79"/>
      <c r="U30" s="81"/>
      <c r="V30" s="80"/>
      <c r="W30" s="310">
        <f t="shared" si="0"/>
        <v>0</v>
      </c>
      <c r="X30" s="311">
        <f t="shared" si="1"/>
        <v>0</v>
      </c>
      <c r="AA30" s="259">
        <f t="shared" ref="AA30:AB30" si="16">SUBTOTAL(9,AA31:AA35)</f>
        <v>665700</v>
      </c>
      <c r="AB30" s="259">
        <f t="shared" si="16"/>
        <v>6000</v>
      </c>
      <c r="AC30" s="261">
        <f t="shared" si="2"/>
        <v>671700</v>
      </c>
    </row>
    <row r="31" spans="2:29" ht="15" customHeight="1" x14ac:dyDescent="0.25">
      <c r="B31" s="19">
        <f>B29+1</f>
        <v>3</v>
      </c>
      <c r="C31" s="44" t="s">
        <v>65</v>
      </c>
      <c r="D31" s="45" t="str">
        <f t="shared" ref="D31:D35" si="17">C31</f>
        <v>BSR</v>
      </c>
      <c r="E31" s="76" t="s">
        <v>66</v>
      </c>
      <c r="G31" s="77">
        <f>'[15]Billing Qty 2021 NEW Format'!G30</f>
        <v>17076160</v>
      </c>
      <c r="H31" s="78">
        <f>'[15]Billing Qty 2021 NEW Format'!H30</f>
        <v>339500</v>
      </c>
      <c r="I31" s="79"/>
      <c r="J31" s="79"/>
      <c r="K31" s="80"/>
      <c r="L31" s="79"/>
      <c r="M31" s="79"/>
      <c r="N31" s="79"/>
      <c r="O31" s="80"/>
      <c r="P31" s="79"/>
      <c r="Q31" s="79"/>
      <c r="R31" s="80"/>
      <c r="S31" s="81"/>
      <c r="T31" s="79"/>
      <c r="U31" s="82"/>
      <c r="V31" s="83"/>
      <c r="W31" s="310">
        <f t="shared" si="0"/>
        <v>46784</v>
      </c>
      <c r="X31" s="311">
        <f t="shared" si="1"/>
        <v>339500</v>
      </c>
      <c r="AA31" s="263">
        <f t="shared" ref="AA31:AA35" si="18">SUM(H31:K31)</f>
        <v>339500</v>
      </c>
      <c r="AB31" s="269">
        <f t="shared" ref="AB31:AB35" si="19">SUM(L31:O31)</f>
        <v>0</v>
      </c>
      <c r="AC31" s="264">
        <f t="shared" si="2"/>
        <v>339500</v>
      </c>
    </row>
    <row r="32" spans="2:29" ht="15" customHeight="1" x14ac:dyDescent="0.25">
      <c r="B32" s="19">
        <f t="shared" si="15"/>
        <v>4</v>
      </c>
      <c r="C32" s="44" t="s">
        <v>67</v>
      </c>
      <c r="D32" s="45" t="str">
        <f t="shared" si="17"/>
        <v>BSRCL</v>
      </c>
      <c r="E32" s="76" t="s">
        <v>68</v>
      </c>
      <c r="G32" s="77">
        <f>'[15]Billing Qty 2021 NEW Format'!G31</f>
        <v>0</v>
      </c>
      <c r="H32" s="78">
        <f>'[15]Billing Qty 2021 NEW Format'!H31</f>
        <v>0</v>
      </c>
      <c r="I32" s="79"/>
      <c r="J32" s="79"/>
      <c r="K32" s="80"/>
      <c r="L32" s="87">
        <f>'[15]Billing Qty 2021 NEW Format'!L31</f>
        <v>3000</v>
      </c>
      <c r="M32" s="79"/>
      <c r="N32" s="79"/>
      <c r="O32" s="80"/>
      <c r="P32" s="79"/>
      <c r="Q32" s="79"/>
      <c r="R32" s="80"/>
      <c r="S32" s="81"/>
      <c r="T32" s="79"/>
      <c r="U32" s="82"/>
      <c r="V32" s="83"/>
      <c r="W32" s="310">
        <f t="shared" si="0"/>
        <v>0</v>
      </c>
      <c r="X32" s="311">
        <f t="shared" si="1"/>
        <v>3000</v>
      </c>
      <c r="AA32" s="263">
        <f t="shared" si="18"/>
        <v>0</v>
      </c>
      <c r="AB32" s="269">
        <f t="shared" si="19"/>
        <v>3000</v>
      </c>
      <c r="AC32" s="264">
        <f t="shared" si="2"/>
        <v>3000</v>
      </c>
    </row>
    <row r="33" spans="2:29" ht="15" customHeight="1" x14ac:dyDescent="0.25">
      <c r="B33" s="19">
        <f t="shared" si="15"/>
        <v>5</v>
      </c>
      <c r="C33" s="44" t="s">
        <v>69</v>
      </c>
      <c r="D33" s="45" t="str">
        <f t="shared" si="17"/>
        <v>B2R</v>
      </c>
      <c r="E33" s="76" t="s">
        <v>70</v>
      </c>
      <c r="G33" s="77">
        <f>'[15]Billing Qty 2021 NEW Format'!G32</f>
        <v>8568740</v>
      </c>
      <c r="H33" s="81"/>
      <c r="I33" s="53">
        <f>'[15]Billing Qty 2021 NEW Format'!I32</f>
        <v>171600</v>
      </c>
      <c r="J33" s="79"/>
      <c r="K33" s="54">
        <f>'[15]Billing Qty 2021 NEW Format'!K32</f>
        <v>154600</v>
      </c>
      <c r="L33" s="79"/>
      <c r="M33" s="79"/>
      <c r="N33" s="79"/>
      <c r="O33" s="80"/>
      <c r="P33" s="79"/>
      <c r="Q33" s="79"/>
      <c r="R33" s="80"/>
      <c r="S33" s="81"/>
      <c r="T33" s="79"/>
      <c r="U33" s="82"/>
      <c r="V33" s="83"/>
      <c r="W33" s="310">
        <f t="shared" si="0"/>
        <v>23476</v>
      </c>
      <c r="X33" s="311">
        <f t="shared" si="1"/>
        <v>326200</v>
      </c>
      <c r="AA33" s="263">
        <f t="shared" si="18"/>
        <v>326200</v>
      </c>
      <c r="AB33" s="269">
        <f t="shared" si="19"/>
        <v>0</v>
      </c>
      <c r="AC33" s="264">
        <f t="shared" si="2"/>
        <v>326200</v>
      </c>
    </row>
    <row r="34" spans="2:29" ht="15" customHeight="1" x14ac:dyDescent="0.25">
      <c r="B34" s="19">
        <f t="shared" si="15"/>
        <v>6</v>
      </c>
      <c r="C34" s="44" t="s">
        <v>71</v>
      </c>
      <c r="D34" s="45" t="str">
        <f t="shared" si="17"/>
        <v>B2RCL</v>
      </c>
      <c r="E34" s="76" t="s">
        <v>72</v>
      </c>
      <c r="G34" s="77">
        <f>'[15]Billing Qty 2021 NEW Format'!G33</f>
        <v>0</v>
      </c>
      <c r="H34" s="81"/>
      <c r="I34" s="53">
        <f>'[15]Billing Qty 2021 NEW Format'!I33</f>
        <v>0</v>
      </c>
      <c r="J34" s="79"/>
      <c r="K34" s="54">
        <f>'[15]Billing Qty 2021 NEW Format'!K33</f>
        <v>0</v>
      </c>
      <c r="L34" s="87">
        <f>'[15]Billing Qty 2021 NEW Format'!L33</f>
        <v>2900</v>
      </c>
      <c r="M34" s="79"/>
      <c r="N34" s="79"/>
      <c r="O34" s="80"/>
      <c r="P34" s="79"/>
      <c r="Q34" s="79"/>
      <c r="R34" s="80"/>
      <c r="S34" s="81"/>
      <c r="T34" s="79"/>
      <c r="U34" s="82"/>
      <c r="V34" s="83"/>
      <c r="W34" s="310">
        <f t="shared" si="0"/>
        <v>0</v>
      </c>
      <c r="X34" s="311">
        <f t="shared" si="1"/>
        <v>2900</v>
      </c>
      <c r="AA34" s="263">
        <f t="shared" si="18"/>
        <v>0</v>
      </c>
      <c r="AB34" s="269">
        <f t="shared" si="19"/>
        <v>2900</v>
      </c>
      <c r="AC34" s="264">
        <f t="shared" si="2"/>
        <v>2900</v>
      </c>
    </row>
    <row r="35" spans="2:29" ht="15" customHeight="1" x14ac:dyDescent="0.25">
      <c r="B35" s="19">
        <f t="shared" si="15"/>
        <v>7</v>
      </c>
      <c r="C35" s="44" t="s">
        <v>73</v>
      </c>
      <c r="D35" s="45" t="str">
        <f t="shared" si="17"/>
        <v>BCL</v>
      </c>
      <c r="E35" s="76" t="s">
        <v>74</v>
      </c>
      <c r="G35" s="77">
        <f>'[15]Billing Qty 2021 NEW Format'!G34</f>
        <v>0</v>
      </c>
      <c r="H35" s="81"/>
      <c r="I35" s="79"/>
      <c r="J35" s="79"/>
      <c r="K35" s="80"/>
      <c r="L35" s="87">
        <f>'[15]Billing Qty 2021 NEW Format'!L34</f>
        <v>100</v>
      </c>
      <c r="M35" s="79"/>
      <c r="N35" s="79"/>
      <c r="O35" s="80"/>
      <c r="P35" s="79"/>
      <c r="Q35" s="79"/>
      <c r="R35" s="80"/>
      <c r="S35" s="81"/>
      <c r="T35" s="79"/>
      <c r="U35" s="82"/>
      <c r="V35" s="83"/>
      <c r="W35" s="310">
        <f t="shared" si="0"/>
        <v>0</v>
      </c>
      <c r="X35" s="311">
        <f t="shared" si="1"/>
        <v>100</v>
      </c>
      <c r="AA35" s="263">
        <f t="shared" si="18"/>
        <v>0</v>
      </c>
      <c r="AB35" s="269">
        <f t="shared" si="19"/>
        <v>100</v>
      </c>
      <c r="AC35" s="264">
        <f t="shared" si="2"/>
        <v>100</v>
      </c>
    </row>
    <row r="36" spans="2:29" ht="15" customHeight="1" x14ac:dyDescent="0.25">
      <c r="B36" s="19"/>
      <c r="C36" s="84" t="s">
        <v>75</v>
      </c>
      <c r="D36" s="85"/>
      <c r="E36" s="85"/>
      <c r="G36" s="86"/>
      <c r="H36" s="81"/>
      <c r="I36" s="79"/>
      <c r="J36" s="79"/>
      <c r="K36" s="80"/>
      <c r="L36" s="79"/>
      <c r="M36" s="79"/>
      <c r="N36" s="79"/>
      <c r="O36" s="80"/>
      <c r="P36" s="79"/>
      <c r="Q36" s="79"/>
      <c r="R36" s="80"/>
      <c r="S36" s="81"/>
      <c r="T36" s="79"/>
      <c r="U36" s="81"/>
      <c r="V36" s="80"/>
      <c r="W36" s="310">
        <f t="shared" si="0"/>
        <v>0</v>
      </c>
      <c r="X36" s="311">
        <f t="shared" si="1"/>
        <v>0</v>
      </c>
      <c r="AA36" s="259">
        <f t="shared" ref="AA36:AB36" si="20">SUBTOTAL(9,AA37:AA39)</f>
        <v>564600</v>
      </c>
      <c r="AB36" s="259">
        <f t="shared" si="20"/>
        <v>0</v>
      </c>
      <c r="AC36" s="261">
        <f t="shared" si="2"/>
        <v>564600</v>
      </c>
    </row>
    <row r="37" spans="2:29" ht="15" customHeight="1" x14ac:dyDescent="0.25">
      <c r="B37" s="19">
        <f>B35+1</f>
        <v>8</v>
      </c>
      <c r="C37" s="44" t="s">
        <v>76</v>
      </c>
      <c r="D37" s="45" t="str">
        <f t="shared" ref="D37:D39" si="21">C37</f>
        <v>SBTOU</v>
      </c>
      <c r="E37" s="76" t="s">
        <v>77</v>
      </c>
      <c r="G37" s="77">
        <f>'[15]Billing Qty 2021 NEW Format'!G36</f>
        <v>7314600</v>
      </c>
      <c r="H37" s="81"/>
      <c r="I37" s="87">
        <f>'[15]Billing Qty 2021 NEW Format'!I36</f>
        <v>32600</v>
      </c>
      <c r="J37" s="87">
        <f>'[15]Billing Qty 2021 NEW Format'!J36</f>
        <v>229600</v>
      </c>
      <c r="K37" s="88">
        <f>'[15]Billing Qty 2021 NEW Format'!K36</f>
        <v>205100</v>
      </c>
      <c r="L37" s="79"/>
      <c r="M37" s="79"/>
      <c r="N37" s="79"/>
      <c r="O37" s="80"/>
      <c r="P37" s="79"/>
      <c r="Q37" s="79"/>
      <c r="R37" s="80"/>
      <c r="S37" s="81"/>
      <c r="T37" s="79"/>
      <c r="U37" s="82"/>
      <c r="V37" s="83"/>
      <c r="W37" s="310">
        <f t="shared" si="0"/>
        <v>20040</v>
      </c>
      <c r="X37" s="311">
        <f t="shared" si="1"/>
        <v>467300</v>
      </c>
      <c r="AA37" s="263">
        <f t="shared" ref="AA37:AA39" si="22">SUM(H37:K37)</f>
        <v>467300</v>
      </c>
      <c r="AB37" s="269">
        <f t="shared" ref="AB37:AB39" si="23">SUM(L37:O37)</f>
        <v>0</v>
      </c>
      <c r="AC37" s="264">
        <f t="shared" si="2"/>
        <v>467300</v>
      </c>
    </row>
    <row r="38" spans="2:29" ht="15" customHeight="1" x14ac:dyDescent="0.25">
      <c r="B38" s="19">
        <f t="shared" si="15"/>
        <v>9</v>
      </c>
      <c r="C38" s="44" t="s">
        <v>78</v>
      </c>
      <c r="D38" s="45" t="str">
        <f t="shared" si="21"/>
        <v>SBTOUD</v>
      </c>
      <c r="E38" s="76" t="s">
        <v>79</v>
      </c>
      <c r="G38" s="77">
        <f>'[15]Billing Qty 2021 NEW Format'!G37</f>
        <v>533265</v>
      </c>
      <c r="H38" s="81"/>
      <c r="I38" s="87">
        <f>'[15]Billing Qty 2021 NEW Format'!I37</f>
        <v>4400</v>
      </c>
      <c r="J38" s="87">
        <f>'[15]Billing Qty 2021 NEW Format'!J37</f>
        <v>38000</v>
      </c>
      <c r="K38" s="88">
        <f>'[15]Billing Qty 2021 NEW Format'!K37</f>
        <v>25700</v>
      </c>
      <c r="L38" s="79"/>
      <c r="M38" s="79"/>
      <c r="N38" s="79"/>
      <c r="O38" s="80"/>
      <c r="P38" s="79"/>
      <c r="Q38" s="79"/>
      <c r="R38" s="80"/>
      <c r="S38" s="81"/>
      <c r="T38" s="87">
        <f>'[15]Billing Qty 2021 NEW Format'!T37</f>
        <v>26073045</v>
      </c>
      <c r="U38" s="82"/>
      <c r="V38" s="83"/>
      <c r="W38" s="310">
        <f t="shared" si="0"/>
        <v>1461</v>
      </c>
      <c r="X38" s="311">
        <f t="shared" si="1"/>
        <v>68100</v>
      </c>
      <c r="AA38" s="263">
        <f t="shared" si="22"/>
        <v>68100</v>
      </c>
      <c r="AB38" s="269">
        <f t="shared" si="23"/>
        <v>0</v>
      </c>
      <c r="AC38" s="264">
        <f t="shared" si="2"/>
        <v>68100</v>
      </c>
    </row>
    <row r="39" spans="2:29" ht="15" customHeight="1" x14ac:dyDescent="0.25">
      <c r="B39" s="26">
        <f t="shared" si="15"/>
        <v>10</v>
      </c>
      <c r="C39" s="55" t="s">
        <v>80</v>
      </c>
      <c r="D39" s="56" t="str">
        <f t="shared" si="21"/>
        <v>SBD</v>
      </c>
      <c r="E39" s="89" t="s">
        <v>81</v>
      </c>
      <c r="G39" s="90">
        <f>'[15]Billing Qty 2021 NEW Format'!G38</f>
        <v>406975</v>
      </c>
      <c r="H39" s="91">
        <f>'[15]Billing Qty 2021 NEW Format'!H38</f>
        <v>29200</v>
      </c>
      <c r="I39" s="92"/>
      <c r="J39" s="92"/>
      <c r="K39" s="93"/>
      <c r="L39" s="92"/>
      <c r="M39" s="92"/>
      <c r="N39" s="92"/>
      <c r="O39" s="93"/>
      <c r="P39" s="92"/>
      <c r="Q39" s="94">
        <f>'[15]Billing Qty 2021 NEW Format'!Q38</f>
        <v>1825137</v>
      </c>
      <c r="R39" s="95">
        <f>'[15]Billing Qty 2021 NEW Format'!R38</f>
        <v>4632215</v>
      </c>
      <c r="S39" s="96"/>
      <c r="T39" s="92"/>
      <c r="U39" s="97"/>
      <c r="V39" s="98"/>
      <c r="W39" s="312">
        <f t="shared" si="0"/>
        <v>1115</v>
      </c>
      <c r="X39" s="313">
        <f t="shared" si="1"/>
        <v>29200</v>
      </c>
      <c r="AA39" s="263">
        <f t="shared" si="22"/>
        <v>29200</v>
      </c>
      <c r="AB39" s="269">
        <f t="shared" si="23"/>
        <v>0</v>
      </c>
      <c r="AC39" s="264">
        <f t="shared" si="2"/>
        <v>29200</v>
      </c>
    </row>
    <row r="40" spans="2:29" ht="15" customHeight="1" x14ac:dyDescent="0.25">
      <c r="B40" s="30" t="s">
        <v>82</v>
      </c>
      <c r="C40" s="14" t="s">
        <v>83</v>
      </c>
      <c r="D40" s="14"/>
      <c r="E40" s="99"/>
      <c r="G40" s="100"/>
      <c r="H40" s="101"/>
      <c r="I40" s="102"/>
      <c r="J40" s="102"/>
      <c r="K40" s="103"/>
      <c r="L40" s="102"/>
      <c r="M40" s="102"/>
      <c r="N40" s="102"/>
      <c r="O40" s="103"/>
      <c r="P40" s="102"/>
      <c r="Q40" s="102"/>
      <c r="R40" s="103"/>
      <c r="S40" s="101"/>
      <c r="T40" s="102"/>
      <c r="U40" s="101"/>
      <c r="V40" s="103"/>
      <c r="W40" s="308">
        <f t="shared" si="0"/>
        <v>0</v>
      </c>
      <c r="X40" s="309">
        <f t="shared" si="1"/>
        <v>0</v>
      </c>
      <c r="AA40" s="260">
        <f>SUBTOTAL(9,AA41:AA67)</f>
        <v>2751000</v>
      </c>
      <c r="AB40" s="260">
        <f>SUBTOTAL(9,AB41:AB67)</f>
        <v>0</v>
      </c>
      <c r="AC40" s="261">
        <f t="shared" si="2"/>
        <v>2751000</v>
      </c>
    </row>
    <row r="41" spans="2:29" ht="15" customHeight="1" x14ac:dyDescent="0.25">
      <c r="B41" s="19"/>
      <c r="C41" s="36" t="s">
        <v>84</v>
      </c>
      <c r="D41" s="37"/>
      <c r="E41" s="85"/>
      <c r="G41" s="86"/>
      <c r="H41" s="81"/>
      <c r="I41" s="79"/>
      <c r="J41" s="79"/>
      <c r="K41" s="80"/>
      <c r="L41" s="79"/>
      <c r="M41" s="79"/>
      <c r="N41" s="79"/>
      <c r="O41" s="80"/>
      <c r="P41" s="79"/>
      <c r="Q41" s="79"/>
      <c r="R41" s="80"/>
      <c r="S41" s="81"/>
      <c r="T41" s="79"/>
      <c r="U41" s="81"/>
      <c r="V41" s="80"/>
      <c r="W41" s="310">
        <f t="shared" si="0"/>
        <v>0</v>
      </c>
      <c r="X41" s="311">
        <f t="shared" si="1"/>
        <v>0</v>
      </c>
      <c r="AA41" s="259">
        <f t="shared" ref="AA41:AB41" si="24">SUBTOTAL(9,AA42:AA45)</f>
        <v>300</v>
      </c>
      <c r="AB41" s="259">
        <f t="shared" si="24"/>
        <v>0</v>
      </c>
      <c r="AC41" s="264">
        <f t="shared" si="2"/>
        <v>300</v>
      </c>
    </row>
    <row r="42" spans="2:29" ht="15" customHeight="1" x14ac:dyDescent="0.25">
      <c r="B42" s="19">
        <f t="shared" si="15"/>
        <v>1</v>
      </c>
      <c r="C42" s="44" t="s">
        <v>85</v>
      </c>
      <c r="D42" s="45" t="str">
        <f t="shared" ref="D42:D45" si="25">C42</f>
        <v>LBSR</v>
      </c>
      <c r="E42" s="76" t="s">
        <v>86</v>
      </c>
      <c r="G42" s="77">
        <f>'[15]Billing Qty 2021 NEW Format'!G41</f>
        <v>200</v>
      </c>
      <c r="H42" s="78">
        <f>'[15]Billing Qty 2021 NEW Format'!H41</f>
        <v>100</v>
      </c>
      <c r="I42" s="79"/>
      <c r="J42" s="79"/>
      <c r="K42" s="80"/>
      <c r="L42" s="79"/>
      <c r="M42" s="79"/>
      <c r="N42" s="79"/>
      <c r="O42" s="80"/>
      <c r="P42" s="79"/>
      <c r="Q42" s="79"/>
      <c r="R42" s="80"/>
      <c r="S42" s="81"/>
      <c r="T42" s="79"/>
      <c r="U42" s="82"/>
      <c r="V42" s="83"/>
      <c r="W42" s="310">
        <f t="shared" si="0"/>
        <v>0.54794520547945202</v>
      </c>
      <c r="X42" s="311">
        <f t="shared" si="1"/>
        <v>100</v>
      </c>
      <c r="AA42" s="263">
        <f t="shared" ref="AA42:AA45" si="26">SUM(H42:K42)</f>
        <v>100</v>
      </c>
      <c r="AB42" s="269">
        <f t="shared" ref="AB42:AB45" si="27">SUM(L42:O42)</f>
        <v>0</v>
      </c>
      <c r="AC42" s="264">
        <f t="shared" si="2"/>
        <v>100</v>
      </c>
    </row>
    <row r="43" spans="2:29" ht="15" customHeight="1" x14ac:dyDescent="0.25">
      <c r="B43" s="19">
        <f t="shared" si="15"/>
        <v>2</v>
      </c>
      <c r="C43" s="44" t="s">
        <v>87</v>
      </c>
      <c r="D43" s="45" t="str">
        <f t="shared" si="25"/>
        <v>LBSRCL</v>
      </c>
      <c r="E43" s="76" t="s">
        <v>88</v>
      </c>
      <c r="G43" s="77">
        <f>'[15]Billing Qty 2021 NEW Format'!G42</f>
        <v>0</v>
      </c>
      <c r="H43" s="78">
        <f>'[15]Billing Qty 2021 NEW Format'!H42</f>
        <v>0</v>
      </c>
      <c r="I43" s="79"/>
      <c r="J43" s="79"/>
      <c r="K43" s="80"/>
      <c r="L43" s="87">
        <f>'[15]Billing Qty 2021 NEW Format'!L42</f>
        <v>0</v>
      </c>
      <c r="M43" s="79"/>
      <c r="N43" s="79"/>
      <c r="O43" s="80"/>
      <c r="P43" s="79"/>
      <c r="Q43" s="79"/>
      <c r="R43" s="80"/>
      <c r="S43" s="81"/>
      <c r="T43" s="79"/>
      <c r="U43" s="82"/>
      <c r="V43" s="83"/>
      <c r="W43" s="310">
        <f t="shared" si="0"/>
        <v>0</v>
      </c>
      <c r="X43" s="311">
        <f t="shared" si="1"/>
        <v>0</v>
      </c>
      <c r="AA43" s="263">
        <f t="shared" si="26"/>
        <v>0</v>
      </c>
      <c r="AB43" s="269">
        <f t="shared" si="27"/>
        <v>0</v>
      </c>
      <c r="AC43" s="264">
        <f t="shared" si="2"/>
        <v>0</v>
      </c>
    </row>
    <row r="44" spans="2:29" ht="15" customHeight="1" x14ac:dyDescent="0.25">
      <c r="B44" s="19">
        <f t="shared" si="15"/>
        <v>3</v>
      </c>
      <c r="C44" s="44" t="s">
        <v>89</v>
      </c>
      <c r="D44" s="45" t="str">
        <f t="shared" si="25"/>
        <v>LB2R</v>
      </c>
      <c r="E44" s="76" t="s">
        <v>90</v>
      </c>
      <c r="G44" s="77">
        <f>'[15]Billing Qty 2021 NEW Format'!G43</f>
        <v>400</v>
      </c>
      <c r="H44" s="81"/>
      <c r="I44" s="87">
        <f>'[15]Billing Qty 2021 NEW Format'!I43</f>
        <v>100</v>
      </c>
      <c r="J44" s="79"/>
      <c r="K44" s="88">
        <f>'[15]Billing Qty 2021 NEW Format'!K43</f>
        <v>100</v>
      </c>
      <c r="L44" s="79"/>
      <c r="M44" s="79"/>
      <c r="N44" s="79"/>
      <c r="O44" s="80"/>
      <c r="P44" s="79"/>
      <c r="Q44" s="79"/>
      <c r="R44" s="80"/>
      <c r="S44" s="81"/>
      <c r="T44" s="79"/>
      <c r="U44" s="82"/>
      <c r="V44" s="83"/>
      <c r="W44" s="310">
        <f t="shared" si="0"/>
        <v>1.095890410958904</v>
      </c>
      <c r="X44" s="311">
        <f t="shared" si="1"/>
        <v>200</v>
      </c>
      <c r="AA44" s="263">
        <f t="shared" si="26"/>
        <v>200</v>
      </c>
      <c r="AB44" s="269">
        <f t="shared" si="27"/>
        <v>0</v>
      </c>
      <c r="AC44" s="264">
        <f t="shared" si="2"/>
        <v>200</v>
      </c>
    </row>
    <row r="45" spans="2:29" ht="15" customHeight="1" x14ac:dyDescent="0.25">
      <c r="B45" s="19">
        <f t="shared" si="15"/>
        <v>4</v>
      </c>
      <c r="C45" s="44" t="s">
        <v>91</v>
      </c>
      <c r="D45" s="45" t="str">
        <f t="shared" si="25"/>
        <v>LB2RCL</v>
      </c>
      <c r="E45" s="104" t="s">
        <v>92</v>
      </c>
      <c r="G45" s="77">
        <f>'[15]Billing Qty 2021 NEW Format'!G44</f>
        <v>0</v>
      </c>
      <c r="H45" s="81"/>
      <c r="I45" s="87">
        <f>'[15]Billing Qty 2021 NEW Format'!I44</f>
        <v>0</v>
      </c>
      <c r="J45" s="79"/>
      <c r="K45" s="88">
        <f>'[15]Billing Qty 2021 NEW Format'!K44</f>
        <v>0</v>
      </c>
      <c r="L45" s="87">
        <f>'[15]Billing Qty 2021 NEW Format'!L44</f>
        <v>0</v>
      </c>
      <c r="M45" s="79"/>
      <c r="N45" s="79"/>
      <c r="O45" s="80"/>
      <c r="P45" s="79"/>
      <c r="Q45" s="79"/>
      <c r="R45" s="80"/>
      <c r="S45" s="81"/>
      <c r="T45" s="79"/>
      <c r="U45" s="82"/>
      <c r="V45" s="83"/>
      <c r="W45" s="310">
        <f t="shared" si="0"/>
        <v>0</v>
      </c>
      <c r="X45" s="311">
        <f t="shared" si="1"/>
        <v>0</v>
      </c>
      <c r="AA45" s="263">
        <f t="shared" si="26"/>
        <v>0</v>
      </c>
      <c r="AB45" s="269">
        <f t="shared" si="27"/>
        <v>0</v>
      </c>
      <c r="AC45" s="264">
        <f t="shared" si="2"/>
        <v>0</v>
      </c>
    </row>
    <row r="46" spans="2:29" ht="15" customHeight="1" x14ac:dyDescent="0.25">
      <c r="B46" s="19"/>
      <c r="C46" s="36" t="s">
        <v>93</v>
      </c>
      <c r="D46" s="37"/>
      <c r="E46" s="85"/>
      <c r="G46" s="86"/>
      <c r="H46" s="81"/>
      <c r="I46" s="79"/>
      <c r="J46" s="79"/>
      <c r="K46" s="80"/>
      <c r="L46" s="79"/>
      <c r="M46" s="79"/>
      <c r="N46" s="79"/>
      <c r="O46" s="80"/>
      <c r="P46" s="79"/>
      <c r="Q46" s="79"/>
      <c r="R46" s="80"/>
      <c r="S46" s="81"/>
      <c r="T46" s="79"/>
      <c r="U46" s="81"/>
      <c r="V46" s="80"/>
      <c r="W46" s="310">
        <f t="shared" si="0"/>
        <v>0</v>
      </c>
      <c r="X46" s="311">
        <f t="shared" si="1"/>
        <v>0</v>
      </c>
      <c r="AA46" s="259">
        <f>SUBTOTAL(9,AA47:AA67)</f>
        <v>2750700</v>
      </c>
      <c r="AB46" s="259">
        <f>SUBTOTAL(9,AB47:AB67)</f>
        <v>0</v>
      </c>
      <c r="AC46" s="261">
        <f t="shared" si="2"/>
        <v>2750700</v>
      </c>
    </row>
    <row r="47" spans="2:29" ht="15" customHeight="1" x14ac:dyDescent="0.25">
      <c r="B47" s="19">
        <f>B45+1</f>
        <v>5</v>
      </c>
      <c r="C47" s="180" t="s">
        <v>599</v>
      </c>
      <c r="D47" s="181" t="s">
        <v>600</v>
      </c>
      <c r="E47" s="210" t="s">
        <v>94</v>
      </c>
      <c r="G47" s="77">
        <f>'[15]Billing Qty 2021 NEW Format'!G46</f>
        <v>1389555</v>
      </c>
      <c r="H47" s="81"/>
      <c r="I47" s="87">
        <f>'[15]Billing Qty 2021 NEW Format'!I46</f>
        <v>1286940</v>
      </c>
      <c r="J47" s="79"/>
      <c r="K47" s="88">
        <f>'[15]Billing Qty 2021 NEW Format'!K46</f>
        <v>1235550</v>
      </c>
      <c r="L47" s="79"/>
      <c r="M47" s="79"/>
      <c r="N47" s="79"/>
      <c r="O47" s="80"/>
      <c r="P47" s="79"/>
      <c r="Q47" s="79"/>
      <c r="R47" s="80"/>
      <c r="S47" s="78">
        <f>'[15]Billing Qty 2021 NEW Format'!S46</f>
        <v>236666000</v>
      </c>
      <c r="T47" s="87">
        <f>'[15]Billing Qty 2021 NEW Format'!T46</f>
        <v>323704630</v>
      </c>
      <c r="U47" s="82"/>
      <c r="V47" s="83"/>
      <c r="W47" s="310">
        <f t="shared" si="0"/>
        <v>3807</v>
      </c>
      <c r="X47" s="311">
        <f t="shared" si="1"/>
        <v>2522490</v>
      </c>
      <c r="AA47" s="263">
        <f t="shared" ref="AA47:AA67" si="28">SUM(H47:K47)</f>
        <v>2522490</v>
      </c>
      <c r="AB47" s="269">
        <f t="shared" ref="AB47:AB67" si="29">SUM(L47:O47)</f>
        <v>0</v>
      </c>
      <c r="AC47" s="264">
        <f t="shared" si="2"/>
        <v>2522490</v>
      </c>
    </row>
    <row r="48" spans="2:29" ht="15" customHeight="1" x14ac:dyDescent="0.25">
      <c r="B48" s="19">
        <f t="shared" si="15"/>
        <v>6</v>
      </c>
      <c r="C48" s="180" t="s">
        <v>597</v>
      </c>
      <c r="D48" s="181" t="s">
        <v>601</v>
      </c>
      <c r="E48" s="210" t="s">
        <v>95</v>
      </c>
      <c r="G48" s="77">
        <f>'[15]Billing Qty 2021 NEW Format'!G47</f>
        <v>109865</v>
      </c>
      <c r="H48" s="81"/>
      <c r="I48" s="87">
        <f>'[15]Billing Qty 2021 NEW Format'!I47</f>
        <v>79500</v>
      </c>
      <c r="J48" s="79"/>
      <c r="K48" s="88">
        <f>'[15]Billing Qty 2021 NEW Format'!K47</f>
        <v>54000</v>
      </c>
      <c r="L48" s="79"/>
      <c r="M48" s="79"/>
      <c r="N48" s="79"/>
      <c r="O48" s="80"/>
      <c r="P48" s="87">
        <f>'[15]Billing Qty 2021 NEW Format'!P47</f>
        <v>3651331</v>
      </c>
      <c r="Q48" s="79"/>
      <c r="R48" s="80"/>
      <c r="S48" s="81"/>
      <c r="T48" s="87">
        <f>'[15]Billing Qty 2021 NEW Format'!T47</f>
        <v>30277845</v>
      </c>
      <c r="U48" s="81"/>
      <c r="V48" s="80"/>
      <c r="W48" s="310">
        <f t="shared" si="0"/>
        <v>301</v>
      </c>
      <c r="X48" s="311">
        <f t="shared" si="1"/>
        <v>133500</v>
      </c>
      <c r="AA48" s="263">
        <f t="shared" si="28"/>
        <v>133500</v>
      </c>
      <c r="AB48" s="269">
        <f t="shared" si="29"/>
        <v>0</v>
      </c>
      <c r="AC48" s="264">
        <f t="shared" si="2"/>
        <v>133500</v>
      </c>
    </row>
    <row r="49" spans="2:29" ht="15" customHeight="1" x14ac:dyDescent="0.25">
      <c r="B49" s="19">
        <f t="shared" si="15"/>
        <v>7</v>
      </c>
      <c r="C49" s="180" t="s">
        <v>598</v>
      </c>
      <c r="D49" s="181" t="s">
        <v>602</v>
      </c>
      <c r="E49" s="210" t="s">
        <v>96</v>
      </c>
      <c r="G49" s="77">
        <f>'[15]Billing Qty 2021 NEW Format'!G48</f>
        <v>0</v>
      </c>
      <c r="H49" s="81"/>
      <c r="I49" s="87">
        <f>'[15]Billing Qty 2021 NEW Format'!I48</f>
        <v>0</v>
      </c>
      <c r="J49" s="79"/>
      <c r="K49" s="88">
        <f>'[15]Billing Qty 2021 NEW Format'!K48</f>
        <v>0</v>
      </c>
      <c r="L49" s="79"/>
      <c r="M49" s="79"/>
      <c r="N49" s="79"/>
      <c r="O49" s="80"/>
      <c r="P49" s="79"/>
      <c r="Q49" s="79"/>
      <c r="R49" s="80"/>
      <c r="S49" s="81"/>
      <c r="T49" s="79"/>
      <c r="U49" s="81"/>
      <c r="V49" s="80"/>
      <c r="W49" s="310">
        <f t="shared" si="0"/>
        <v>0</v>
      </c>
      <c r="X49" s="311">
        <f t="shared" si="1"/>
        <v>0</v>
      </c>
      <c r="AA49" s="263">
        <f t="shared" si="28"/>
        <v>0</v>
      </c>
      <c r="AB49" s="269">
        <f t="shared" si="29"/>
        <v>0</v>
      </c>
      <c r="AC49" s="264">
        <f t="shared" si="2"/>
        <v>0</v>
      </c>
    </row>
    <row r="50" spans="2:29" ht="15" customHeight="1" x14ac:dyDescent="0.25">
      <c r="B50" s="19">
        <f t="shared" si="15"/>
        <v>8</v>
      </c>
      <c r="C50" s="180" t="s">
        <v>97</v>
      </c>
      <c r="D50" s="181" t="s">
        <v>97</v>
      </c>
      <c r="E50" s="210" t="s">
        <v>98</v>
      </c>
      <c r="G50" s="77">
        <f>'[15]Billing Qty 2021 NEW Format'!G49</f>
        <v>79205</v>
      </c>
      <c r="H50" s="78">
        <f>'[15]Billing Qty 2021 NEW Format'!H49</f>
        <v>71000</v>
      </c>
      <c r="I50" s="79"/>
      <c r="J50" s="79"/>
      <c r="K50" s="80"/>
      <c r="L50" s="79"/>
      <c r="M50" s="79"/>
      <c r="N50" s="79"/>
      <c r="O50" s="80"/>
      <c r="P50" s="79"/>
      <c r="Q50" s="87">
        <f>'[15]Billing Qty 2021 NEW Format'!Q49</f>
        <v>5382848</v>
      </c>
      <c r="R50" s="88">
        <f>'[15]Billing Qty 2021 NEW Format'!R49</f>
        <v>11592765</v>
      </c>
      <c r="S50" s="81"/>
      <c r="T50" s="79"/>
      <c r="U50" s="81"/>
      <c r="V50" s="80"/>
      <c r="W50" s="310">
        <f t="shared" si="0"/>
        <v>217</v>
      </c>
      <c r="X50" s="311">
        <f t="shared" si="1"/>
        <v>71000</v>
      </c>
      <c r="AA50" s="263">
        <f t="shared" si="28"/>
        <v>71000</v>
      </c>
      <c r="AB50" s="269">
        <f t="shared" si="29"/>
        <v>0</v>
      </c>
      <c r="AC50" s="264">
        <f t="shared" si="2"/>
        <v>71000</v>
      </c>
    </row>
    <row r="51" spans="2:29" ht="15" customHeight="1" x14ac:dyDescent="0.25">
      <c r="B51" s="19">
        <f t="shared" si="15"/>
        <v>9</v>
      </c>
      <c r="C51" s="180" t="s">
        <v>603</v>
      </c>
      <c r="D51" s="181" t="s">
        <v>604</v>
      </c>
      <c r="E51" s="210" t="s">
        <v>99</v>
      </c>
      <c r="G51" s="77">
        <f>'[15]Billing Qty 2021 NEW Format'!G50</f>
        <v>365</v>
      </c>
      <c r="H51" s="81"/>
      <c r="I51" s="87">
        <f>'[15]Billing Qty 2021 NEW Format'!I50</f>
        <v>0</v>
      </c>
      <c r="J51" s="79"/>
      <c r="K51" s="88">
        <f>'[15]Billing Qty 2021 NEW Format'!K50</f>
        <v>100</v>
      </c>
      <c r="L51" s="79"/>
      <c r="M51" s="79"/>
      <c r="N51" s="79"/>
      <c r="O51" s="80"/>
      <c r="P51" s="79"/>
      <c r="Q51" s="79"/>
      <c r="R51" s="80"/>
      <c r="S51" s="78">
        <f>'[15]Billing Qty 2021 NEW Format'!S50</f>
        <v>0</v>
      </c>
      <c r="T51" s="88">
        <f>'[15]Billing Qty 2021 NEW Format'!T50</f>
        <v>0</v>
      </c>
      <c r="U51" s="81"/>
      <c r="V51" s="80"/>
      <c r="W51" s="310">
        <f t="shared" si="0"/>
        <v>1</v>
      </c>
      <c r="X51" s="311">
        <f t="shared" si="1"/>
        <v>100</v>
      </c>
      <c r="AA51" s="263">
        <f t="shared" si="28"/>
        <v>100</v>
      </c>
      <c r="AB51" s="269">
        <f t="shared" si="29"/>
        <v>0</v>
      </c>
      <c r="AC51" s="264">
        <f t="shared" si="2"/>
        <v>100</v>
      </c>
    </row>
    <row r="52" spans="2:29" ht="15" customHeight="1" x14ac:dyDescent="0.25">
      <c r="B52" s="19">
        <f t="shared" si="15"/>
        <v>10</v>
      </c>
      <c r="C52" s="211"/>
      <c r="D52" s="212"/>
      <c r="E52" s="217" t="s">
        <v>100</v>
      </c>
      <c r="G52" s="86"/>
      <c r="H52" s="81"/>
      <c r="I52" s="79"/>
      <c r="J52" s="79"/>
      <c r="K52" s="80"/>
      <c r="L52" s="79"/>
      <c r="M52" s="79"/>
      <c r="N52" s="79"/>
      <c r="O52" s="80"/>
      <c r="P52" s="79"/>
      <c r="Q52" s="79"/>
      <c r="R52" s="80"/>
      <c r="S52" s="81"/>
      <c r="T52" s="79"/>
      <c r="U52" s="81"/>
      <c r="V52" s="80"/>
      <c r="W52" s="310">
        <f t="shared" si="0"/>
        <v>0</v>
      </c>
      <c r="X52" s="311">
        <f t="shared" si="1"/>
        <v>0</v>
      </c>
      <c r="AA52" s="263">
        <f t="shared" si="28"/>
        <v>0</v>
      </c>
      <c r="AB52" s="269">
        <f t="shared" si="29"/>
        <v>0</v>
      </c>
      <c r="AC52" s="264">
        <f t="shared" si="2"/>
        <v>0</v>
      </c>
    </row>
    <row r="53" spans="2:29" ht="15" customHeight="1" x14ac:dyDescent="0.25">
      <c r="B53" s="19">
        <f t="shared" si="15"/>
        <v>11</v>
      </c>
      <c r="C53" s="180" t="s">
        <v>585</v>
      </c>
      <c r="D53" s="181"/>
      <c r="E53" s="210" t="s">
        <v>94</v>
      </c>
      <c r="G53" s="77">
        <f>'[15]Billing Qty 2021 NEW Format'!G52</f>
        <v>0</v>
      </c>
      <c r="H53" s="81"/>
      <c r="I53" s="87">
        <f>'[15]Billing Qty 2021 NEW Format'!I52</f>
        <v>0</v>
      </c>
      <c r="J53" s="79"/>
      <c r="K53" s="88">
        <f>'[15]Billing Qty 2021 NEW Format'!K52</f>
        <v>0</v>
      </c>
      <c r="L53" s="79"/>
      <c r="M53" s="79"/>
      <c r="N53" s="79"/>
      <c r="O53" s="80"/>
      <c r="P53" s="79"/>
      <c r="Q53" s="79"/>
      <c r="R53" s="80"/>
      <c r="S53" s="78">
        <f>'[15]Billing Qty 2021 NEW Format'!S52</f>
        <v>0</v>
      </c>
      <c r="T53" s="87">
        <f>'[15]Billing Qty 2021 NEW Format'!T52</f>
        <v>0</v>
      </c>
      <c r="U53" s="81"/>
      <c r="V53" s="80"/>
      <c r="W53" s="310">
        <f t="shared" si="0"/>
        <v>0</v>
      </c>
      <c r="X53" s="311">
        <f t="shared" si="1"/>
        <v>0</v>
      </c>
      <c r="AA53" s="263">
        <f t="shared" si="28"/>
        <v>0</v>
      </c>
      <c r="AB53" s="269">
        <f t="shared" si="29"/>
        <v>0</v>
      </c>
      <c r="AC53" s="264">
        <f t="shared" si="2"/>
        <v>0</v>
      </c>
    </row>
    <row r="54" spans="2:29" ht="15" customHeight="1" x14ac:dyDescent="0.25">
      <c r="B54" s="19">
        <f t="shared" si="15"/>
        <v>12</v>
      </c>
      <c r="C54" s="180" t="s">
        <v>586</v>
      </c>
      <c r="D54" s="181"/>
      <c r="E54" s="210" t="s">
        <v>94</v>
      </c>
      <c r="G54" s="77">
        <f>'[15]Billing Qty 2021 NEW Format'!G53</f>
        <v>0</v>
      </c>
      <c r="H54" s="81"/>
      <c r="I54" s="87">
        <f>'[15]Billing Qty 2021 NEW Format'!I53</f>
        <v>0</v>
      </c>
      <c r="J54" s="79"/>
      <c r="K54" s="88">
        <f>'[15]Billing Qty 2021 NEW Format'!K53</f>
        <v>0</v>
      </c>
      <c r="L54" s="79"/>
      <c r="M54" s="79"/>
      <c r="N54" s="79"/>
      <c r="O54" s="80"/>
      <c r="P54" s="79"/>
      <c r="Q54" s="79"/>
      <c r="R54" s="80"/>
      <c r="S54" s="78">
        <f>'[15]Billing Qty 2021 NEW Format'!S53</f>
        <v>0</v>
      </c>
      <c r="T54" s="87">
        <f>'[15]Billing Qty 2021 NEW Format'!T53</f>
        <v>0</v>
      </c>
      <c r="U54" s="81"/>
      <c r="V54" s="80"/>
      <c r="W54" s="310">
        <f t="shared" si="0"/>
        <v>0</v>
      </c>
      <c r="X54" s="311">
        <f t="shared" si="1"/>
        <v>0</v>
      </c>
      <c r="AA54" s="263">
        <f t="shared" si="28"/>
        <v>0</v>
      </c>
      <c r="AB54" s="269">
        <f t="shared" si="29"/>
        <v>0</v>
      </c>
      <c r="AC54" s="264">
        <f t="shared" si="2"/>
        <v>0</v>
      </c>
    </row>
    <row r="55" spans="2:29" ht="15" customHeight="1" x14ac:dyDescent="0.25">
      <c r="B55" s="19">
        <f t="shared" si="15"/>
        <v>13</v>
      </c>
      <c r="C55" s="180" t="s">
        <v>587</v>
      </c>
      <c r="D55" s="181"/>
      <c r="E55" s="210" t="s">
        <v>94</v>
      </c>
      <c r="G55" s="77">
        <f>'[15]Billing Qty 2021 NEW Format'!G54</f>
        <v>0</v>
      </c>
      <c r="H55" s="81"/>
      <c r="I55" s="87">
        <f>'[15]Billing Qty 2021 NEW Format'!I54</f>
        <v>0</v>
      </c>
      <c r="J55" s="79"/>
      <c r="K55" s="88">
        <f>'[15]Billing Qty 2021 NEW Format'!K54</f>
        <v>0</v>
      </c>
      <c r="L55" s="79"/>
      <c r="M55" s="79"/>
      <c r="N55" s="79"/>
      <c r="O55" s="80"/>
      <c r="P55" s="79"/>
      <c r="Q55" s="79"/>
      <c r="R55" s="80"/>
      <c r="S55" s="78">
        <f>'[15]Billing Qty 2021 NEW Format'!S54</f>
        <v>0</v>
      </c>
      <c r="T55" s="87">
        <f>'[15]Billing Qty 2021 NEW Format'!T54</f>
        <v>0</v>
      </c>
      <c r="U55" s="81"/>
      <c r="V55" s="80"/>
      <c r="W55" s="310">
        <f t="shared" si="0"/>
        <v>0</v>
      </c>
      <c r="X55" s="311">
        <f t="shared" si="1"/>
        <v>0</v>
      </c>
      <c r="AA55" s="263">
        <f t="shared" si="28"/>
        <v>0</v>
      </c>
      <c r="AB55" s="269">
        <f t="shared" si="29"/>
        <v>0</v>
      </c>
      <c r="AC55" s="264">
        <f t="shared" si="2"/>
        <v>0</v>
      </c>
    </row>
    <row r="56" spans="2:29" ht="15" customHeight="1" x14ac:dyDescent="0.25">
      <c r="B56" s="19">
        <f t="shared" si="15"/>
        <v>14</v>
      </c>
      <c r="C56" s="180" t="s">
        <v>589</v>
      </c>
      <c r="D56" s="181"/>
      <c r="E56" s="210" t="s">
        <v>94</v>
      </c>
      <c r="G56" s="77">
        <f>'[15]Billing Qty 2021 NEW Format'!G55</f>
        <v>0</v>
      </c>
      <c r="H56" s="81"/>
      <c r="I56" s="87">
        <f>'[15]Billing Qty 2021 NEW Format'!I55</f>
        <v>0</v>
      </c>
      <c r="J56" s="79"/>
      <c r="K56" s="88">
        <f>'[15]Billing Qty 2021 NEW Format'!K55</f>
        <v>0</v>
      </c>
      <c r="L56" s="79"/>
      <c r="M56" s="79"/>
      <c r="N56" s="79"/>
      <c r="O56" s="80"/>
      <c r="P56" s="79"/>
      <c r="Q56" s="79"/>
      <c r="R56" s="80"/>
      <c r="S56" s="78">
        <f>'[15]Billing Qty 2021 NEW Format'!S55</f>
        <v>0</v>
      </c>
      <c r="T56" s="87">
        <f>'[15]Billing Qty 2021 NEW Format'!T55</f>
        <v>0</v>
      </c>
      <c r="U56" s="81"/>
      <c r="V56" s="80"/>
      <c r="W56" s="310">
        <f t="shared" si="0"/>
        <v>0</v>
      </c>
      <c r="X56" s="311">
        <f t="shared" si="1"/>
        <v>0</v>
      </c>
      <c r="AA56" s="263">
        <f t="shared" si="28"/>
        <v>0</v>
      </c>
      <c r="AB56" s="269">
        <f t="shared" si="29"/>
        <v>0</v>
      </c>
      <c r="AC56" s="264">
        <f t="shared" si="2"/>
        <v>0</v>
      </c>
    </row>
    <row r="57" spans="2:29" ht="15" customHeight="1" x14ac:dyDescent="0.25">
      <c r="B57" s="19">
        <f t="shared" si="15"/>
        <v>15</v>
      </c>
      <c r="C57" s="180" t="s">
        <v>591</v>
      </c>
      <c r="D57" s="181"/>
      <c r="E57" s="210" t="s">
        <v>94</v>
      </c>
      <c r="G57" s="77">
        <f>'[15]Billing Qty 2021 NEW Format'!G56</f>
        <v>365</v>
      </c>
      <c r="H57" s="81"/>
      <c r="I57" s="87">
        <f>'[15]Billing Qty 2021 NEW Format'!I56</f>
        <v>4140</v>
      </c>
      <c r="J57" s="79"/>
      <c r="K57" s="88">
        <f>'[15]Billing Qty 2021 NEW Format'!K56</f>
        <v>5830</v>
      </c>
      <c r="L57" s="79"/>
      <c r="M57" s="79"/>
      <c r="N57" s="79"/>
      <c r="O57" s="80"/>
      <c r="P57" s="79"/>
      <c r="Q57" s="79"/>
      <c r="R57" s="80"/>
      <c r="S57" s="78">
        <f>'[15]Billing Qty 2021 NEW Format'!S56</f>
        <v>738395</v>
      </c>
      <c r="T57" s="87">
        <f>'[15]Billing Qty 2021 NEW Format'!T56</f>
        <v>911040</v>
      </c>
      <c r="U57" s="81"/>
      <c r="V57" s="80"/>
      <c r="W57" s="310">
        <f t="shared" si="0"/>
        <v>1</v>
      </c>
      <c r="X57" s="311">
        <f t="shared" si="1"/>
        <v>9970</v>
      </c>
      <c r="AA57" s="263">
        <f t="shared" si="28"/>
        <v>9970</v>
      </c>
      <c r="AB57" s="269">
        <f t="shared" si="29"/>
        <v>0</v>
      </c>
      <c r="AC57" s="264">
        <f t="shared" si="2"/>
        <v>9970</v>
      </c>
    </row>
    <row r="58" spans="2:29" ht="15" customHeight="1" x14ac:dyDescent="0.25">
      <c r="B58" s="19">
        <f t="shared" si="15"/>
        <v>16</v>
      </c>
      <c r="C58" s="180" t="s">
        <v>679</v>
      </c>
      <c r="D58" s="181"/>
      <c r="E58" s="210" t="s">
        <v>94</v>
      </c>
      <c r="G58" s="77">
        <f>'[15]Billing Qty 2021 NEW Format'!G57</f>
        <v>365</v>
      </c>
      <c r="H58" s="81"/>
      <c r="I58" s="87">
        <f>'[15]Billing Qty 2021 NEW Format'!I57</f>
        <v>420</v>
      </c>
      <c r="J58" s="79"/>
      <c r="K58" s="88">
        <f>'[15]Billing Qty 2021 NEW Format'!K57</f>
        <v>1020</v>
      </c>
      <c r="L58" s="79"/>
      <c r="M58" s="79"/>
      <c r="N58" s="79"/>
      <c r="O58" s="80"/>
      <c r="P58" s="79"/>
      <c r="Q58" s="79"/>
      <c r="R58" s="80"/>
      <c r="S58" s="78">
        <f>'[15]Billing Qty 2021 NEW Format'!S57</f>
        <v>287620</v>
      </c>
      <c r="T58" s="87">
        <f>'[15]Billing Qty 2021 NEW Format'!T57</f>
        <v>514650</v>
      </c>
      <c r="U58" s="81"/>
      <c r="V58" s="80"/>
      <c r="W58" s="310">
        <f>G58/$W$7</f>
        <v>1</v>
      </c>
      <c r="X58" s="311">
        <f>SUM(H58:O58)</f>
        <v>1440</v>
      </c>
      <c r="AA58" s="263">
        <f>SUM(H58:K58)</f>
        <v>1440</v>
      </c>
      <c r="AB58" s="269">
        <f>SUM(L58:O58)</f>
        <v>0</v>
      </c>
      <c r="AC58" s="264">
        <f t="shared" si="2"/>
        <v>1440</v>
      </c>
    </row>
    <row r="59" spans="2:29" ht="15" customHeight="1" x14ac:dyDescent="0.25">
      <c r="B59" s="19">
        <f t="shared" si="15"/>
        <v>17</v>
      </c>
      <c r="C59" s="180" t="s">
        <v>590</v>
      </c>
      <c r="D59" s="181"/>
      <c r="E59" s="210" t="s">
        <v>94</v>
      </c>
      <c r="G59" s="77">
        <f>'[15]Billing Qty 2021 NEW Format'!G58</f>
        <v>0</v>
      </c>
      <c r="H59" s="81"/>
      <c r="I59" s="87">
        <f>'[15]Billing Qty 2021 NEW Format'!I58</f>
        <v>0</v>
      </c>
      <c r="J59" s="79"/>
      <c r="K59" s="88">
        <f>'[15]Billing Qty 2021 NEW Format'!K58</f>
        <v>0</v>
      </c>
      <c r="L59" s="79"/>
      <c r="M59" s="79"/>
      <c r="N59" s="79"/>
      <c r="O59" s="80"/>
      <c r="P59" s="79"/>
      <c r="Q59" s="79"/>
      <c r="R59" s="80"/>
      <c r="S59" s="78">
        <f>'[15]Billing Qty 2021 NEW Format'!S58</f>
        <v>0</v>
      </c>
      <c r="T59" s="87">
        <f>'[15]Billing Qty 2021 NEW Format'!T58</f>
        <v>0</v>
      </c>
      <c r="U59" s="81"/>
      <c r="V59" s="80"/>
      <c r="W59" s="310">
        <f t="shared" si="0"/>
        <v>0</v>
      </c>
      <c r="X59" s="311">
        <f t="shared" si="1"/>
        <v>0</v>
      </c>
      <c r="AA59" s="263">
        <f t="shared" si="28"/>
        <v>0</v>
      </c>
      <c r="AB59" s="269">
        <f t="shared" si="29"/>
        <v>0</v>
      </c>
      <c r="AC59" s="264">
        <f t="shared" si="2"/>
        <v>0</v>
      </c>
    </row>
    <row r="60" spans="2:29" ht="15" customHeight="1" x14ac:dyDescent="0.25">
      <c r="B60" s="19">
        <f t="shared" si="15"/>
        <v>18</v>
      </c>
      <c r="C60" s="180" t="s">
        <v>592</v>
      </c>
      <c r="D60" s="181"/>
      <c r="E60" s="210" t="s">
        <v>94</v>
      </c>
      <c r="G60" s="77">
        <f>'[15]Billing Qty 2021 NEW Format'!G59</f>
        <v>0</v>
      </c>
      <c r="H60" s="81"/>
      <c r="I60" s="87">
        <f>'[15]Billing Qty 2021 NEW Format'!I59</f>
        <v>0</v>
      </c>
      <c r="J60" s="79"/>
      <c r="K60" s="88">
        <f>'[15]Billing Qty 2021 NEW Format'!K59</f>
        <v>0</v>
      </c>
      <c r="L60" s="79"/>
      <c r="M60" s="79"/>
      <c r="N60" s="79"/>
      <c r="O60" s="80"/>
      <c r="P60" s="79"/>
      <c r="Q60" s="79"/>
      <c r="R60" s="80"/>
      <c r="S60" s="78">
        <f>'[15]Billing Qty 2021 NEW Format'!S59</f>
        <v>0</v>
      </c>
      <c r="T60" s="87">
        <f>'[15]Billing Qty 2021 NEW Format'!T59</f>
        <v>0</v>
      </c>
      <c r="U60" s="81"/>
      <c r="V60" s="80"/>
      <c r="W60" s="310">
        <f t="shared" si="0"/>
        <v>0</v>
      </c>
      <c r="X60" s="311">
        <f t="shared" si="1"/>
        <v>0</v>
      </c>
      <c r="AA60" s="263">
        <f t="shared" si="28"/>
        <v>0</v>
      </c>
      <c r="AB60" s="269">
        <f t="shared" si="29"/>
        <v>0</v>
      </c>
      <c r="AC60" s="264">
        <f t="shared" si="2"/>
        <v>0</v>
      </c>
    </row>
    <row r="61" spans="2:29" ht="15" customHeight="1" x14ac:dyDescent="0.25">
      <c r="B61" s="19">
        <f t="shared" si="15"/>
        <v>19</v>
      </c>
      <c r="C61" s="180" t="s">
        <v>593</v>
      </c>
      <c r="D61" s="181"/>
      <c r="E61" s="210" t="s">
        <v>94</v>
      </c>
      <c r="G61" s="77">
        <f>'[15]Billing Qty 2021 NEW Format'!G60</f>
        <v>0</v>
      </c>
      <c r="H61" s="81"/>
      <c r="I61" s="87">
        <f>'[15]Billing Qty 2021 NEW Format'!I60</f>
        <v>0</v>
      </c>
      <c r="J61" s="79"/>
      <c r="K61" s="88">
        <f>'[15]Billing Qty 2021 NEW Format'!K60</f>
        <v>0</v>
      </c>
      <c r="L61" s="79"/>
      <c r="M61" s="79"/>
      <c r="N61" s="79"/>
      <c r="O61" s="80"/>
      <c r="P61" s="79"/>
      <c r="Q61" s="79"/>
      <c r="R61" s="80"/>
      <c r="S61" s="78">
        <f>'[15]Billing Qty 2021 NEW Format'!S60</f>
        <v>0</v>
      </c>
      <c r="T61" s="87">
        <f>'[15]Billing Qty 2021 NEW Format'!T60</f>
        <v>0</v>
      </c>
      <c r="U61" s="81"/>
      <c r="V61" s="80"/>
      <c r="W61" s="310">
        <f t="shared" si="0"/>
        <v>0</v>
      </c>
      <c r="X61" s="311">
        <f t="shared" si="1"/>
        <v>0</v>
      </c>
      <c r="AA61" s="263">
        <f t="shared" si="28"/>
        <v>0</v>
      </c>
      <c r="AB61" s="269">
        <f t="shared" si="29"/>
        <v>0</v>
      </c>
      <c r="AC61" s="264">
        <f t="shared" si="2"/>
        <v>0</v>
      </c>
    </row>
    <row r="62" spans="2:29" ht="15" customHeight="1" x14ac:dyDescent="0.25">
      <c r="B62" s="19">
        <f t="shared" si="15"/>
        <v>20</v>
      </c>
      <c r="C62" s="180" t="s">
        <v>594</v>
      </c>
      <c r="D62" s="181"/>
      <c r="E62" s="210" t="s">
        <v>94</v>
      </c>
      <c r="G62" s="77">
        <f>'[15]Billing Qty 2021 NEW Format'!G61</f>
        <v>0</v>
      </c>
      <c r="H62" s="81"/>
      <c r="I62" s="87">
        <f>'[15]Billing Qty 2021 NEW Format'!I61</f>
        <v>0</v>
      </c>
      <c r="J62" s="79"/>
      <c r="K62" s="88">
        <f>'[15]Billing Qty 2021 NEW Format'!K61</f>
        <v>0</v>
      </c>
      <c r="L62" s="79"/>
      <c r="M62" s="79"/>
      <c r="N62" s="79"/>
      <c r="O62" s="80"/>
      <c r="P62" s="79"/>
      <c r="Q62" s="79"/>
      <c r="R62" s="80"/>
      <c r="S62" s="78">
        <f>'[15]Billing Qty 2021 NEW Format'!S61</f>
        <v>0</v>
      </c>
      <c r="T62" s="87">
        <f>'[15]Billing Qty 2021 NEW Format'!T61</f>
        <v>0</v>
      </c>
      <c r="U62" s="81"/>
      <c r="V62" s="80"/>
      <c r="W62" s="310">
        <f t="shared" si="0"/>
        <v>0</v>
      </c>
      <c r="X62" s="311">
        <f t="shared" si="1"/>
        <v>0</v>
      </c>
      <c r="AA62" s="263">
        <f t="shared" si="28"/>
        <v>0</v>
      </c>
      <c r="AB62" s="269">
        <f t="shared" si="29"/>
        <v>0</v>
      </c>
      <c r="AC62" s="264">
        <f t="shared" si="2"/>
        <v>0</v>
      </c>
    </row>
    <row r="63" spans="2:29" ht="15" customHeight="1" x14ac:dyDescent="0.25">
      <c r="B63" s="19">
        <f t="shared" si="15"/>
        <v>21</v>
      </c>
      <c r="C63" s="180" t="s">
        <v>595</v>
      </c>
      <c r="D63" s="181"/>
      <c r="E63" s="210" t="s">
        <v>94</v>
      </c>
      <c r="G63" s="77">
        <f>'[15]Billing Qty 2021 NEW Format'!G62</f>
        <v>365</v>
      </c>
      <c r="H63" s="81"/>
      <c r="I63" s="87">
        <f>'[15]Billing Qty 2021 NEW Format'!I62</f>
        <v>4100</v>
      </c>
      <c r="J63" s="79"/>
      <c r="K63" s="88">
        <f>'[15]Billing Qty 2021 NEW Format'!K62</f>
        <v>5400</v>
      </c>
      <c r="L63" s="79"/>
      <c r="M63" s="79"/>
      <c r="N63" s="79"/>
      <c r="O63" s="80"/>
      <c r="P63" s="79"/>
      <c r="Q63" s="79"/>
      <c r="R63" s="80"/>
      <c r="S63" s="78">
        <f>'[15]Billing Qty 2021 NEW Format'!S62</f>
        <v>1069450</v>
      </c>
      <c r="T63" s="87">
        <f>'[15]Billing Qty 2021 NEW Format'!T62</f>
        <v>1800910</v>
      </c>
      <c r="U63" s="81"/>
      <c r="V63" s="80"/>
      <c r="W63" s="310">
        <f t="shared" si="0"/>
        <v>1</v>
      </c>
      <c r="X63" s="311">
        <f t="shared" si="1"/>
        <v>9500</v>
      </c>
      <c r="AA63" s="263">
        <f t="shared" si="28"/>
        <v>9500</v>
      </c>
      <c r="AB63" s="269">
        <f t="shared" si="29"/>
        <v>0</v>
      </c>
      <c r="AC63" s="264">
        <f t="shared" si="2"/>
        <v>9500</v>
      </c>
    </row>
    <row r="64" spans="2:29" ht="15" customHeight="1" x14ac:dyDescent="0.25">
      <c r="B64" s="19">
        <f t="shared" si="15"/>
        <v>22</v>
      </c>
      <c r="C64" s="180" t="s">
        <v>660</v>
      </c>
      <c r="D64" s="181"/>
      <c r="E64" s="210" t="s">
        <v>680</v>
      </c>
      <c r="G64" s="77">
        <f>'[15]Billing Qty 2021 NEW Format'!G63</f>
        <v>365</v>
      </c>
      <c r="H64" s="81"/>
      <c r="I64" s="87">
        <f>'[15]Billing Qty 2021 NEW Format'!I63</f>
        <v>1100</v>
      </c>
      <c r="J64" s="79"/>
      <c r="K64" s="88">
        <f>'[15]Billing Qty 2021 NEW Format'!K63</f>
        <v>1600</v>
      </c>
      <c r="L64" s="79"/>
      <c r="M64" s="79"/>
      <c r="N64" s="79"/>
      <c r="O64" s="80"/>
      <c r="P64" s="87">
        <f>'[15]Billing Qty 2021 NEW Format'!P63</f>
        <v>109475</v>
      </c>
      <c r="Q64" s="79"/>
      <c r="R64" s="80"/>
      <c r="S64" s="78">
        <f>'[15]Billing Qty 2021 NEW Format'!S63</f>
        <v>0</v>
      </c>
      <c r="T64" s="87">
        <f>'[15]Billing Qty 2021 NEW Format'!T63</f>
        <v>572320</v>
      </c>
      <c r="U64" s="81"/>
      <c r="V64" s="80"/>
      <c r="W64" s="310">
        <f t="shared" si="0"/>
        <v>1</v>
      </c>
      <c r="X64" s="311">
        <f t="shared" si="1"/>
        <v>2700</v>
      </c>
      <c r="AA64" s="263">
        <f t="shared" si="28"/>
        <v>2700</v>
      </c>
      <c r="AB64" s="269">
        <f t="shared" si="29"/>
        <v>0</v>
      </c>
      <c r="AC64" s="264">
        <f t="shared" si="2"/>
        <v>2700</v>
      </c>
    </row>
    <row r="65" spans="2:29" ht="15" customHeight="1" x14ac:dyDescent="0.25">
      <c r="B65" s="19">
        <f t="shared" si="15"/>
        <v>23</v>
      </c>
      <c r="C65" s="211"/>
      <c r="D65" s="212"/>
      <c r="E65" s="213"/>
      <c r="G65" s="86"/>
      <c r="H65" s="81"/>
      <c r="I65" s="79"/>
      <c r="J65" s="79"/>
      <c r="K65" s="80"/>
      <c r="L65" s="79"/>
      <c r="M65" s="79"/>
      <c r="N65" s="79"/>
      <c r="O65" s="80"/>
      <c r="P65" s="79"/>
      <c r="Q65" s="79"/>
      <c r="R65" s="80"/>
      <c r="S65" s="81"/>
      <c r="T65" s="79"/>
      <c r="U65" s="81"/>
      <c r="V65" s="80"/>
      <c r="W65" s="310">
        <f t="shared" si="0"/>
        <v>0</v>
      </c>
      <c r="X65" s="311">
        <f t="shared" si="1"/>
        <v>0</v>
      </c>
      <c r="AA65" s="263">
        <f t="shared" si="28"/>
        <v>0</v>
      </c>
      <c r="AB65" s="269">
        <f t="shared" si="29"/>
        <v>0</v>
      </c>
      <c r="AC65" s="264">
        <f t="shared" si="2"/>
        <v>0</v>
      </c>
    </row>
    <row r="66" spans="2:29" ht="15" customHeight="1" x14ac:dyDescent="0.25">
      <c r="B66" s="19">
        <f t="shared" si="15"/>
        <v>24</v>
      </c>
      <c r="C66" s="211"/>
      <c r="D66" s="212"/>
      <c r="E66" s="213"/>
      <c r="G66" s="86"/>
      <c r="H66" s="81"/>
      <c r="I66" s="79"/>
      <c r="J66" s="79"/>
      <c r="K66" s="80"/>
      <c r="L66" s="79"/>
      <c r="M66" s="79"/>
      <c r="N66" s="79"/>
      <c r="O66" s="80"/>
      <c r="P66" s="79"/>
      <c r="Q66" s="79"/>
      <c r="R66" s="80"/>
      <c r="S66" s="81"/>
      <c r="T66" s="79"/>
      <c r="U66" s="81"/>
      <c r="V66" s="80"/>
      <c r="W66" s="310">
        <f t="shared" si="0"/>
        <v>0</v>
      </c>
      <c r="X66" s="311">
        <f t="shared" si="1"/>
        <v>0</v>
      </c>
      <c r="AA66" s="263">
        <f t="shared" si="28"/>
        <v>0</v>
      </c>
      <c r="AB66" s="269">
        <f t="shared" si="29"/>
        <v>0</v>
      </c>
      <c r="AC66" s="264">
        <f t="shared" si="2"/>
        <v>0</v>
      </c>
    </row>
    <row r="67" spans="2:29" ht="15" customHeight="1" x14ac:dyDescent="0.25">
      <c r="B67" s="26">
        <f t="shared" si="15"/>
        <v>25</v>
      </c>
      <c r="C67" s="214"/>
      <c r="D67" s="215"/>
      <c r="E67" s="216"/>
      <c r="G67" s="106"/>
      <c r="H67" s="96"/>
      <c r="I67" s="92"/>
      <c r="J67" s="92"/>
      <c r="K67" s="93"/>
      <c r="L67" s="92"/>
      <c r="M67" s="92"/>
      <c r="N67" s="92"/>
      <c r="O67" s="93"/>
      <c r="P67" s="92"/>
      <c r="Q67" s="92"/>
      <c r="R67" s="93"/>
      <c r="S67" s="96"/>
      <c r="T67" s="92"/>
      <c r="U67" s="96"/>
      <c r="V67" s="93"/>
      <c r="W67" s="312">
        <f t="shared" si="0"/>
        <v>0</v>
      </c>
      <c r="X67" s="313">
        <f t="shared" si="1"/>
        <v>0</v>
      </c>
      <c r="AA67" s="263">
        <f t="shared" si="28"/>
        <v>0</v>
      </c>
      <c r="AB67" s="269">
        <f t="shared" si="29"/>
        <v>0</v>
      </c>
      <c r="AC67" s="264">
        <f t="shared" si="2"/>
        <v>0</v>
      </c>
    </row>
    <row r="68" spans="2:29" ht="15" customHeight="1" x14ac:dyDescent="0.25">
      <c r="B68" s="30" t="s">
        <v>101</v>
      </c>
      <c r="C68" s="151" t="s">
        <v>102</v>
      </c>
      <c r="D68" s="151"/>
      <c r="E68" s="204"/>
      <c r="G68" s="100"/>
      <c r="H68" s="101"/>
      <c r="I68" s="102"/>
      <c r="J68" s="102"/>
      <c r="K68" s="103"/>
      <c r="L68" s="102"/>
      <c r="M68" s="102"/>
      <c r="N68" s="102"/>
      <c r="O68" s="103"/>
      <c r="P68" s="102"/>
      <c r="Q68" s="102"/>
      <c r="R68" s="103"/>
      <c r="S68" s="101"/>
      <c r="T68" s="102"/>
      <c r="U68" s="101"/>
      <c r="V68" s="103"/>
      <c r="W68" s="308">
        <f t="shared" si="0"/>
        <v>0</v>
      </c>
      <c r="X68" s="309">
        <f t="shared" si="1"/>
        <v>0</v>
      </c>
      <c r="AA68" s="260">
        <f>SUBTOTAL(9,AA69:AA91)</f>
        <v>743700</v>
      </c>
      <c r="AB68" s="260">
        <f>SUBTOTAL(9,AB69:AB91)</f>
        <v>0</v>
      </c>
      <c r="AC68" s="261">
        <f t="shared" si="2"/>
        <v>743700</v>
      </c>
    </row>
    <row r="69" spans="2:29" ht="15" customHeight="1" x14ac:dyDescent="0.25">
      <c r="B69" s="19"/>
      <c r="C69" s="126" t="s">
        <v>103</v>
      </c>
      <c r="D69" s="202"/>
      <c r="E69" s="202"/>
      <c r="G69" s="86"/>
      <c r="H69" s="81"/>
      <c r="I69" s="79"/>
      <c r="J69" s="79"/>
      <c r="K69" s="80"/>
      <c r="L69" s="79"/>
      <c r="M69" s="79"/>
      <c r="N69" s="79"/>
      <c r="O69" s="80"/>
      <c r="P69" s="79"/>
      <c r="Q69" s="79"/>
      <c r="R69" s="80"/>
      <c r="S69" s="81"/>
      <c r="T69" s="79"/>
      <c r="U69" s="81"/>
      <c r="V69" s="80"/>
      <c r="W69" s="310">
        <f t="shared" si="0"/>
        <v>0</v>
      </c>
      <c r="X69" s="311">
        <f t="shared" si="1"/>
        <v>0</v>
      </c>
      <c r="AA69" s="259">
        <f>SUBTOTAL(9,AA70:AA75)</f>
        <v>588600</v>
      </c>
      <c r="AB69" s="259">
        <f>SUBTOTAL(9,AB70:AB75)</f>
        <v>0</v>
      </c>
      <c r="AC69" s="261">
        <f t="shared" si="2"/>
        <v>588600</v>
      </c>
    </row>
    <row r="70" spans="2:29" ht="15" customHeight="1" x14ac:dyDescent="0.25">
      <c r="B70" s="19">
        <v>1</v>
      </c>
      <c r="C70" s="180" t="s">
        <v>605</v>
      </c>
      <c r="D70" s="181" t="s">
        <v>606</v>
      </c>
      <c r="E70" s="210" t="s">
        <v>104</v>
      </c>
      <c r="G70" s="77">
        <f>'[15]Billing Qty 2021 NEW Format'!G69</f>
        <v>50370</v>
      </c>
      <c r="H70" s="81"/>
      <c r="I70" s="87">
        <f>'[15]Billing Qty 2021 NEW Format'!I69</f>
        <v>265600</v>
      </c>
      <c r="J70" s="79"/>
      <c r="K70" s="88">
        <f>'[15]Billing Qty 2021 NEW Format'!K69</f>
        <v>284700</v>
      </c>
      <c r="L70" s="79"/>
      <c r="M70" s="79"/>
      <c r="N70" s="79"/>
      <c r="O70" s="80"/>
      <c r="P70" s="79"/>
      <c r="Q70" s="79"/>
      <c r="R70" s="80"/>
      <c r="S70" s="78">
        <f>'[15]Billing Qty 2021 NEW Format'!S69</f>
        <v>50549580</v>
      </c>
      <c r="T70" s="87">
        <f>'[15]Billing Qty 2021 NEW Format'!T69</f>
        <v>65300325</v>
      </c>
      <c r="U70" s="82"/>
      <c r="V70" s="83"/>
      <c r="W70" s="310">
        <f t="shared" si="0"/>
        <v>138</v>
      </c>
      <c r="X70" s="311">
        <f t="shared" si="1"/>
        <v>550300</v>
      </c>
      <c r="AA70" s="263">
        <f t="shared" ref="AA70:AA91" si="30">SUM(H70:K70)</f>
        <v>550300</v>
      </c>
      <c r="AB70" s="269">
        <f t="shared" ref="AB70:AB91" si="31">SUM(L70:O70)</f>
        <v>0</v>
      </c>
      <c r="AC70" s="264">
        <f t="shared" si="2"/>
        <v>550300</v>
      </c>
    </row>
    <row r="71" spans="2:29" ht="15" customHeight="1" x14ac:dyDescent="0.25">
      <c r="B71" s="19">
        <f t="shared" si="15"/>
        <v>2</v>
      </c>
      <c r="C71" s="180" t="s">
        <v>607</v>
      </c>
      <c r="D71" s="181" t="s">
        <v>608</v>
      </c>
      <c r="E71" s="210" t="s">
        <v>105</v>
      </c>
      <c r="G71" s="77">
        <f>'[15]Billing Qty 2021 NEW Format'!G70</f>
        <v>2190</v>
      </c>
      <c r="H71" s="81"/>
      <c r="I71" s="87">
        <f>'[15]Billing Qty 2021 NEW Format'!I70</f>
        <v>7600</v>
      </c>
      <c r="J71" s="79"/>
      <c r="K71" s="88">
        <f>'[15]Billing Qty 2021 NEW Format'!K70</f>
        <v>10800</v>
      </c>
      <c r="L71" s="79"/>
      <c r="M71" s="79"/>
      <c r="N71" s="79"/>
      <c r="O71" s="80"/>
      <c r="P71" s="87">
        <f>'[15]Billing Qty 2021 NEW Format'!P70</f>
        <v>546922</v>
      </c>
      <c r="Q71" s="79"/>
      <c r="R71" s="80"/>
      <c r="S71" s="81"/>
      <c r="T71" s="87">
        <f>'[15]Billing Qty 2021 NEW Format'!T70</f>
        <v>3293760</v>
      </c>
      <c r="U71" s="81"/>
      <c r="V71" s="80"/>
      <c r="W71" s="310">
        <f t="shared" si="0"/>
        <v>6</v>
      </c>
      <c r="X71" s="311">
        <f t="shared" si="1"/>
        <v>18400</v>
      </c>
      <c r="AA71" s="263">
        <f t="shared" si="30"/>
        <v>18400</v>
      </c>
      <c r="AB71" s="269">
        <f t="shared" si="31"/>
        <v>0</v>
      </c>
      <c r="AC71" s="264">
        <f t="shared" si="2"/>
        <v>18400</v>
      </c>
    </row>
    <row r="72" spans="2:29" ht="15" customHeight="1" x14ac:dyDescent="0.25">
      <c r="B72" s="19">
        <f t="shared" si="15"/>
        <v>3</v>
      </c>
      <c r="C72" s="180" t="s">
        <v>609</v>
      </c>
      <c r="D72" s="181" t="s">
        <v>610</v>
      </c>
      <c r="E72" s="210" t="s">
        <v>106</v>
      </c>
      <c r="G72" s="77">
        <f>'[15]Billing Qty 2021 NEW Format'!G71</f>
        <v>0</v>
      </c>
      <c r="H72" s="81"/>
      <c r="I72" s="87">
        <f>'[15]Billing Qty 2021 NEW Format'!I71</f>
        <v>0</v>
      </c>
      <c r="J72" s="79"/>
      <c r="K72" s="88">
        <f>'[15]Billing Qty 2021 NEW Format'!K71</f>
        <v>0</v>
      </c>
      <c r="L72" s="79"/>
      <c r="M72" s="79"/>
      <c r="N72" s="79"/>
      <c r="O72" s="80"/>
      <c r="P72" s="79"/>
      <c r="Q72" s="79"/>
      <c r="R72" s="80"/>
      <c r="S72" s="81"/>
      <c r="T72" s="79"/>
      <c r="U72" s="81"/>
      <c r="V72" s="80"/>
      <c r="W72" s="310">
        <f t="shared" si="0"/>
        <v>0</v>
      </c>
      <c r="X72" s="311">
        <f t="shared" si="1"/>
        <v>0</v>
      </c>
      <c r="AA72" s="263">
        <f t="shared" si="30"/>
        <v>0</v>
      </c>
      <c r="AB72" s="269">
        <f t="shared" si="31"/>
        <v>0</v>
      </c>
      <c r="AC72" s="264">
        <f t="shared" si="2"/>
        <v>0</v>
      </c>
    </row>
    <row r="73" spans="2:29" ht="15" customHeight="1" x14ac:dyDescent="0.25">
      <c r="B73" s="19">
        <f t="shared" si="15"/>
        <v>4</v>
      </c>
      <c r="C73" s="180" t="s">
        <v>107</v>
      </c>
      <c r="D73" s="181" t="s">
        <v>107</v>
      </c>
      <c r="E73" s="210" t="s">
        <v>108</v>
      </c>
      <c r="G73" s="77">
        <f>'[15]Billing Qty 2021 NEW Format'!G72</f>
        <v>4745</v>
      </c>
      <c r="H73" s="78">
        <f>'[15]Billing Qty 2021 NEW Format'!H72</f>
        <v>12500</v>
      </c>
      <c r="I73" s="79"/>
      <c r="J73" s="79"/>
      <c r="K73" s="80"/>
      <c r="L73" s="79"/>
      <c r="M73" s="79"/>
      <c r="N73" s="79"/>
      <c r="O73" s="80"/>
      <c r="P73" s="79"/>
      <c r="Q73" s="87">
        <f>'[15]Billing Qty 2021 NEW Format'!Q72</f>
        <v>449678</v>
      </c>
      <c r="R73" s="88">
        <f>'[15]Billing Qty 2021 NEW Format'!R72</f>
        <v>1623520</v>
      </c>
      <c r="S73" s="81"/>
      <c r="T73" s="79"/>
      <c r="U73" s="81"/>
      <c r="V73" s="80"/>
      <c r="W73" s="310">
        <f t="shared" si="0"/>
        <v>13</v>
      </c>
      <c r="X73" s="311">
        <f t="shared" si="1"/>
        <v>12500</v>
      </c>
      <c r="AA73" s="263">
        <f t="shared" si="30"/>
        <v>12500</v>
      </c>
      <c r="AB73" s="269">
        <f t="shared" si="31"/>
        <v>0</v>
      </c>
      <c r="AC73" s="264">
        <f t="shared" si="2"/>
        <v>12500</v>
      </c>
    </row>
    <row r="74" spans="2:29" ht="15" customHeight="1" x14ac:dyDescent="0.25">
      <c r="B74" s="19">
        <f t="shared" si="15"/>
        <v>5</v>
      </c>
      <c r="C74" s="180" t="s">
        <v>611</v>
      </c>
      <c r="D74" s="181" t="s">
        <v>612</v>
      </c>
      <c r="E74" s="210" t="s">
        <v>109</v>
      </c>
      <c r="G74" s="77">
        <f>'[15]Billing Qty 2021 NEW Format'!G73</f>
        <v>9125</v>
      </c>
      <c r="H74" s="81"/>
      <c r="I74" s="87">
        <f>'[15]Billing Qty 2021 NEW Format'!I73</f>
        <v>3700</v>
      </c>
      <c r="J74" s="79"/>
      <c r="K74" s="88">
        <f>'[15]Billing Qty 2021 NEW Format'!K73</f>
        <v>3700</v>
      </c>
      <c r="L74" s="79"/>
      <c r="M74" s="79"/>
      <c r="N74" s="79"/>
      <c r="O74" s="80"/>
      <c r="P74" s="79"/>
      <c r="Q74" s="79"/>
      <c r="R74" s="80"/>
      <c r="S74" s="78">
        <f>'[15]Billing Qty 2021 NEW Format'!S73</f>
        <v>662840</v>
      </c>
      <c r="T74" s="87">
        <f>'[15]Billing Qty 2021 NEW Format'!T73</f>
        <v>1369115</v>
      </c>
      <c r="U74" s="81"/>
      <c r="V74" s="80"/>
      <c r="W74" s="310">
        <f t="shared" si="0"/>
        <v>25</v>
      </c>
      <c r="X74" s="311">
        <f t="shared" si="1"/>
        <v>7400</v>
      </c>
      <c r="AA74" s="263">
        <f t="shared" si="30"/>
        <v>7400</v>
      </c>
      <c r="AB74" s="269">
        <f t="shared" si="31"/>
        <v>0</v>
      </c>
      <c r="AC74" s="264">
        <f t="shared" si="2"/>
        <v>7400</v>
      </c>
    </row>
    <row r="75" spans="2:29" ht="15" customHeight="1" x14ac:dyDescent="0.25">
      <c r="B75" s="19">
        <f t="shared" si="15"/>
        <v>6</v>
      </c>
      <c r="C75" s="180" t="s">
        <v>613</v>
      </c>
      <c r="D75" s="181" t="s">
        <v>614</v>
      </c>
      <c r="E75" s="210" t="s">
        <v>110</v>
      </c>
      <c r="G75" s="77">
        <f>'[15]Billing Qty 2021 NEW Format'!G74</f>
        <v>0</v>
      </c>
      <c r="H75" s="81"/>
      <c r="I75" s="87">
        <f>'[15]Billing Qty 2021 NEW Format'!I74</f>
        <v>0</v>
      </c>
      <c r="J75" s="79"/>
      <c r="K75" s="88">
        <f>'[15]Billing Qty 2021 NEW Format'!K74</f>
        <v>0</v>
      </c>
      <c r="L75" s="79"/>
      <c r="M75" s="79"/>
      <c r="N75" s="79"/>
      <c r="O75" s="80"/>
      <c r="P75" s="79"/>
      <c r="Q75" s="79"/>
      <c r="R75" s="80"/>
      <c r="S75" s="78">
        <f>'[15]Billing Qty 2021 NEW Format'!S74</f>
        <v>0</v>
      </c>
      <c r="T75" s="88">
        <f>'[15]Billing Qty 2021 NEW Format'!T74</f>
        <v>0</v>
      </c>
      <c r="U75" s="81"/>
      <c r="V75" s="80"/>
      <c r="W75" s="310">
        <f t="shared" si="0"/>
        <v>0</v>
      </c>
      <c r="X75" s="311">
        <f t="shared" si="1"/>
        <v>0</v>
      </c>
      <c r="AA75" s="263">
        <f t="shared" si="30"/>
        <v>0</v>
      </c>
      <c r="AB75" s="269">
        <f t="shared" si="31"/>
        <v>0</v>
      </c>
      <c r="AC75" s="264">
        <f t="shared" si="2"/>
        <v>0</v>
      </c>
    </row>
    <row r="76" spans="2:29" ht="15" customHeight="1" x14ac:dyDescent="0.25">
      <c r="B76" s="19">
        <f t="shared" si="15"/>
        <v>7</v>
      </c>
      <c r="C76" s="211"/>
      <c r="D76" s="212"/>
      <c r="E76" s="217" t="s">
        <v>111</v>
      </c>
      <c r="G76" s="86"/>
      <c r="H76" s="81"/>
      <c r="I76" s="79"/>
      <c r="J76" s="79"/>
      <c r="K76" s="80"/>
      <c r="L76" s="79"/>
      <c r="M76" s="79"/>
      <c r="N76" s="79"/>
      <c r="O76" s="80"/>
      <c r="P76" s="79"/>
      <c r="Q76" s="79"/>
      <c r="R76" s="80"/>
      <c r="S76" s="81"/>
      <c r="T76" s="79"/>
      <c r="U76" s="81"/>
      <c r="V76" s="80"/>
      <c r="W76" s="310">
        <f t="shared" si="0"/>
        <v>0</v>
      </c>
      <c r="X76" s="311">
        <f t="shared" si="1"/>
        <v>0</v>
      </c>
      <c r="AA76" s="263">
        <f t="shared" si="30"/>
        <v>0</v>
      </c>
      <c r="AB76" s="269">
        <f t="shared" si="31"/>
        <v>0</v>
      </c>
      <c r="AC76" s="264">
        <f t="shared" si="2"/>
        <v>0</v>
      </c>
    </row>
    <row r="77" spans="2:29" ht="15" customHeight="1" x14ac:dyDescent="0.25">
      <c r="B77" s="156">
        <f t="shared" si="15"/>
        <v>8</v>
      </c>
      <c r="C77" s="180" t="s">
        <v>571</v>
      </c>
      <c r="D77" s="181"/>
      <c r="E77" s="210" t="s">
        <v>104</v>
      </c>
      <c r="G77" s="77">
        <f>'[15]Billing Qty 2021 NEW Format'!G76</f>
        <v>365</v>
      </c>
      <c r="H77" s="81"/>
      <c r="I77" s="87">
        <f>'[15]Billing Qty 2021 NEW Format'!I76</f>
        <v>12700</v>
      </c>
      <c r="J77" s="79"/>
      <c r="K77" s="88">
        <f>'[15]Billing Qty 2021 NEW Format'!K76</f>
        <v>12500</v>
      </c>
      <c r="L77" s="79"/>
      <c r="M77" s="79"/>
      <c r="N77" s="79"/>
      <c r="O77" s="80"/>
      <c r="P77" s="79"/>
      <c r="Q77" s="79"/>
      <c r="R77" s="80"/>
      <c r="S77" s="78">
        <f>'[15]Billing Qty 2021 NEW Format'!S76</f>
        <v>1564390</v>
      </c>
      <c r="T77" s="87">
        <f>'[15]Billing Qty 2021 NEW Format'!T76</f>
        <v>2384180</v>
      </c>
      <c r="U77" s="81"/>
      <c r="V77" s="80"/>
      <c r="W77" s="310">
        <f t="shared" si="0"/>
        <v>1</v>
      </c>
      <c r="X77" s="311">
        <f t="shared" si="1"/>
        <v>25200</v>
      </c>
      <c r="AA77" s="263">
        <f t="shared" si="30"/>
        <v>25200</v>
      </c>
      <c r="AB77" s="269">
        <f t="shared" si="31"/>
        <v>0</v>
      </c>
      <c r="AC77" s="264">
        <f t="shared" si="2"/>
        <v>25200</v>
      </c>
    </row>
    <row r="78" spans="2:29" ht="15" customHeight="1" x14ac:dyDescent="0.25">
      <c r="B78" s="156">
        <f t="shared" si="15"/>
        <v>9</v>
      </c>
      <c r="C78" s="180" t="s">
        <v>572</v>
      </c>
      <c r="D78" s="181"/>
      <c r="E78" s="210" t="s">
        <v>104</v>
      </c>
      <c r="G78" s="77">
        <f>'[15]Billing Qty 2021 NEW Format'!G77</f>
        <v>365</v>
      </c>
      <c r="H78" s="81"/>
      <c r="I78" s="87">
        <f>'[15]Billing Qty 2021 NEW Format'!I77</f>
        <v>7300</v>
      </c>
      <c r="J78" s="79"/>
      <c r="K78" s="88">
        <f>'[15]Billing Qty 2021 NEW Format'!K77</f>
        <v>5700</v>
      </c>
      <c r="L78" s="79"/>
      <c r="M78" s="79"/>
      <c r="N78" s="79"/>
      <c r="O78" s="80"/>
      <c r="P78" s="79"/>
      <c r="Q78" s="79"/>
      <c r="R78" s="80"/>
      <c r="S78" s="78">
        <f>'[15]Billing Qty 2021 NEW Format'!S77</f>
        <v>1600890</v>
      </c>
      <c r="T78" s="87">
        <f>'[15]Billing Qty 2021 NEW Format'!T77</f>
        <v>1700170</v>
      </c>
      <c r="U78" s="82"/>
      <c r="V78" s="83"/>
      <c r="W78" s="310">
        <f t="shared" ref="W78:W126" si="32">G78/$W$7</f>
        <v>1</v>
      </c>
      <c r="X78" s="311">
        <f t="shared" ref="X78:X126" si="33">SUM(H78:O78)</f>
        <v>13000</v>
      </c>
      <c r="AA78" s="263">
        <f t="shared" si="30"/>
        <v>13000</v>
      </c>
      <c r="AB78" s="269">
        <f t="shared" si="31"/>
        <v>0</v>
      </c>
      <c r="AC78" s="264">
        <f t="shared" si="2"/>
        <v>13000</v>
      </c>
    </row>
    <row r="79" spans="2:29" ht="15" customHeight="1" x14ac:dyDescent="0.25">
      <c r="B79" s="156">
        <f t="shared" si="15"/>
        <v>10</v>
      </c>
      <c r="C79" s="180" t="s">
        <v>584</v>
      </c>
      <c r="D79" s="181"/>
      <c r="E79" s="210" t="s">
        <v>104</v>
      </c>
      <c r="G79" s="77">
        <f>'[15]Billing Qty 2021 NEW Format'!G78</f>
        <v>365</v>
      </c>
      <c r="H79" s="81"/>
      <c r="I79" s="87">
        <f>'[15]Billing Qty 2021 NEW Format'!I78</f>
        <v>5000</v>
      </c>
      <c r="J79" s="79"/>
      <c r="K79" s="88">
        <f>'[15]Billing Qty 2021 NEW Format'!K78</f>
        <v>16000</v>
      </c>
      <c r="L79" s="79"/>
      <c r="M79" s="79"/>
      <c r="N79" s="79"/>
      <c r="O79" s="80"/>
      <c r="P79" s="79"/>
      <c r="Q79" s="79"/>
      <c r="R79" s="80"/>
      <c r="S79" s="78">
        <f>'[15]Billing Qty 2021 NEW Format'!S78</f>
        <v>0</v>
      </c>
      <c r="T79" s="87">
        <f>'[15]Billing Qty 2021 NEW Format'!T78</f>
        <v>2117000</v>
      </c>
      <c r="U79" s="82"/>
      <c r="V79" s="83"/>
      <c r="W79" s="310">
        <f t="shared" ref="W79:W80" si="34">G79/$W$7</f>
        <v>1</v>
      </c>
      <c r="X79" s="311">
        <f t="shared" ref="X79:X80" si="35">SUM(H79:O79)</f>
        <v>21000</v>
      </c>
      <c r="AA79" s="263">
        <f t="shared" ref="AA79:AA80" si="36">SUM(H79:K79)</f>
        <v>21000</v>
      </c>
      <c r="AB79" s="269">
        <f t="shared" ref="AB79:AB80" si="37">SUM(L79:O79)</f>
        <v>0</v>
      </c>
      <c r="AC79" s="264">
        <f t="shared" si="2"/>
        <v>21000</v>
      </c>
    </row>
    <row r="80" spans="2:29" ht="15" customHeight="1" x14ac:dyDescent="0.25">
      <c r="B80" s="156">
        <f t="shared" si="15"/>
        <v>11</v>
      </c>
      <c r="C80" s="180" t="s">
        <v>573</v>
      </c>
      <c r="D80" s="181"/>
      <c r="E80" s="210" t="s">
        <v>104</v>
      </c>
      <c r="G80" s="77">
        <f>'[15]Billing Qty 2021 NEW Format'!G79</f>
        <v>365</v>
      </c>
      <c r="H80" s="81"/>
      <c r="I80" s="87">
        <f>'[15]Billing Qty 2021 NEW Format'!I79</f>
        <v>10700</v>
      </c>
      <c r="J80" s="79"/>
      <c r="K80" s="88">
        <f>'[15]Billing Qty 2021 NEW Format'!K79</f>
        <v>8500</v>
      </c>
      <c r="L80" s="79"/>
      <c r="M80" s="79"/>
      <c r="N80" s="79"/>
      <c r="O80" s="80"/>
      <c r="P80" s="79"/>
      <c r="Q80" s="79"/>
      <c r="R80" s="80"/>
      <c r="S80" s="78">
        <f>'[15]Billing Qty 2021 NEW Format'!S79</f>
        <v>1764410</v>
      </c>
      <c r="T80" s="87">
        <f>'[15]Billing Qty 2021 NEW Format'!T79</f>
        <v>2027210</v>
      </c>
      <c r="U80" s="82"/>
      <c r="V80" s="83"/>
      <c r="W80" s="310">
        <f t="shared" si="34"/>
        <v>1</v>
      </c>
      <c r="X80" s="311">
        <f t="shared" si="35"/>
        <v>19200</v>
      </c>
      <c r="AA80" s="263">
        <f t="shared" si="36"/>
        <v>19200</v>
      </c>
      <c r="AB80" s="269">
        <f t="shared" si="37"/>
        <v>0</v>
      </c>
      <c r="AC80" s="264">
        <f t="shared" si="2"/>
        <v>19200</v>
      </c>
    </row>
    <row r="81" spans="2:29" ht="15" customHeight="1" x14ac:dyDescent="0.25">
      <c r="B81" s="156">
        <f t="shared" si="15"/>
        <v>12</v>
      </c>
      <c r="C81" s="180" t="s">
        <v>574</v>
      </c>
      <c r="D81" s="181"/>
      <c r="E81" s="210" t="s">
        <v>104</v>
      </c>
      <c r="G81" s="77">
        <f>'[15]Billing Qty 2021 NEW Format'!G80</f>
        <v>365</v>
      </c>
      <c r="H81" s="81"/>
      <c r="I81" s="87">
        <f>'[15]Billing Qty 2021 NEW Format'!I80</f>
        <v>6600</v>
      </c>
      <c r="J81" s="79"/>
      <c r="K81" s="88">
        <f>'[15]Billing Qty 2021 NEW Format'!K80</f>
        <v>4500</v>
      </c>
      <c r="L81" s="79"/>
      <c r="M81" s="79"/>
      <c r="N81" s="79"/>
      <c r="O81" s="80"/>
      <c r="P81" s="79"/>
      <c r="Q81" s="79"/>
      <c r="R81" s="80"/>
      <c r="S81" s="78">
        <f>'[15]Billing Qty 2021 NEW Format'!S80</f>
        <v>1330425</v>
      </c>
      <c r="T81" s="87">
        <f>'[15]Billing Qty 2021 NEW Format'!T80</f>
        <v>1372400</v>
      </c>
      <c r="U81" s="82"/>
      <c r="V81" s="83"/>
      <c r="W81" s="310">
        <f t="shared" si="32"/>
        <v>1</v>
      </c>
      <c r="X81" s="311">
        <f t="shared" si="33"/>
        <v>11100</v>
      </c>
      <c r="AA81" s="263">
        <f t="shared" si="30"/>
        <v>11100</v>
      </c>
      <c r="AB81" s="269">
        <f t="shared" si="31"/>
        <v>0</v>
      </c>
      <c r="AC81" s="264">
        <f t="shared" ref="AC81:AC126" si="38">SUM(AA81:AB81)</f>
        <v>11100</v>
      </c>
    </row>
    <row r="82" spans="2:29" ht="15" customHeight="1" x14ac:dyDescent="0.25">
      <c r="B82" s="156">
        <f t="shared" si="15"/>
        <v>13</v>
      </c>
      <c r="C82" s="180" t="s">
        <v>575</v>
      </c>
      <c r="D82" s="181"/>
      <c r="E82" s="210" t="s">
        <v>104</v>
      </c>
      <c r="G82" s="77">
        <f>'[15]Billing Qty 2021 NEW Format'!G81</f>
        <v>365</v>
      </c>
      <c r="H82" s="81"/>
      <c r="I82" s="87">
        <f>'[15]Billing Qty 2021 NEW Format'!I81</f>
        <v>6300</v>
      </c>
      <c r="J82" s="79"/>
      <c r="K82" s="88">
        <f>'[15]Billing Qty 2021 NEW Format'!K81</f>
        <v>5100</v>
      </c>
      <c r="L82" s="79"/>
      <c r="M82" s="79"/>
      <c r="N82" s="79"/>
      <c r="O82" s="80"/>
      <c r="P82" s="79"/>
      <c r="Q82" s="79"/>
      <c r="R82" s="80"/>
      <c r="S82" s="78">
        <f>'[15]Billing Qty 2021 NEW Format'!S81</f>
        <v>1231875</v>
      </c>
      <c r="T82" s="87">
        <f>'[15]Billing Qty 2021 NEW Format'!T81</f>
        <v>1259250</v>
      </c>
      <c r="U82" s="82"/>
      <c r="V82" s="83"/>
      <c r="W82" s="310">
        <f t="shared" si="32"/>
        <v>1</v>
      </c>
      <c r="X82" s="311">
        <f t="shared" si="33"/>
        <v>11400</v>
      </c>
      <c r="AA82" s="263">
        <f t="shared" si="30"/>
        <v>11400</v>
      </c>
      <c r="AB82" s="269">
        <f t="shared" si="31"/>
        <v>0</v>
      </c>
      <c r="AC82" s="264">
        <f t="shared" si="38"/>
        <v>11400</v>
      </c>
    </row>
    <row r="83" spans="2:29" ht="15" customHeight="1" x14ac:dyDescent="0.25">
      <c r="B83" s="156">
        <f t="shared" si="15"/>
        <v>14</v>
      </c>
      <c r="C83" s="180" t="s">
        <v>576</v>
      </c>
      <c r="D83" s="181"/>
      <c r="E83" s="210" t="s">
        <v>104</v>
      </c>
      <c r="G83" s="77">
        <f>'[15]Billing Qty 2021 NEW Format'!G82</f>
        <v>365</v>
      </c>
      <c r="H83" s="81"/>
      <c r="I83" s="87">
        <f>'[15]Billing Qty 2021 NEW Format'!I82</f>
        <v>11600</v>
      </c>
      <c r="J83" s="79"/>
      <c r="K83" s="88">
        <f>'[15]Billing Qty 2021 NEW Format'!K82</f>
        <v>11600</v>
      </c>
      <c r="L83" s="79"/>
      <c r="M83" s="79"/>
      <c r="N83" s="79"/>
      <c r="O83" s="80"/>
      <c r="P83" s="79"/>
      <c r="Q83" s="79"/>
      <c r="R83" s="80"/>
      <c r="S83" s="78">
        <f>'[15]Billing Qty 2021 NEW Format'!S82</f>
        <v>1614030</v>
      </c>
      <c r="T83" s="87">
        <f>'[15]Billing Qty 2021 NEW Format'!T82</f>
        <v>1665860</v>
      </c>
      <c r="U83" s="82"/>
      <c r="V83" s="83"/>
      <c r="W83" s="310">
        <f t="shared" si="32"/>
        <v>1</v>
      </c>
      <c r="X83" s="311">
        <f t="shared" si="33"/>
        <v>23200</v>
      </c>
      <c r="AA83" s="263">
        <f t="shared" si="30"/>
        <v>23200</v>
      </c>
      <c r="AB83" s="269">
        <f t="shared" si="31"/>
        <v>0</v>
      </c>
      <c r="AC83" s="264">
        <f t="shared" si="38"/>
        <v>23200</v>
      </c>
    </row>
    <row r="84" spans="2:29" ht="15" customHeight="1" x14ac:dyDescent="0.25">
      <c r="B84" s="156">
        <f t="shared" si="15"/>
        <v>15</v>
      </c>
      <c r="C84" s="180" t="s">
        <v>659</v>
      </c>
      <c r="D84" s="181"/>
      <c r="E84" s="210" t="s">
        <v>104</v>
      </c>
      <c r="G84" s="77">
        <f>'[15]Billing Qty 2021 NEW Format'!G83</f>
        <v>365</v>
      </c>
      <c r="H84" s="81"/>
      <c r="I84" s="87">
        <f>'[15]Billing Qty 2021 NEW Format'!I83</f>
        <v>10400</v>
      </c>
      <c r="J84" s="79"/>
      <c r="K84" s="88">
        <f>'[15]Billing Qty 2021 NEW Format'!K83</f>
        <v>9600</v>
      </c>
      <c r="L84" s="79"/>
      <c r="M84" s="79"/>
      <c r="N84" s="79"/>
      <c r="O84" s="80"/>
      <c r="P84" s="79"/>
      <c r="Q84" s="79"/>
      <c r="R84" s="80"/>
      <c r="S84" s="78">
        <f>'[15]Billing Qty 2021 NEW Format'!S83</f>
        <v>1488105</v>
      </c>
      <c r="T84" s="87">
        <f>'[15]Billing Qty 2021 NEW Format'!T83</f>
        <v>1766235</v>
      </c>
      <c r="U84" s="82"/>
      <c r="V84" s="83"/>
      <c r="W84" s="310">
        <f t="shared" ref="W84:W86" si="39">G84/$W$7</f>
        <v>1</v>
      </c>
      <c r="X84" s="311">
        <f t="shared" ref="X84:X86" si="40">SUM(H84:O84)</f>
        <v>20000</v>
      </c>
      <c r="AA84" s="263">
        <f t="shared" ref="AA84:AA86" si="41">SUM(H84:K84)</f>
        <v>20000</v>
      </c>
      <c r="AB84" s="269">
        <f t="shared" ref="AB84:AB86" si="42">SUM(L84:O84)</f>
        <v>0</v>
      </c>
      <c r="AC84" s="264">
        <f t="shared" si="38"/>
        <v>20000</v>
      </c>
    </row>
    <row r="85" spans="2:29" ht="15" customHeight="1" x14ac:dyDescent="0.25">
      <c r="B85" s="156">
        <f t="shared" si="15"/>
        <v>16</v>
      </c>
      <c r="C85" s="180" t="s">
        <v>577</v>
      </c>
      <c r="D85" s="181"/>
      <c r="E85" s="210" t="s">
        <v>104</v>
      </c>
      <c r="G85" s="77">
        <f>'[15]Billing Qty 2021 NEW Format'!G84</f>
        <v>365</v>
      </c>
      <c r="H85" s="81"/>
      <c r="I85" s="87">
        <f>'[15]Billing Qty 2021 NEW Format'!I84</f>
        <v>6100</v>
      </c>
      <c r="J85" s="79"/>
      <c r="K85" s="88">
        <f>'[15]Billing Qty 2021 NEW Format'!K84</f>
        <v>4900</v>
      </c>
      <c r="L85" s="79"/>
      <c r="M85" s="79"/>
      <c r="N85" s="79"/>
      <c r="O85" s="80"/>
      <c r="P85" s="79"/>
      <c r="Q85" s="79"/>
      <c r="R85" s="80"/>
      <c r="S85" s="78">
        <f>'[15]Billing Qty 2021 NEW Format'!S84</f>
        <v>968710</v>
      </c>
      <c r="T85" s="87">
        <f>'[15]Billing Qty 2021 NEW Format'!T84</f>
        <v>1090620</v>
      </c>
      <c r="U85" s="82"/>
      <c r="V85" s="83"/>
      <c r="W85" s="310">
        <f t="shared" si="39"/>
        <v>1</v>
      </c>
      <c r="X85" s="311">
        <f t="shared" si="40"/>
        <v>11000</v>
      </c>
      <c r="AA85" s="263">
        <f t="shared" si="41"/>
        <v>11000</v>
      </c>
      <c r="AB85" s="269">
        <f t="shared" si="42"/>
        <v>0</v>
      </c>
      <c r="AC85" s="264">
        <f t="shared" si="38"/>
        <v>11000</v>
      </c>
    </row>
    <row r="86" spans="2:29" ht="15" customHeight="1" x14ac:dyDescent="0.25">
      <c r="B86" s="156">
        <f t="shared" si="15"/>
        <v>17</v>
      </c>
      <c r="C86" s="211"/>
      <c r="D86" s="212"/>
      <c r="E86" s="217"/>
      <c r="G86" s="86"/>
      <c r="H86" s="81"/>
      <c r="I86" s="79"/>
      <c r="J86" s="79"/>
      <c r="K86" s="80"/>
      <c r="L86" s="79"/>
      <c r="M86" s="79"/>
      <c r="N86" s="79"/>
      <c r="O86" s="80"/>
      <c r="P86" s="79"/>
      <c r="Q86" s="79"/>
      <c r="R86" s="80"/>
      <c r="S86" s="81"/>
      <c r="T86" s="79"/>
      <c r="U86" s="81"/>
      <c r="V86" s="80"/>
      <c r="W86" s="310">
        <f t="shared" si="39"/>
        <v>0</v>
      </c>
      <c r="X86" s="311">
        <f t="shared" si="40"/>
        <v>0</v>
      </c>
      <c r="AA86" s="263">
        <f t="shared" si="41"/>
        <v>0</v>
      </c>
      <c r="AB86" s="269">
        <f t="shared" si="42"/>
        <v>0</v>
      </c>
      <c r="AC86" s="264">
        <f t="shared" si="38"/>
        <v>0</v>
      </c>
    </row>
    <row r="87" spans="2:29" ht="15" customHeight="1" x14ac:dyDescent="0.25">
      <c r="B87" s="156">
        <f>B86+1</f>
        <v>18</v>
      </c>
      <c r="C87" s="211"/>
      <c r="D87" s="212"/>
      <c r="E87" s="217"/>
      <c r="G87" s="86"/>
      <c r="H87" s="81"/>
      <c r="I87" s="79"/>
      <c r="J87" s="79"/>
      <c r="K87" s="80"/>
      <c r="L87" s="79"/>
      <c r="M87" s="79"/>
      <c r="N87" s="79"/>
      <c r="O87" s="80"/>
      <c r="P87" s="79"/>
      <c r="Q87" s="79"/>
      <c r="R87" s="80"/>
      <c r="S87" s="81"/>
      <c r="T87" s="79"/>
      <c r="U87" s="81"/>
      <c r="V87" s="80"/>
      <c r="W87" s="310">
        <f t="shared" si="32"/>
        <v>0</v>
      </c>
      <c r="X87" s="311">
        <f t="shared" si="33"/>
        <v>0</v>
      </c>
      <c r="AA87" s="263">
        <f t="shared" si="30"/>
        <v>0</v>
      </c>
      <c r="AB87" s="269">
        <f t="shared" si="31"/>
        <v>0</v>
      </c>
      <c r="AC87" s="264">
        <f t="shared" si="38"/>
        <v>0</v>
      </c>
    </row>
    <row r="88" spans="2:29" ht="15" customHeight="1" x14ac:dyDescent="0.25">
      <c r="B88" s="156">
        <f t="shared" ref="B88:B91" si="43">B86+1</f>
        <v>18</v>
      </c>
      <c r="C88" s="211"/>
      <c r="D88" s="212"/>
      <c r="E88" s="217"/>
      <c r="G88" s="86"/>
      <c r="H88" s="81"/>
      <c r="I88" s="79"/>
      <c r="J88" s="79"/>
      <c r="K88" s="80"/>
      <c r="L88" s="79"/>
      <c r="M88" s="79"/>
      <c r="N88" s="79"/>
      <c r="O88" s="80"/>
      <c r="P88" s="79"/>
      <c r="Q88" s="79"/>
      <c r="R88" s="80"/>
      <c r="S88" s="81"/>
      <c r="T88" s="79"/>
      <c r="U88" s="81"/>
      <c r="V88" s="80"/>
      <c r="W88" s="310">
        <f t="shared" si="32"/>
        <v>0</v>
      </c>
      <c r="X88" s="311">
        <f t="shared" si="33"/>
        <v>0</v>
      </c>
      <c r="AA88" s="263">
        <f t="shared" si="30"/>
        <v>0</v>
      </c>
      <c r="AB88" s="269">
        <f t="shared" si="31"/>
        <v>0</v>
      </c>
      <c r="AC88" s="264">
        <f t="shared" si="38"/>
        <v>0</v>
      </c>
    </row>
    <row r="89" spans="2:29" ht="15" customHeight="1" x14ac:dyDescent="0.25">
      <c r="B89" s="156">
        <f t="shared" si="43"/>
        <v>19</v>
      </c>
      <c r="C89" s="211"/>
      <c r="D89" s="212"/>
      <c r="E89" s="217"/>
      <c r="G89" s="86"/>
      <c r="H89" s="81"/>
      <c r="I89" s="79"/>
      <c r="J89" s="79"/>
      <c r="K89" s="80"/>
      <c r="L89" s="79"/>
      <c r="M89" s="79"/>
      <c r="N89" s="79"/>
      <c r="O89" s="80"/>
      <c r="P89" s="79"/>
      <c r="Q89" s="79"/>
      <c r="R89" s="80"/>
      <c r="S89" s="81"/>
      <c r="T89" s="79"/>
      <c r="U89" s="81"/>
      <c r="V89" s="80"/>
      <c r="W89" s="310">
        <f t="shared" si="32"/>
        <v>0</v>
      </c>
      <c r="X89" s="311">
        <f t="shared" si="33"/>
        <v>0</v>
      </c>
      <c r="AA89" s="263">
        <f t="shared" si="30"/>
        <v>0</v>
      </c>
      <c r="AB89" s="269">
        <f t="shared" si="31"/>
        <v>0</v>
      </c>
      <c r="AC89" s="264">
        <f t="shared" si="38"/>
        <v>0</v>
      </c>
    </row>
    <row r="90" spans="2:29" ht="15" customHeight="1" x14ac:dyDescent="0.25">
      <c r="B90" s="156">
        <f t="shared" si="43"/>
        <v>19</v>
      </c>
      <c r="C90" s="211"/>
      <c r="D90" s="212"/>
      <c r="E90" s="217"/>
      <c r="G90" s="86"/>
      <c r="H90" s="81"/>
      <c r="I90" s="79"/>
      <c r="J90" s="79"/>
      <c r="K90" s="80"/>
      <c r="L90" s="79"/>
      <c r="M90" s="79"/>
      <c r="N90" s="79"/>
      <c r="O90" s="80"/>
      <c r="P90" s="79"/>
      <c r="Q90" s="79"/>
      <c r="R90" s="80"/>
      <c r="S90" s="81"/>
      <c r="T90" s="79"/>
      <c r="U90" s="81"/>
      <c r="V90" s="80"/>
      <c r="W90" s="310">
        <f t="shared" si="32"/>
        <v>0</v>
      </c>
      <c r="X90" s="311">
        <f t="shared" si="33"/>
        <v>0</v>
      </c>
      <c r="AA90" s="263">
        <f t="shared" si="30"/>
        <v>0</v>
      </c>
      <c r="AB90" s="269">
        <f t="shared" si="31"/>
        <v>0</v>
      </c>
      <c r="AC90" s="264">
        <f t="shared" si="38"/>
        <v>0</v>
      </c>
    </row>
    <row r="91" spans="2:29" ht="15" customHeight="1" x14ac:dyDescent="0.25">
      <c r="B91" s="162">
        <f t="shared" si="43"/>
        <v>20</v>
      </c>
      <c r="C91" s="214"/>
      <c r="D91" s="215"/>
      <c r="E91" s="218"/>
      <c r="G91" s="106"/>
      <c r="H91" s="96"/>
      <c r="I91" s="92"/>
      <c r="J91" s="92"/>
      <c r="K91" s="93"/>
      <c r="L91" s="92"/>
      <c r="M91" s="92"/>
      <c r="N91" s="92"/>
      <c r="O91" s="93"/>
      <c r="P91" s="92"/>
      <c r="Q91" s="92"/>
      <c r="R91" s="93"/>
      <c r="S91" s="96"/>
      <c r="T91" s="92"/>
      <c r="U91" s="96"/>
      <c r="V91" s="93"/>
      <c r="W91" s="312">
        <f t="shared" si="32"/>
        <v>0</v>
      </c>
      <c r="X91" s="313">
        <f t="shared" si="33"/>
        <v>0</v>
      </c>
      <c r="AA91" s="263">
        <f t="shared" si="30"/>
        <v>0</v>
      </c>
      <c r="AB91" s="269">
        <f t="shared" si="31"/>
        <v>0</v>
      </c>
      <c r="AC91" s="264">
        <f t="shared" si="38"/>
        <v>0</v>
      </c>
    </row>
    <row r="92" spans="2:29" ht="15" customHeight="1" x14ac:dyDescent="0.25">
      <c r="B92" s="172" t="s">
        <v>112</v>
      </c>
      <c r="C92" s="126" t="s">
        <v>113</v>
      </c>
      <c r="D92" s="126"/>
      <c r="E92" s="219"/>
      <c r="G92" s="86"/>
      <c r="H92" s="81"/>
      <c r="I92" s="79"/>
      <c r="J92" s="79"/>
      <c r="K92" s="80"/>
      <c r="L92" s="79"/>
      <c r="M92" s="79"/>
      <c r="N92" s="79"/>
      <c r="O92" s="80"/>
      <c r="P92" s="79"/>
      <c r="Q92" s="79"/>
      <c r="R92" s="80"/>
      <c r="S92" s="81"/>
      <c r="T92" s="79"/>
      <c r="U92" s="81"/>
      <c r="V92" s="80"/>
      <c r="W92" s="310">
        <f t="shared" si="32"/>
        <v>0</v>
      </c>
      <c r="X92" s="311">
        <f t="shared" si="33"/>
        <v>0</v>
      </c>
      <c r="AA92" s="260">
        <f>SUBTOTAL(9,AA93:AA126)</f>
        <v>1194167.5054229998</v>
      </c>
      <c r="AB92" s="260">
        <f>SUBTOTAL(9,AB93:AB126)</f>
        <v>0</v>
      </c>
      <c r="AC92" s="261">
        <f t="shared" si="38"/>
        <v>1194167.5054229998</v>
      </c>
    </row>
    <row r="93" spans="2:29" ht="15" customHeight="1" x14ac:dyDescent="0.25">
      <c r="B93" s="156"/>
      <c r="C93" s="126" t="s">
        <v>114</v>
      </c>
      <c r="D93" s="202"/>
      <c r="E93" s="202"/>
      <c r="G93" s="86"/>
      <c r="H93" s="81"/>
      <c r="I93" s="79"/>
      <c r="J93" s="79"/>
      <c r="K93" s="80"/>
      <c r="L93" s="79"/>
      <c r="M93" s="79"/>
      <c r="N93" s="79"/>
      <c r="O93" s="80"/>
      <c r="P93" s="79"/>
      <c r="Q93" s="79"/>
      <c r="R93" s="80"/>
      <c r="S93" s="81"/>
      <c r="T93" s="79"/>
      <c r="U93" s="81"/>
      <c r="V93" s="80"/>
      <c r="W93" s="310">
        <f t="shared" si="32"/>
        <v>0</v>
      </c>
      <c r="X93" s="311">
        <f t="shared" si="33"/>
        <v>0</v>
      </c>
      <c r="AA93" s="259">
        <f>SUBTOTAL(9,AA94:AA100)</f>
        <v>105268.25945200001</v>
      </c>
      <c r="AB93" s="259">
        <f>SUBTOTAL(9,AB94:AB100)</f>
        <v>0</v>
      </c>
      <c r="AC93" s="261">
        <f t="shared" si="38"/>
        <v>105268.25945200001</v>
      </c>
    </row>
    <row r="94" spans="2:29" ht="15" customHeight="1" x14ac:dyDescent="0.25">
      <c r="B94" s="156">
        <v>1</v>
      </c>
      <c r="C94" s="180" t="s">
        <v>115</v>
      </c>
      <c r="D94" s="181"/>
      <c r="E94" s="210" t="s">
        <v>116</v>
      </c>
      <c r="G94" s="77">
        <f>'[15]Billing Qty 2021 NEW Format'!G93</f>
        <v>0</v>
      </c>
      <c r="H94" s="78">
        <f>'[15]Billing Qty 2021 NEW Format'!H93</f>
        <v>0</v>
      </c>
      <c r="I94" s="79"/>
      <c r="J94" s="79"/>
      <c r="K94" s="80"/>
      <c r="L94" s="79"/>
      <c r="M94" s="79"/>
      <c r="N94" s="79"/>
      <c r="O94" s="80"/>
      <c r="P94" s="79"/>
      <c r="Q94" s="79"/>
      <c r="R94" s="80"/>
      <c r="S94" s="78">
        <f>'[15]Billing Qty 2021 NEW Format'!S93</f>
        <v>0</v>
      </c>
      <c r="T94" s="87">
        <f>'[15]Billing Qty 2021 NEW Format'!T93</f>
        <v>0</v>
      </c>
      <c r="U94" s="82"/>
      <c r="V94" s="83"/>
      <c r="W94" s="310">
        <f t="shared" si="32"/>
        <v>0</v>
      </c>
      <c r="X94" s="311">
        <f t="shared" si="33"/>
        <v>0</v>
      </c>
      <c r="AA94" s="263">
        <f t="shared" ref="AA94:AA100" si="44">SUM(H94:K94)</f>
        <v>0</v>
      </c>
      <c r="AB94" s="269">
        <f t="shared" ref="AB94:AB100" si="45">SUM(L94:O94)</f>
        <v>0</v>
      </c>
      <c r="AC94" s="264">
        <f t="shared" si="38"/>
        <v>0</v>
      </c>
    </row>
    <row r="95" spans="2:29" ht="15" customHeight="1" x14ac:dyDescent="0.25">
      <c r="B95" s="156">
        <v>1</v>
      </c>
      <c r="C95" s="180" t="s">
        <v>117</v>
      </c>
      <c r="D95" s="181"/>
      <c r="E95" s="210" t="s">
        <v>118</v>
      </c>
      <c r="G95" s="77">
        <f>'[15]Billing Qty 2021 NEW Format'!G94</f>
        <v>365</v>
      </c>
      <c r="H95" s="78">
        <f>'[15]Billing Qty 2021 NEW Format'!H94</f>
        <v>20561.394500000002</v>
      </c>
      <c r="I95" s="79"/>
      <c r="J95" s="79"/>
      <c r="K95" s="80"/>
      <c r="L95" s="79"/>
      <c r="M95" s="79"/>
      <c r="N95" s="79"/>
      <c r="O95" s="80"/>
      <c r="P95" s="79"/>
      <c r="Q95" s="79"/>
      <c r="R95" s="80"/>
      <c r="S95" s="78">
        <f>'[15]Billing Qty 2021 NEW Format'!S94</f>
        <v>1573358.78</v>
      </c>
      <c r="T95" s="87">
        <f>'[15]Billing Qty 2021 NEW Format'!T94</f>
        <v>1825000</v>
      </c>
      <c r="U95" s="82"/>
      <c r="V95" s="83"/>
      <c r="W95" s="310">
        <f t="shared" si="32"/>
        <v>1</v>
      </c>
      <c r="X95" s="311">
        <f t="shared" si="33"/>
        <v>20561.394500000002</v>
      </c>
      <c r="AA95" s="263">
        <f t="shared" si="44"/>
        <v>20561.394500000002</v>
      </c>
      <c r="AB95" s="269">
        <f t="shared" si="45"/>
        <v>0</v>
      </c>
      <c r="AC95" s="264">
        <f t="shared" si="38"/>
        <v>20561.394500000002</v>
      </c>
    </row>
    <row r="96" spans="2:29" ht="15" customHeight="1" x14ac:dyDescent="0.25">
      <c r="B96" s="156">
        <f t="shared" ref="B96:B111" si="46">B95+1</f>
        <v>2</v>
      </c>
      <c r="C96" s="180" t="s">
        <v>122</v>
      </c>
      <c r="D96" s="181"/>
      <c r="E96" s="210" t="s">
        <v>118</v>
      </c>
      <c r="G96" s="77">
        <f>'[15]Billing Qty 2021 NEW Format'!G95</f>
        <v>365</v>
      </c>
      <c r="H96" s="78">
        <f>'[15]Billing Qty 2021 NEW Format'!H95</f>
        <v>24905.050000000003</v>
      </c>
      <c r="I96" s="79"/>
      <c r="J96" s="79"/>
      <c r="K96" s="80"/>
      <c r="L96" s="79"/>
      <c r="M96" s="79"/>
      <c r="N96" s="79"/>
      <c r="O96" s="80"/>
      <c r="P96" s="79"/>
      <c r="Q96" s="79"/>
      <c r="R96" s="80"/>
      <c r="S96" s="78">
        <f>'[15]Billing Qty 2021 NEW Format'!S95</f>
        <v>2062195.2500000002</v>
      </c>
      <c r="T96" s="87">
        <f>'[15]Billing Qty 2021 NEW Format'!T95</f>
        <v>2062195.2500000002</v>
      </c>
      <c r="U96" s="82"/>
      <c r="V96" s="83"/>
      <c r="W96" s="310">
        <f>G96/$W$7</f>
        <v>1</v>
      </c>
      <c r="X96" s="311">
        <f>SUM(H96:O96)</f>
        <v>24905.050000000003</v>
      </c>
      <c r="AA96" s="263">
        <f>SUM(H96:K96)</f>
        <v>24905.050000000003</v>
      </c>
      <c r="AB96" s="269">
        <f>SUM(L96:O96)</f>
        <v>0</v>
      </c>
      <c r="AC96" s="264">
        <f t="shared" si="38"/>
        <v>24905.050000000003</v>
      </c>
    </row>
    <row r="97" spans="2:29" ht="15" customHeight="1" x14ac:dyDescent="0.25">
      <c r="B97" s="156">
        <f t="shared" si="46"/>
        <v>3</v>
      </c>
      <c r="C97" s="180" t="s">
        <v>123</v>
      </c>
      <c r="D97" s="181"/>
      <c r="E97" s="210" t="s">
        <v>118</v>
      </c>
      <c r="G97" s="77">
        <f>'[15]Billing Qty 2021 NEW Format'!G96</f>
        <v>365</v>
      </c>
      <c r="H97" s="78">
        <f>'[15]Billing Qty 2021 NEW Format'!H96</f>
        <v>8861.0153499999997</v>
      </c>
      <c r="I97" s="79"/>
      <c r="J97" s="79"/>
      <c r="K97" s="80"/>
      <c r="L97" s="79"/>
      <c r="M97" s="79"/>
      <c r="N97" s="79"/>
      <c r="O97" s="80"/>
      <c r="P97" s="79"/>
      <c r="Q97" s="79"/>
      <c r="R97" s="80"/>
      <c r="S97" s="78">
        <f>'[15]Billing Qty 2021 NEW Format'!S96</f>
        <v>1002255.69</v>
      </c>
      <c r="T97" s="87">
        <f>'[15]Billing Qty 2021 NEW Format'!T96</f>
        <v>1825000</v>
      </c>
      <c r="U97" s="82"/>
      <c r="V97" s="83"/>
      <c r="W97" s="310">
        <f>G97/$W$7</f>
        <v>1</v>
      </c>
      <c r="X97" s="311">
        <f>SUM(H97:O97)</f>
        <v>8861.0153499999997</v>
      </c>
      <c r="AA97" s="263">
        <f>SUM(H97:K97)</f>
        <v>8861.0153499999997</v>
      </c>
      <c r="AB97" s="269">
        <f>SUM(L97:O97)</f>
        <v>0</v>
      </c>
      <c r="AC97" s="264">
        <f t="shared" si="38"/>
        <v>8861.0153499999997</v>
      </c>
    </row>
    <row r="98" spans="2:29" ht="15" customHeight="1" x14ac:dyDescent="0.25">
      <c r="B98" s="156">
        <f t="shared" si="46"/>
        <v>4</v>
      </c>
      <c r="C98" s="180" t="s">
        <v>119</v>
      </c>
      <c r="D98" s="181"/>
      <c r="E98" s="210" t="s">
        <v>118</v>
      </c>
      <c r="G98" s="77">
        <f>'[15]Billing Qty 2021 NEW Format'!G97</f>
        <v>365</v>
      </c>
      <c r="H98" s="78">
        <f>'[15]Billing Qty 2021 NEW Format'!H97</f>
        <v>23878.657950000001</v>
      </c>
      <c r="I98" s="79"/>
      <c r="J98" s="79"/>
      <c r="K98" s="80"/>
      <c r="L98" s="79"/>
      <c r="M98" s="79"/>
      <c r="N98" s="79"/>
      <c r="O98" s="80"/>
      <c r="P98" s="79"/>
      <c r="Q98" s="79"/>
      <c r="R98" s="80"/>
      <c r="S98" s="78">
        <f>'[15]Billing Qty 2021 NEW Format'!S97</f>
        <v>2490079.2749999999</v>
      </c>
      <c r="T98" s="87">
        <f>'[15]Billing Qty 2021 NEW Format'!T97</f>
        <v>2500878.5299999998</v>
      </c>
      <c r="U98" s="82"/>
      <c r="V98" s="83"/>
      <c r="W98" s="310">
        <f t="shared" si="32"/>
        <v>1</v>
      </c>
      <c r="X98" s="311">
        <f t="shared" si="33"/>
        <v>23878.657950000001</v>
      </c>
      <c r="AA98" s="263">
        <f t="shared" si="44"/>
        <v>23878.657950000001</v>
      </c>
      <c r="AB98" s="269">
        <f t="shared" si="45"/>
        <v>0</v>
      </c>
      <c r="AC98" s="264">
        <f t="shared" si="38"/>
        <v>23878.657950000001</v>
      </c>
    </row>
    <row r="99" spans="2:29" ht="15" customHeight="1" x14ac:dyDescent="0.25">
      <c r="B99" s="156">
        <f t="shared" si="46"/>
        <v>5</v>
      </c>
      <c r="C99" s="180" t="s">
        <v>120</v>
      </c>
      <c r="D99" s="181"/>
      <c r="E99" s="210" t="s">
        <v>118</v>
      </c>
      <c r="G99" s="77">
        <f>'[15]Billing Qty 2021 NEW Format'!G98</f>
        <v>365</v>
      </c>
      <c r="H99" s="78">
        <f>'[15]Billing Qty 2021 NEW Format'!H98</f>
        <v>2289.5800020000001</v>
      </c>
      <c r="I99" s="79"/>
      <c r="J99" s="79"/>
      <c r="K99" s="80"/>
      <c r="L99" s="79"/>
      <c r="M99" s="79"/>
      <c r="N99" s="79"/>
      <c r="O99" s="80"/>
      <c r="P99" s="79"/>
      <c r="Q99" s="79"/>
      <c r="R99" s="80"/>
      <c r="S99" s="78">
        <f>'[15]Billing Qty 2021 NEW Format'!S98</f>
        <v>981071.09</v>
      </c>
      <c r="T99" s="87">
        <f>'[15]Billing Qty 2021 NEW Format'!T98</f>
        <v>1919124.375</v>
      </c>
      <c r="U99" s="82"/>
      <c r="V99" s="83"/>
      <c r="W99" s="310">
        <f t="shared" si="32"/>
        <v>1</v>
      </c>
      <c r="X99" s="311">
        <f t="shared" si="33"/>
        <v>2289.5800020000001</v>
      </c>
      <c r="AA99" s="263">
        <f t="shared" si="44"/>
        <v>2289.5800020000001</v>
      </c>
      <c r="AB99" s="269">
        <f t="shared" si="45"/>
        <v>0</v>
      </c>
      <c r="AC99" s="264">
        <f t="shared" si="38"/>
        <v>2289.5800020000001</v>
      </c>
    </row>
    <row r="100" spans="2:29" ht="15" customHeight="1" x14ac:dyDescent="0.25">
      <c r="B100" s="156">
        <f t="shared" si="46"/>
        <v>6</v>
      </c>
      <c r="C100" s="180" t="s">
        <v>121</v>
      </c>
      <c r="D100" s="181"/>
      <c r="E100" s="210" t="s">
        <v>118</v>
      </c>
      <c r="G100" s="77">
        <f>'[15]Billing Qty 2021 NEW Format'!G99</f>
        <v>365</v>
      </c>
      <c r="H100" s="78">
        <f>'[15]Billing Qty 2021 NEW Format'!H99</f>
        <v>24772.561650000003</v>
      </c>
      <c r="I100" s="79"/>
      <c r="J100" s="79"/>
      <c r="K100" s="80"/>
      <c r="L100" s="79"/>
      <c r="M100" s="79"/>
      <c r="N100" s="79"/>
      <c r="O100" s="80"/>
      <c r="P100" s="79"/>
      <c r="Q100" s="79"/>
      <c r="R100" s="80"/>
      <c r="S100" s="78">
        <f>'[15]Billing Qty 2021 NEW Format'!S99</f>
        <v>1781500.395</v>
      </c>
      <c r="T100" s="87">
        <f>'[15]Billing Qty 2021 NEW Format'!T99</f>
        <v>1825000</v>
      </c>
      <c r="U100" s="82"/>
      <c r="V100" s="83"/>
      <c r="W100" s="310">
        <f t="shared" si="32"/>
        <v>1</v>
      </c>
      <c r="X100" s="311">
        <f t="shared" si="33"/>
        <v>24772.561650000003</v>
      </c>
      <c r="AA100" s="263">
        <f t="shared" si="44"/>
        <v>24772.561650000003</v>
      </c>
      <c r="AB100" s="269">
        <f t="shared" si="45"/>
        <v>0</v>
      </c>
      <c r="AC100" s="264">
        <f t="shared" si="38"/>
        <v>24772.561650000003</v>
      </c>
    </row>
    <row r="101" spans="2:29" ht="15" customHeight="1" x14ac:dyDescent="0.25">
      <c r="B101" s="156"/>
      <c r="C101" s="126" t="s">
        <v>124</v>
      </c>
      <c r="D101" s="202"/>
      <c r="E101" s="202"/>
      <c r="G101" s="86"/>
      <c r="H101" s="81"/>
      <c r="I101" s="79"/>
      <c r="J101" s="79"/>
      <c r="K101" s="80"/>
      <c r="L101" s="79"/>
      <c r="M101" s="79"/>
      <c r="N101" s="79"/>
      <c r="O101" s="80"/>
      <c r="P101" s="79"/>
      <c r="Q101" s="79"/>
      <c r="R101" s="80"/>
      <c r="S101" s="81"/>
      <c r="T101" s="79"/>
      <c r="U101" s="81"/>
      <c r="V101" s="80"/>
      <c r="W101" s="310">
        <f t="shared" si="32"/>
        <v>0</v>
      </c>
      <c r="X101" s="311">
        <f t="shared" si="33"/>
        <v>0</v>
      </c>
      <c r="AA101" s="259">
        <f>SUBTOTAL(9,AA102:AA111)</f>
        <v>403819.83100400004</v>
      </c>
      <c r="AB101" s="259">
        <f>SUBTOTAL(9,AB102:AB111)</f>
        <v>0</v>
      </c>
      <c r="AC101" s="261">
        <f t="shared" si="38"/>
        <v>403819.83100400004</v>
      </c>
    </row>
    <row r="102" spans="2:29" ht="15" customHeight="1" x14ac:dyDescent="0.25">
      <c r="B102" s="156">
        <f>B100+1</f>
        <v>7</v>
      </c>
      <c r="C102" s="180" t="s">
        <v>125</v>
      </c>
      <c r="D102" s="181"/>
      <c r="E102" s="210" t="s">
        <v>126</v>
      </c>
      <c r="G102" s="77">
        <f>'[15]Billing Qty 2021 NEW Format'!G101</f>
        <v>365</v>
      </c>
      <c r="H102" s="78">
        <f>'[15]Billing Qty 2021 NEW Format'!H101</f>
        <v>74000</v>
      </c>
      <c r="I102" s="79"/>
      <c r="J102" s="79"/>
      <c r="K102" s="80"/>
      <c r="L102" s="79"/>
      <c r="M102" s="79"/>
      <c r="N102" s="79"/>
      <c r="O102" s="80"/>
      <c r="P102" s="79"/>
      <c r="Q102" s="79"/>
      <c r="R102" s="80"/>
      <c r="S102" s="78">
        <f>'[15]Billing Qty 2021 NEW Format'!S101</f>
        <v>4078845.07</v>
      </c>
      <c r="T102" s="87">
        <f>'[15]Billing Qty 2021 NEW Format'!T101</f>
        <v>5133823.55</v>
      </c>
      <c r="U102" s="82"/>
      <c r="V102" s="83"/>
      <c r="W102" s="310">
        <f t="shared" si="32"/>
        <v>1</v>
      </c>
      <c r="X102" s="311">
        <f t="shared" si="33"/>
        <v>74000</v>
      </c>
      <c r="AA102" s="263">
        <f t="shared" ref="AA102:AA103" si="47">SUM(H102:K102)</f>
        <v>74000</v>
      </c>
      <c r="AB102" s="269">
        <f t="shared" ref="AB102:AB103" si="48">SUM(L102:O102)</f>
        <v>0</v>
      </c>
      <c r="AC102" s="264">
        <f t="shared" si="38"/>
        <v>74000</v>
      </c>
    </row>
    <row r="103" spans="2:29" ht="15" customHeight="1" x14ac:dyDescent="0.25">
      <c r="B103" s="156">
        <f t="shared" si="46"/>
        <v>8</v>
      </c>
      <c r="C103" s="180" t="s">
        <v>127</v>
      </c>
      <c r="D103" s="181"/>
      <c r="E103" s="210" t="s">
        <v>126</v>
      </c>
      <c r="G103" s="77">
        <f>'[15]Billing Qty 2021 NEW Format'!G102</f>
        <v>365</v>
      </c>
      <c r="H103" s="78">
        <f>'[15]Billing Qty 2021 NEW Format'!H102</f>
        <v>174006.38800000001</v>
      </c>
      <c r="I103" s="79"/>
      <c r="J103" s="79"/>
      <c r="K103" s="80"/>
      <c r="L103" s="79"/>
      <c r="M103" s="79"/>
      <c r="N103" s="79"/>
      <c r="O103" s="80"/>
      <c r="P103" s="79"/>
      <c r="Q103" s="79"/>
      <c r="R103" s="80"/>
      <c r="S103" s="78">
        <f>'[15]Billing Qty 2021 NEW Format'!S102</f>
        <v>9781182.7649999987</v>
      </c>
      <c r="T103" s="87">
        <f>'[15]Billing Qty 2021 NEW Format'!T102</f>
        <v>9817630.5700000003</v>
      </c>
      <c r="U103" s="82"/>
      <c r="V103" s="83"/>
      <c r="W103" s="310">
        <f t="shared" si="32"/>
        <v>1</v>
      </c>
      <c r="X103" s="311">
        <f t="shared" si="33"/>
        <v>174006.38800000001</v>
      </c>
      <c r="AA103" s="263">
        <f t="shared" si="47"/>
        <v>174006.38800000001</v>
      </c>
      <c r="AB103" s="269">
        <f t="shared" si="48"/>
        <v>0</v>
      </c>
      <c r="AC103" s="264">
        <f t="shared" si="38"/>
        <v>174006.38800000001</v>
      </c>
    </row>
    <row r="104" spans="2:29" ht="15" customHeight="1" x14ac:dyDescent="0.25">
      <c r="B104" s="156">
        <f t="shared" si="46"/>
        <v>9</v>
      </c>
      <c r="C104" s="180" t="s">
        <v>128</v>
      </c>
      <c r="D104" s="181"/>
      <c r="E104" s="210" t="s">
        <v>126</v>
      </c>
      <c r="G104" s="77">
        <f>'[15]Billing Qty 2021 NEW Format'!G103</f>
        <v>365</v>
      </c>
      <c r="H104" s="78">
        <f>'[15]Billing Qty 2021 NEW Format'!H103</f>
        <v>23846.443004000001</v>
      </c>
      <c r="I104" s="79"/>
      <c r="J104" s="79"/>
      <c r="K104" s="80"/>
      <c r="L104" s="79"/>
      <c r="M104" s="79"/>
      <c r="N104" s="79"/>
      <c r="O104" s="80"/>
      <c r="P104" s="79"/>
      <c r="Q104" s="79"/>
      <c r="R104" s="80"/>
      <c r="S104" s="78">
        <f>'[15]Billing Qty 2021 NEW Format'!S103</f>
        <v>1524599.5249999999</v>
      </c>
      <c r="T104" s="87">
        <f>'[15]Billing Qty 2021 NEW Format'!T103</f>
        <v>1825000</v>
      </c>
      <c r="U104" s="82"/>
      <c r="V104" s="83"/>
      <c r="W104" s="310">
        <f t="shared" ref="W104:W111" si="49">G104/$W$7</f>
        <v>1</v>
      </c>
      <c r="X104" s="311">
        <f t="shared" ref="X104:X111" si="50">SUM(H104:O104)</f>
        <v>23846.443004000001</v>
      </c>
      <c r="AA104" s="263">
        <f t="shared" ref="AA104:AA111" si="51">SUM(H104:K104)</f>
        <v>23846.443004000001</v>
      </c>
      <c r="AB104" s="269">
        <f t="shared" ref="AB104:AB111" si="52">SUM(L104:O104)</f>
        <v>0</v>
      </c>
      <c r="AC104" s="264">
        <f t="shared" si="38"/>
        <v>23846.443004000001</v>
      </c>
    </row>
    <row r="105" spans="2:29" ht="15" customHeight="1" x14ac:dyDescent="0.25">
      <c r="B105" s="156">
        <f t="shared" si="46"/>
        <v>10</v>
      </c>
      <c r="C105" s="180"/>
      <c r="D105" s="181" t="s">
        <v>129</v>
      </c>
      <c r="E105" s="210" t="s">
        <v>126</v>
      </c>
      <c r="G105" s="77">
        <f>'[15]Billing Qty 2021 NEW Format'!G104</f>
        <v>365</v>
      </c>
      <c r="H105" s="78">
        <f>'[15]Billing Qty 2021 NEW Format'!H104</f>
        <v>27300</v>
      </c>
      <c r="I105" s="79"/>
      <c r="J105" s="79"/>
      <c r="K105" s="80"/>
      <c r="L105" s="79"/>
      <c r="M105" s="79"/>
      <c r="N105" s="79"/>
      <c r="O105" s="80"/>
      <c r="P105" s="79"/>
      <c r="Q105" s="79"/>
      <c r="R105" s="80"/>
      <c r="S105" s="78">
        <f>'[15]Billing Qty 2021 NEW Format'!S104</f>
        <v>3470830.26</v>
      </c>
      <c r="T105" s="87">
        <f>'[15]Billing Qty 2021 NEW Format'!T104</f>
        <v>3472358.15</v>
      </c>
      <c r="U105" s="82"/>
      <c r="V105" s="83"/>
      <c r="W105" s="310">
        <f t="shared" si="49"/>
        <v>1</v>
      </c>
      <c r="X105" s="311">
        <f t="shared" si="50"/>
        <v>27300</v>
      </c>
      <c r="AA105" s="263">
        <f t="shared" si="51"/>
        <v>27300</v>
      </c>
      <c r="AB105" s="269">
        <f t="shared" si="52"/>
        <v>0</v>
      </c>
      <c r="AC105" s="264">
        <f t="shared" si="38"/>
        <v>27300</v>
      </c>
    </row>
    <row r="106" spans="2:29" ht="15" customHeight="1" x14ac:dyDescent="0.25">
      <c r="B106" s="156">
        <f t="shared" si="46"/>
        <v>11</v>
      </c>
      <c r="C106" s="180" t="s">
        <v>582</v>
      </c>
      <c r="D106" s="181"/>
      <c r="E106" s="210" t="s">
        <v>126</v>
      </c>
      <c r="G106" s="77">
        <f>'[15]Billing Qty 2021 NEW Format'!G105</f>
        <v>365</v>
      </c>
      <c r="H106" s="78">
        <f>'[15]Billing Qty 2021 NEW Format'!H105</f>
        <v>10600</v>
      </c>
      <c r="I106" s="79"/>
      <c r="J106" s="79"/>
      <c r="K106" s="80"/>
      <c r="L106" s="79"/>
      <c r="M106" s="79"/>
      <c r="N106" s="79"/>
      <c r="O106" s="80"/>
      <c r="P106" s="79"/>
      <c r="Q106" s="79"/>
      <c r="R106" s="80"/>
      <c r="S106" s="78">
        <f>'[15]Billing Qty 2021 NEW Format'!S105</f>
        <v>1145428.3999999999</v>
      </c>
      <c r="T106" s="87">
        <f>'[15]Billing Qty 2021 NEW Format'!T105</f>
        <v>1825000</v>
      </c>
      <c r="U106" s="82"/>
      <c r="V106" s="83"/>
      <c r="W106" s="310">
        <f t="shared" si="49"/>
        <v>1</v>
      </c>
      <c r="X106" s="311">
        <f t="shared" si="50"/>
        <v>10600</v>
      </c>
      <c r="AA106" s="263">
        <f t="shared" si="51"/>
        <v>10600</v>
      </c>
      <c r="AB106" s="269">
        <f t="shared" si="52"/>
        <v>0</v>
      </c>
      <c r="AC106" s="264">
        <f t="shared" si="38"/>
        <v>10600</v>
      </c>
    </row>
    <row r="107" spans="2:29" ht="15" customHeight="1" x14ac:dyDescent="0.25">
      <c r="B107" s="156">
        <f t="shared" si="46"/>
        <v>12</v>
      </c>
      <c r="C107" s="180" t="s">
        <v>583</v>
      </c>
      <c r="D107" s="181"/>
      <c r="E107" s="210" t="s">
        <v>126</v>
      </c>
      <c r="G107" s="77">
        <f>'[15]Billing Qty 2021 NEW Format'!G106</f>
        <v>365</v>
      </c>
      <c r="H107" s="78">
        <f>'[15]Billing Qty 2021 NEW Format'!H106</f>
        <v>10600</v>
      </c>
      <c r="I107" s="79"/>
      <c r="J107" s="79"/>
      <c r="K107" s="80"/>
      <c r="L107" s="79"/>
      <c r="M107" s="79"/>
      <c r="N107" s="79"/>
      <c r="O107" s="80"/>
      <c r="P107" s="79"/>
      <c r="Q107" s="79"/>
      <c r="R107" s="80"/>
      <c r="S107" s="78">
        <f>'[15]Billing Qty 2021 NEW Format'!S106</f>
        <v>633535.245</v>
      </c>
      <c r="T107" s="87">
        <f>'[15]Billing Qty 2021 NEW Format'!T106</f>
        <v>1825000</v>
      </c>
      <c r="U107" s="82"/>
      <c r="V107" s="83"/>
      <c r="W107" s="310">
        <f t="shared" si="49"/>
        <v>1</v>
      </c>
      <c r="X107" s="311">
        <f t="shared" si="50"/>
        <v>10600</v>
      </c>
      <c r="AA107" s="263">
        <f t="shared" si="51"/>
        <v>10600</v>
      </c>
      <c r="AB107" s="269">
        <f t="shared" si="52"/>
        <v>0</v>
      </c>
      <c r="AC107" s="264">
        <f t="shared" si="38"/>
        <v>10600</v>
      </c>
    </row>
    <row r="108" spans="2:29" ht="15" customHeight="1" x14ac:dyDescent="0.25">
      <c r="B108" s="156">
        <f t="shared" si="46"/>
        <v>13</v>
      </c>
      <c r="C108" s="180" t="s">
        <v>578</v>
      </c>
      <c r="D108" s="181"/>
      <c r="E108" s="210" t="s">
        <v>126</v>
      </c>
      <c r="G108" s="77">
        <f>'[15]Billing Qty 2021 NEW Format'!G107</f>
        <v>365</v>
      </c>
      <c r="H108" s="78">
        <f>'[15]Billing Qty 2021 NEW Format'!H107</f>
        <v>0</v>
      </c>
      <c r="I108" s="79"/>
      <c r="J108" s="79"/>
      <c r="K108" s="80"/>
      <c r="L108" s="79"/>
      <c r="M108" s="79"/>
      <c r="N108" s="79"/>
      <c r="O108" s="80"/>
      <c r="P108" s="79"/>
      <c r="Q108" s="79"/>
      <c r="R108" s="80"/>
      <c r="S108" s="78">
        <f>'[15]Billing Qty 2021 NEW Format'!S107</f>
        <v>0</v>
      </c>
      <c r="T108" s="87">
        <f>'[15]Billing Qty 2021 NEW Format'!T107</f>
        <v>0</v>
      </c>
      <c r="U108" s="82"/>
      <c r="V108" s="83"/>
      <c r="W108" s="310">
        <f t="shared" si="49"/>
        <v>1</v>
      </c>
      <c r="X108" s="311">
        <f t="shared" si="50"/>
        <v>0</v>
      </c>
      <c r="AA108" s="263">
        <f t="shared" si="51"/>
        <v>0</v>
      </c>
      <c r="AB108" s="269">
        <f t="shared" si="52"/>
        <v>0</v>
      </c>
      <c r="AC108" s="264">
        <f t="shared" si="38"/>
        <v>0</v>
      </c>
    </row>
    <row r="109" spans="2:29" ht="15" customHeight="1" x14ac:dyDescent="0.25">
      <c r="B109" s="156">
        <f t="shared" si="46"/>
        <v>14</v>
      </c>
      <c r="C109" s="180" t="s">
        <v>130</v>
      </c>
      <c r="D109" s="181"/>
      <c r="E109" s="210" t="s">
        <v>126</v>
      </c>
      <c r="G109" s="77">
        <f>'[15]Billing Qty 2021 NEW Format'!G108</f>
        <v>365</v>
      </c>
      <c r="H109" s="78">
        <f>'[15]Billing Qty 2021 NEW Format'!H108</f>
        <v>32021</v>
      </c>
      <c r="I109" s="79"/>
      <c r="J109" s="79"/>
      <c r="K109" s="80"/>
      <c r="L109" s="79"/>
      <c r="M109" s="79"/>
      <c r="N109" s="79"/>
      <c r="O109" s="80"/>
      <c r="P109" s="79"/>
      <c r="Q109" s="79"/>
      <c r="R109" s="80"/>
      <c r="S109" s="78">
        <f>'[15]Billing Qty 2021 NEW Format'!S108</f>
        <v>4581260.2699999996</v>
      </c>
      <c r="T109" s="87">
        <f>'[15]Billing Qty 2021 NEW Format'!T108</f>
        <v>4618258.8599999994</v>
      </c>
      <c r="U109" s="82"/>
      <c r="V109" s="83"/>
      <c r="W109" s="310">
        <f t="shared" si="49"/>
        <v>1</v>
      </c>
      <c r="X109" s="311">
        <f t="shared" si="50"/>
        <v>32021</v>
      </c>
      <c r="AA109" s="263">
        <f t="shared" si="51"/>
        <v>32021</v>
      </c>
      <c r="AB109" s="269">
        <f t="shared" si="52"/>
        <v>0</v>
      </c>
      <c r="AC109" s="264">
        <f t="shared" si="38"/>
        <v>32021</v>
      </c>
    </row>
    <row r="110" spans="2:29" ht="15" customHeight="1" x14ac:dyDescent="0.25">
      <c r="B110" s="156">
        <f t="shared" si="46"/>
        <v>15</v>
      </c>
      <c r="C110" s="180" t="s">
        <v>131</v>
      </c>
      <c r="D110" s="181"/>
      <c r="E110" s="210" t="s">
        <v>126</v>
      </c>
      <c r="G110" s="77">
        <f>'[15]Billing Qty 2021 NEW Format'!G109</f>
        <v>365</v>
      </c>
      <c r="H110" s="78">
        <f>'[15]Billing Qty 2021 NEW Format'!H109</f>
        <v>51446</v>
      </c>
      <c r="I110" s="79"/>
      <c r="J110" s="79"/>
      <c r="K110" s="80"/>
      <c r="L110" s="79"/>
      <c r="M110" s="79"/>
      <c r="N110" s="79"/>
      <c r="O110" s="80"/>
      <c r="P110" s="79"/>
      <c r="Q110" s="79"/>
      <c r="R110" s="80"/>
      <c r="S110" s="78">
        <f>'[15]Billing Qty 2021 NEW Format'!S109</f>
        <v>2717743.645</v>
      </c>
      <c r="T110" s="87">
        <f>'[15]Billing Qty 2021 NEW Format'!T109</f>
        <v>3040755.1399999997</v>
      </c>
      <c r="U110" s="82"/>
      <c r="V110" s="83"/>
      <c r="W110" s="310">
        <f t="shared" si="49"/>
        <v>1</v>
      </c>
      <c r="X110" s="311">
        <f t="shared" si="50"/>
        <v>51446</v>
      </c>
      <c r="AA110" s="263">
        <f t="shared" si="51"/>
        <v>51446</v>
      </c>
      <c r="AB110" s="269">
        <f t="shared" si="52"/>
        <v>0</v>
      </c>
      <c r="AC110" s="264">
        <f t="shared" si="38"/>
        <v>51446</v>
      </c>
    </row>
    <row r="111" spans="2:29" ht="15" customHeight="1" x14ac:dyDescent="0.25">
      <c r="B111" s="156">
        <f t="shared" si="46"/>
        <v>16</v>
      </c>
      <c r="C111" s="180" t="s">
        <v>579</v>
      </c>
      <c r="D111" s="181"/>
      <c r="E111" s="210" t="s">
        <v>126</v>
      </c>
      <c r="G111" s="77">
        <f>'[15]Billing Qty 2021 NEW Format'!G110</f>
        <v>0</v>
      </c>
      <c r="H111" s="78">
        <f>'[15]Billing Qty 2021 NEW Format'!H110</f>
        <v>0</v>
      </c>
      <c r="I111" s="79"/>
      <c r="J111" s="79"/>
      <c r="K111" s="80"/>
      <c r="L111" s="79"/>
      <c r="M111" s="79"/>
      <c r="N111" s="79"/>
      <c r="O111" s="80"/>
      <c r="P111" s="79"/>
      <c r="Q111" s="79"/>
      <c r="R111" s="80"/>
      <c r="S111" s="78">
        <f>'[15]Billing Qty 2021 NEW Format'!S110</f>
        <v>0</v>
      </c>
      <c r="T111" s="87">
        <f>'[15]Billing Qty 2021 NEW Format'!T110</f>
        <v>0</v>
      </c>
      <c r="U111" s="82"/>
      <c r="V111" s="83"/>
      <c r="W111" s="310">
        <f t="shared" si="49"/>
        <v>0</v>
      </c>
      <c r="X111" s="311">
        <f t="shared" si="50"/>
        <v>0</v>
      </c>
      <c r="AA111" s="263">
        <f t="shared" si="51"/>
        <v>0</v>
      </c>
      <c r="AB111" s="269">
        <f t="shared" si="52"/>
        <v>0</v>
      </c>
      <c r="AC111" s="264">
        <f t="shared" si="38"/>
        <v>0</v>
      </c>
    </row>
    <row r="112" spans="2:29" ht="15" customHeight="1" x14ac:dyDescent="0.25">
      <c r="B112" s="19"/>
      <c r="C112" s="36" t="s">
        <v>132</v>
      </c>
      <c r="D112" s="85"/>
      <c r="E112" s="85"/>
      <c r="G112" s="86"/>
      <c r="H112" s="81"/>
      <c r="I112" s="79"/>
      <c r="J112" s="79"/>
      <c r="K112" s="80"/>
      <c r="L112" s="79"/>
      <c r="M112" s="79"/>
      <c r="N112" s="79"/>
      <c r="O112" s="80"/>
      <c r="P112" s="79"/>
      <c r="Q112" s="79"/>
      <c r="R112" s="80"/>
      <c r="S112" s="81"/>
      <c r="T112" s="79"/>
      <c r="U112" s="81"/>
      <c r="V112" s="80"/>
      <c r="W112" s="310">
        <f t="shared" si="32"/>
        <v>0</v>
      </c>
      <c r="X112" s="311">
        <f t="shared" si="33"/>
        <v>0</v>
      </c>
      <c r="AA112" s="259">
        <f>SUBTOTAL(9,AA113:AA116)</f>
        <v>20826.608759000002</v>
      </c>
      <c r="AB112" s="259">
        <f>SUBTOTAL(9,AB113:AB116)</f>
        <v>0</v>
      </c>
      <c r="AC112" s="261">
        <f t="shared" si="38"/>
        <v>20826.608759000002</v>
      </c>
    </row>
    <row r="113" spans="1:29" ht="15" customHeight="1" x14ac:dyDescent="0.25">
      <c r="B113" s="19">
        <f>B110+1</f>
        <v>16</v>
      </c>
      <c r="C113" s="44" t="s">
        <v>133</v>
      </c>
      <c r="D113" s="45"/>
      <c r="E113" s="105" t="s">
        <v>134</v>
      </c>
      <c r="G113" s="77">
        <f>'[15]Billing Qty 2021 NEW Format'!G112</f>
        <v>0</v>
      </c>
      <c r="H113" s="78">
        <f>'[15]Billing Qty 2021 NEW Format'!H112</f>
        <v>0</v>
      </c>
      <c r="I113" s="79"/>
      <c r="J113" s="79"/>
      <c r="K113" s="80"/>
      <c r="L113" s="79"/>
      <c r="M113" s="79"/>
      <c r="N113" s="79"/>
      <c r="O113" s="80"/>
      <c r="P113" s="79"/>
      <c r="Q113" s="79"/>
      <c r="R113" s="80"/>
      <c r="S113" s="78">
        <f>'[15]Billing Qty 2021 NEW Format'!S112</f>
        <v>0</v>
      </c>
      <c r="T113" s="87">
        <f>'[15]Billing Qty 2021 NEW Format'!T112</f>
        <v>0</v>
      </c>
      <c r="U113" s="82"/>
      <c r="V113" s="83"/>
      <c r="W113" s="310">
        <f t="shared" si="32"/>
        <v>0</v>
      </c>
      <c r="X113" s="311">
        <f t="shared" si="33"/>
        <v>0</v>
      </c>
      <c r="AA113" s="263">
        <f t="shared" ref="AA113:AA116" si="53">SUM(H113:K113)</f>
        <v>0</v>
      </c>
      <c r="AB113" s="269">
        <f t="shared" ref="AB113:AB116" si="54">SUM(L113:O113)</f>
        <v>0</v>
      </c>
      <c r="AC113" s="264">
        <f t="shared" si="38"/>
        <v>0</v>
      </c>
    </row>
    <row r="114" spans="1:29" ht="15" customHeight="1" x14ac:dyDescent="0.25">
      <c r="B114" s="19">
        <f>B113+1</f>
        <v>17</v>
      </c>
      <c r="C114" s="44" t="s">
        <v>135</v>
      </c>
      <c r="D114" s="45"/>
      <c r="E114" s="105" t="s">
        <v>136</v>
      </c>
      <c r="G114" s="77">
        <f>'[15]Billing Qty 2021 NEW Format'!G113</f>
        <v>365</v>
      </c>
      <c r="H114" s="78">
        <f>'[15]Billing Qty 2021 NEW Format'!H113</f>
        <v>8287.9185390000002</v>
      </c>
      <c r="I114" s="79"/>
      <c r="J114" s="79"/>
      <c r="K114" s="80"/>
      <c r="L114" s="79"/>
      <c r="M114" s="79"/>
      <c r="N114" s="79"/>
      <c r="O114" s="80"/>
      <c r="P114" s="79"/>
      <c r="Q114" s="79"/>
      <c r="R114" s="80"/>
      <c r="S114" s="78">
        <f>'[15]Billing Qty 2021 NEW Format'!S113</f>
        <v>1070883.72</v>
      </c>
      <c r="T114" s="87">
        <f>'[15]Billing Qty 2021 NEW Format'!T113</f>
        <v>2372500</v>
      </c>
      <c r="U114" s="82"/>
      <c r="V114" s="83"/>
      <c r="W114" s="310">
        <f t="shared" si="32"/>
        <v>1</v>
      </c>
      <c r="X114" s="311">
        <f t="shared" si="33"/>
        <v>8287.9185390000002</v>
      </c>
      <c r="AA114" s="263">
        <f t="shared" si="53"/>
        <v>8287.9185390000002</v>
      </c>
      <c r="AB114" s="269">
        <f t="shared" si="54"/>
        <v>0</v>
      </c>
      <c r="AC114" s="264">
        <f t="shared" si="38"/>
        <v>8287.9185390000002</v>
      </c>
    </row>
    <row r="115" spans="1:29" ht="15" customHeight="1" x14ac:dyDescent="0.25">
      <c r="B115" s="19">
        <f t="shared" ref="B115:B126" si="55">B114+1</f>
        <v>18</v>
      </c>
      <c r="C115" s="44" t="s">
        <v>137</v>
      </c>
      <c r="D115" s="45"/>
      <c r="E115" s="105" t="s">
        <v>136</v>
      </c>
      <c r="G115" s="77">
        <f>'[15]Billing Qty 2021 NEW Format'!G114</f>
        <v>365</v>
      </c>
      <c r="H115" s="78">
        <f>'[15]Billing Qty 2021 NEW Format'!H114</f>
        <v>2738.69022</v>
      </c>
      <c r="I115" s="79"/>
      <c r="J115" s="79"/>
      <c r="K115" s="80"/>
      <c r="L115" s="79"/>
      <c r="M115" s="79"/>
      <c r="N115" s="79"/>
      <c r="O115" s="80"/>
      <c r="P115" s="79"/>
      <c r="Q115" s="79"/>
      <c r="R115" s="80"/>
      <c r="S115" s="78">
        <f>'[15]Billing Qty 2021 NEW Format'!S114</f>
        <v>308511.505</v>
      </c>
      <c r="T115" s="87">
        <f>'[15]Billing Qty 2021 NEW Format'!T114</f>
        <v>318869.83999999997</v>
      </c>
      <c r="U115" s="82"/>
      <c r="V115" s="83"/>
      <c r="W115" s="310">
        <f t="shared" si="32"/>
        <v>1</v>
      </c>
      <c r="X115" s="311">
        <f t="shared" si="33"/>
        <v>2738.69022</v>
      </c>
      <c r="AA115" s="263">
        <f t="shared" si="53"/>
        <v>2738.69022</v>
      </c>
      <c r="AB115" s="269">
        <f t="shared" si="54"/>
        <v>0</v>
      </c>
      <c r="AC115" s="264">
        <f t="shared" si="38"/>
        <v>2738.69022</v>
      </c>
    </row>
    <row r="116" spans="1:29" ht="15" customHeight="1" x14ac:dyDescent="0.25">
      <c r="B116" s="19">
        <f t="shared" si="55"/>
        <v>19</v>
      </c>
      <c r="C116" s="44" t="s">
        <v>138</v>
      </c>
      <c r="D116" s="45"/>
      <c r="E116" s="105" t="s">
        <v>136</v>
      </c>
      <c r="G116" s="77">
        <f>'[15]Billing Qty 2021 NEW Format'!G115</f>
        <v>365</v>
      </c>
      <c r="H116" s="78">
        <f>'[15]Billing Qty 2021 NEW Format'!H115</f>
        <v>9800</v>
      </c>
      <c r="I116" s="79"/>
      <c r="J116" s="79"/>
      <c r="K116" s="80"/>
      <c r="L116" s="79"/>
      <c r="M116" s="79"/>
      <c r="N116" s="79"/>
      <c r="O116" s="80"/>
      <c r="P116" s="79"/>
      <c r="Q116" s="79"/>
      <c r="R116" s="80"/>
      <c r="S116" s="78">
        <f>'[15]Billing Qty 2021 NEW Format'!S115</f>
        <v>1414892.2050000001</v>
      </c>
      <c r="T116" s="87">
        <f>'[15]Billing Qty 2021 NEW Format'!T115</f>
        <v>1825000</v>
      </c>
      <c r="U116" s="82"/>
      <c r="V116" s="83"/>
      <c r="W116" s="310">
        <f t="shared" si="32"/>
        <v>1</v>
      </c>
      <c r="X116" s="311">
        <f t="shared" si="33"/>
        <v>9800</v>
      </c>
      <c r="AA116" s="263">
        <f t="shared" si="53"/>
        <v>9800</v>
      </c>
      <c r="AB116" s="269">
        <f t="shared" si="54"/>
        <v>0</v>
      </c>
      <c r="AC116" s="264">
        <f t="shared" si="38"/>
        <v>9800</v>
      </c>
    </row>
    <row r="117" spans="1:29" ht="15" customHeight="1" x14ac:dyDescent="0.25">
      <c r="B117" s="19"/>
      <c r="C117" s="36" t="s">
        <v>139</v>
      </c>
      <c r="D117" s="85"/>
      <c r="E117" s="85"/>
      <c r="G117" s="86"/>
      <c r="H117" s="81"/>
      <c r="I117" s="79"/>
      <c r="J117" s="79"/>
      <c r="K117" s="80"/>
      <c r="L117" s="79"/>
      <c r="M117" s="79"/>
      <c r="N117" s="79"/>
      <c r="O117" s="80"/>
      <c r="P117" s="79"/>
      <c r="Q117" s="79"/>
      <c r="R117" s="80"/>
      <c r="S117" s="81"/>
      <c r="T117" s="79"/>
      <c r="U117" s="81"/>
      <c r="V117" s="80"/>
      <c r="W117" s="310">
        <f t="shared" si="32"/>
        <v>0</v>
      </c>
      <c r="X117" s="311">
        <f t="shared" si="33"/>
        <v>0</v>
      </c>
      <c r="AA117" s="259">
        <f>SUBTOTAL(9,AA118:AA126)</f>
        <v>664252.80620800005</v>
      </c>
      <c r="AB117" s="259">
        <f t="shared" ref="AB117" si="56">SUBTOTAL(9,AB118:AB126)</f>
        <v>0</v>
      </c>
      <c r="AC117" s="261">
        <f t="shared" si="38"/>
        <v>664252.80620800005</v>
      </c>
    </row>
    <row r="118" spans="1:29" ht="15" customHeight="1" x14ac:dyDescent="0.25">
      <c r="B118" s="19">
        <f>B116+1</f>
        <v>20</v>
      </c>
      <c r="C118" s="44" t="s">
        <v>140</v>
      </c>
      <c r="D118" s="45"/>
      <c r="E118" s="105" t="s">
        <v>141</v>
      </c>
      <c r="G118" s="77">
        <f>'[15]Billing Qty 2021 NEW Format'!G117</f>
        <v>365</v>
      </c>
      <c r="H118" s="78">
        <f>'[15]Billing Qty 2021 NEW Format'!H117</f>
        <v>150000</v>
      </c>
      <c r="I118" s="79"/>
      <c r="J118" s="79"/>
      <c r="K118" s="80"/>
      <c r="L118" s="79"/>
      <c r="M118" s="79"/>
      <c r="N118" s="79"/>
      <c r="O118" s="80"/>
      <c r="P118" s="79"/>
      <c r="Q118" s="79"/>
      <c r="R118" s="80"/>
      <c r="S118" s="78">
        <f>'[15]Billing Qty 2021 NEW Format'!S117</f>
        <v>7717962.2299999995</v>
      </c>
      <c r="T118" s="87">
        <f>'[15]Billing Qty 2021 NEW Format'!T117</f>
        <v>8005846.4900000002</v>
      </c>
      <c r="U118" s="82"/>
      <c r="V118" s="83"/>
      <c r="W118" s="310">
        <f t="shared" si="32"/>
        <v>1</v>
      </c>
      <c r="X118" s="311">
        <f t="shared" si="33"/>
        <v>150000</v>
      </c>
      <c r="AA118" s="263">
        <f t="shared" ref="AA118:AA126" si="57">SUM(H118:K118)</f>
        <v>150000</v>
      </c>
      <c r="AB118" s="269">
        <f t="shared" ref="AB118:AB126" si="58">SUM(L118:O118)</f>
        <v>0</v>
      </c>
      <c r="AC118" s="264">
        <f t="shared" si="38"/>
        <v>150000</v>
      </c>
    </row>
    <row r="119" spans="1:29" ht="15" customHeight="1" x14ac:dyDescent="0.25">
      <c r="B119" s="19">
        <f t="shared" si="55"/>
        <v>21</v>
      </c>
      <c r="C119" s="44" t="s">
        <v>142</v>
      </c>
      <c r="D119" s="45"/>
      <c r="E119" s="105" t="s">
        <v>141</v>
      </c>
      <c r="G119" s="77">
        <f>'[15]Billing Qty 2021 NEW Format'!G118</f>
        <v>365</v>
      </c>
      <c r="H119" s="78">
        <f>'[15]Billing Qty 2021 NEW Format'!H118</f>
        <v>229778.88508499999</v>
      </c>
      <c r="I119" s="79"/>
      <c r="J119" s="79"/>
      <c r="K119" s="80"/>
      <c r="L119" s="79"/>
      <c r="M119" s="79"/>
      <c r="N119" s="79"/>
      <c r="O119" s="80"/>
      <c r="P119" s="79"/>
      <c r="Q119" s="79"/>
      <c r="R119" s="80"/>
      <c r="S119" s="78">
        <f>'[15]Billing Qty 2021 NEW Format'!S118</f>
        <v>10220000</v>
      </c>
      <c r="T119" s="87">
        <f>'[15]Billing Qty 2021 NEW Format'!T118</f>
        <v>18207293.905000001</v>
      </c>
      <c r="U119" s="82"/>
      <c r="V119" s="83"/>
      <c r="W119" s="310">
        <f t="shared" si="32"/>
        <v>1</v>
      </c>
      <c r="X119" s="311">
        <f t="shared" si="33"/>
        <v>229778.88508499999</v>
      </c>
      <c r="AA119" s="263">
        <f t="shared" si="57"/>
        <v>229778.88508499999</v>
      </c>
      <c r="AB119" s="269">
        <f t="shared" si="58"/>
        <v>0</v>
      </c>
      <c r="AC119" s="264">
        <f t="shared" si="38"/>
        <v>229778.88508499999</v>
      </c>
    </row>
    <row r="120" spans="1:29" ht="15" customHeight="1" x14ac:dyDescent="0.25">
      <c r="B120" s="19">
        <f t="shared" si="55"/>
        <v>22</v>
      </c>
      <c r="C120" s="44" t="s">
        <v>143</v>
      </c>
      <c r="D120" s="45"/>
      <c r="E120" s="105" t="s">
        <v>141</v>
      </c>
      <c r="G120" s="77">
        <f>'[15]Billing Qty 2021 NEW Format'!G119</f>
        <v>365</v>
      </c>
      <c r="H120" s="78">
        <f>'[15]Billing Qty 2021 NEW Format'!H119</f>
        <v>85000</v>
      </c>
      <c r="I120" s="79"/>
      <c r="J120" s="79"/>
      <c r="K120" s="80"/>
      <c r="L120" s="79"/>
      <c r="M120" s="79"/>
      <c r="N120" s="79"/>
      <c r="O120" s="80"/>
      <c r="P120" s="79"/>
      <c r="Q120" s="79"/>
      <c r="R120" s="80"/>
      <c r="S120" s="78">
        <f>'[15]Billing Qty 2021 NEW Format'!S119</f>
        <v>14547318.455</v>
      </c>
      <c r="T120" s="87">
        <f>'[15]Billing Qty 2021 NEW Format'!T119</f>
        <v>15953731.345000001</v>
      </c>
      <c r="U120" s="82"/>
      <c r="V120" s="83"/>
      <c r="W120" s="310">
        <f t="shared" si="32"/>
        <v>1</v>
      </c>
      <c r="X120" s="311">
        <f t="shared" si="33"/>
        <v>85000</v>
      </c>
      <c r="AA120" s="263">
        <f t="shared" si="57"/>
        <v>85000</v>
      </c>
      <c r="AB120" s="269">
        <f t="shared" si="58"/>
        <v>0</v>
      </c>
      <c r="AC120" s="264">
        <f t="shared" si="38"/>
        <v>85000</v>
      </c>
    </row>
    <row r="121" spans="1:29" ht="15" customHeight="1" x14ac:dyDescent="0.25">
      <c r="B121" s="19">
        <f t="shared" si="55"/>
        <v>23</v>
      </c>
      <c r="C121" s="44" t="s">
        <v>144</v>
      </c>
      <c r="D121" s="45"/>
      <c r="E121" s="105" t="s">
        <v>141</v>
      </c>
      <c r="G121" s="77">
        <f>'[15]Billing Qty 2021 NEW Format'!G120</f>
        <v>365</v>
      </c>
      <c r="H121" s="78">
        <f>'[15]Billing Qty 2021 NEW Format'!H120</f>
        <v>15061.964</v>
      </c>
      <c r="I121" s="79"/>
      <c r="J121" s="79"/>
      <c r="K121" s="80"/>
      <c r="L121" s="79"/>
      <c r="M121" s="79"/>
      <c r="N121" s="79"/>
      <c r="O121" s="80"/>
      <c r="P121" s="79"/>
      <c r="Q121" s="79"/>
      <c r="R121" s="80"/>
      <c r="S121" s="78">
        <f>'[15]Billing Qty 2021 NEW Format'!S120</f>
        <v>1836743.875</v>
      </c>
      <c r="T121" s="87">
        <f>'[15]Billing Qty 2021 NEW Format'!T120</f>
        <v>3650000</v>
      </c>
      <c r="U121" s="82"/>
      <c r="V121" s="83"/>
      <c r="W121" s="310">
        <f t="shared" si="32"/>
        <v>1</v>
      </c>
      <c r="X121" s="311">
        <f t="shared" si="33"/>
        <v>15061.964</v>
      </c>
      <c r="AA121" s="263">
        <f t="shared" si="57"/>
        <v>15061.964</v>
      </c>
      <c r="AB121" s="269">
        <f t="shared" si="58"/>
        <v>0</v>
      </c>
      <c r="AC121" s="264">
        <f t="shared" si="38"/>
        <v>15061.964</v>
      </c>
    </row>
    <row r="122" spans="1:29" ht="15" customHeight="1" x14ac:dyDescent="0.25">
      <c r="B122" s="19">
        <f t="shared" si="55"/>
        <v>24</v>
      </c>
      <c r="C122" s="44" t="s">
        <v>145</v>
      </c>
      <c r="D122" s="45"/>
      <c r="E122" s="105" t="s">
        <v>141</v>
      </c>
      <c r="G122" s="77">
        <f>'[15]Billing Qty 2021 NEW Format'!G121</f>
        <v>365</v>
      </c>
      <c r="H122" s="78">
        <f>'[15]Billing Qty 2021 NEW Format'!H121</f>
        <v>90658.642500000002</v>
      </c>
      <c r="I122" s="79"/>
      <c r="J122" s="79"/>
      <c r="K122" s="80"/>
      <c r="L122" s="79"/>
      <c r="M122" s="79"/>
      <c r="N122" s="79"/>
      <c r="O122" s="80"/>
      <c r="P122" s="79"/>
      <c r="Q122" s="79"/>
      <c r="R122" s="80"/>
      <c r="S122" s="78">
        <f>'[15]Billing Qty 2021 NEW Format'!S121</f>
        <v>4013540</v>
      </c>
      <c r="T122" s="87">
        <f>'[15]Billing Qty 2021 NEW Format'!T121</f>
        <v>5960337.9449999994</v>
      </c>
      <c r="U122" s="82"/>
      <c r="V122" s="83"/>
      <c r="W122" s="310">
        <f t="shared" si="32"/>
        <v>1</v>
      </c>
      <c r="X122" s="311">
        <f t="shared" si="33"/>
        <v>90658.642500000002</v>
      </c>
      <c r="AA122" s="263">
        <f t="shared" si="57"/>
        <v>90658.642500000002</v>
      </c>
      <c r="AB122" s="269">
        <f t="shared" si="58"/>
        <v>0</v>
      </c>
      <c r="AC122" s="264">
        <f t="shared" si="38"/>
        <v>90658.642500000002</v>
      </c>
    </row>
    <row r="123" spans="1:29" ht="15" customHeight="1" x14ac:dyDescent="0.25">
      <c r="B123" s="19">
        <f t="shared" si="55"/>
        <v>25</v>
      </c>
      <c r="C123" s="44" t="s">
        <v>146</v>
      </c>
      <c r="D123" s="45"/>
      <c r="E123" s="105" t="s">
        <v>141</v>
      </c>
      <c r="G123" s="77">
        <f>'[15]Billing Qty 2021 NEW Format'!G122</f>
        <v>365</v>
      </c>
      <c r="H123" s="78">
        <f>'[15]Billing Qty 2021 NEW Format'!H122</f>
        <v>31008.333723000003</v>
      </c>
      <c r="I123" s="79"/>
      <c r="J123" s="79"/>
      <c r="K123" s="80"/>
      <c r="L123" s="79"/>
      <c r="M123" s="79"/>
      <c r="N123" s="79"/>
      <c r="O123" s="80"/>
      <c r="P123" s="79"/>
      <c r="Q123" s="79"/>
      <c r="R123" s="80"/>
      <c r="S123" s="78">
        <f>'[15]Billing Qty 2021 NEW Format'!S122</f>
        <v>3680831.55</v>
      </c>
      <c r="T123" s="87">
        <f>'[15]Billing Qty 2021 NEW Format'!T122</f>
        <v>3702753.8150000004</v>
      </c>
      <c r="U123" s="82"/>
      <c r="V123" s="83"/>
      <c r="W123" s="310">
        <f t="shared" si="32"/>
        <v>1</v>
      </c>
      <c r="X123" s="311">
        <f t="shared" si="33"/>
        <v>31008.333723000003</v>
      </c>
      <c r="AA123" s="263">
        <f t="shared" si="57"/>
        <v>31008.333723000003</v>
      </c>
      <c r="AB123" s="269">
        <f t="shared" si="58"/>
        <v>0</v>
      </c>
      <c r="AC123" s="264">
        <f t="shared" si="38"/>
        <v>31008.333723000003</v>
      </c>
    </row>
    <row r="124" spans="1:29" ht="15" customHeight="1" x14ac:dyDescent="0.25">
      <c r="B124" s="19">
        <f t="shared" si="55"/>
        <v>26</v>
      </c>
      <c r="C124" s="44" t="s">
        <v>147</v>
      </c>
      <c r="D124" s="45"/>
      <c r="E124" s="105" t="s">
        <v>141</v>
      </c>
      <c r="G124" s="77">
        <f>'[15]Billing Qty 2021 NEW Format'!G123</f>
        <v>365</v>
      </c>
      <c r="H124" s="78">
        <f>'[15]Billing Qty 2021 NEW Format'!H123</f>
        <v>17329.286500000002</v>
      </c>
      <c r="I124" s="79"/>
      <c r="J124" s="79"/>
      <c r="K124" s="80"/>
      <c r="L124" s="79"/>
      <c r="M124" s="79"/>
      <c r="N124" s="79"/>
      <c r="O124" s="80"/>
      <c r="P124" s="79"/>
      <c r="Q124" s="79"/>
      <c r="R124" s="80"/>
      <c r="S124" s="78">
        <f>'[15]Billing Qty 2021 NEW Format'!S123</f>
        <v>2555000</v>
      </c>
      <c r="T124" s="87">
        <f>'[15]Billing Qty 2021 NEW Format'!T123</f>
        <v>9330396.8149999995</v>
      </c>
      <c r="U124" s="82"/>
      <c r="V124" s="83"/>
      <c r="W124" s="310">
        <f t="shared" si="32"/>
        <v>1</v>
      </c>
      <c r="X124" s="311">
        <f t="shared" si="33"/>
        <v>17329.286500000002</v>
      </c>
      <c r="AA124" s="263">
        <f t="shared" si="57"/>
        <v>17329.286500000002</v>
      </c>
      <c r="AB124" s="269">
        <f t="shared" si="58"/>
        <v>0</v>
      </c>
      <c r="AC124" s="264">
        <f t="shared" si="38"/>
        <v>17329.286500000002</v>
      </c>
    </row>
    <row r="125" spans="1:29" ht="15" customHeight="1" x14ac:dyDescent="0.25">
      <c r="B125" s="19">
        <f t="shared" si="55"/>
        <v>27</v>
      </c>
      <c r="C125" s="44" t="s">
        <v>148</v>
      </c>
      <c r="D125" s="45"/>
      <c r="E125" s="105" t="s">
        <v>141</v>
      </c>
      <c r="G125" s="77">
        <f>'[15]Billing Qty 2021 NEW Format'!G124</f>
        <v>365</v>
      </c>
      <c r="H125" s="78">
        <f>'[15]Billing Qty 2021 NEW Format'!H124</f>
        <v>33415.6944</v>
      </c>
      <c r="I125" s="79"/>
      <c r="J125" s="79"/>
      <c r="K125" s="80"/>
      <c r="L125" s="79"/>
      <c r="M125" s="79"/>
      <c r="N125" s="79"/>
      <c r="O125" s="80"/>
      <c r="P125" s="79"/>
      <c r="Q125" s="79"/>
      <c r="R125" s="80"/>
      <c r="S125" s="78">
        <f>'[15]Billing Qty 2021 NEW Format'!S124</f>
        <v>3308941.4450000003</v>
      </c>
      <c r="T125" s="87">
        <f>'[15]Billing Qty 2021 NEW Format'!T124</f>
        <v>3317635.38</v>
      </c>
      <c r="U125" s="82"/>
      <c r="V125" s="83"/>
      <c r="W125" s="310">
        <f t="shared" si="32"/>
        <v>1</v>
      </c>
      <c r="X125" s="311">
        <f t="shared" si="33"/>
        <v>33415.6944</v>
      </c>
      <c r="AA125" s="263">
        <f t="shared" si="57"/>
        <v>33415.6944</v>
      </c>
      <c r="AB125" s="269">
        <f t="shared" si="58"/>
        <v>0</v>
      </c>
      <c r="AC125" s="264">
        <f t="shared" si="38"/>
        <v>33415.6944</v>
      </c>
    </row>
    <row r="126" spans="1:29" ht="15" customHeight="1" x14ac:dyDescent="0.25">
      <c r="A126" s="108"/>
      <c r="B126" s="26">
        <f t="shared" si="55"/>
        <v>28</v>
      </c>
      <c r="C126" s="55" t="s">
        <v>149</v>
      </c>
      <c r="D126" s="56"/>
      <c r="E126" s="109" t="s">
        <v>141</v>
      </c>
      <c r="G126" s="90">
        <f>'[15]Billing Qty 2021 NEW Format'!G125</f>
        <v>365</v>
      </c>
      <c r="H126" s="91">
        <f>'[15]Billing Qty 2021 NEW Format'!H125</f>
        <v>12000</v>
      </c>
      <c r="I126" s="92"/>
      <c r="J126" s="92"/>
      <c r="K126" s="93"/>
      <c r="L126" s="92"/>
      <c r="M126" s="92"/>
      <c r="N126" s="92"/>
      <c r="O126" s="93"/>
      <c r="P126" s="92"/>
      <c r="Q126" s="92"/>
      <c r="R126" s="93"/>
      <c r="S126" s="91">
        <f>'[15]Billing Qty 2021 NEW Format'!S125</f>
        <v>2015820.54</v>
      </c>
      <c r="T126" s="94">
        <f>'[15]Billing Qty 2021 NEW Format'!T125</f>
        <v>2331851.0449999999</v>
      </c>
      <c r="U126" s="97"/>
      <c r="V126" s="98"/>
      <c r="W126" s="312">
        <f t="shared" si="32"/>
        <v>1</v>
      </c>
      <c r="X126" s="313">
        <f t="shared" si="33"/>
        <v>12000</v>
      </c>
      <c r="AA126" s="266">
        <f t="shared" si="57"/>
        <v>12000</v>
      </c>
      <c r="AB126" s="270">
        <f t="shared" si="58"/>
        <v>0</v>
      </c>
      <c r="AC126" s="264">
        <f t="shared" si="38"/>
        <v>12000</v>
      </c>
    </row>
    <row r="127" spans="1:29" x14ac:dyDescent="0.25">
      <c r="W127" s="110"/>
      <c r="X127" s="111"/>
    </row>
    <row r="128" spans="1:29" x14ac:dyDescent="0.25">
      <c r="C128" s="112" t="s">
        <v>150</v>
      </c>
      <c r="D128" s="113"/>
      <c r="E128" s="113"/>
      <c r="G128" s="119">
        <f t="shared" ref="G128:X128" si="59">SUM(G17:G25)</f>
        <v>291420380</v>
      </c>
      <c r="H128" s="119">
        <f t="shared" si="59"/>
        <v>2657800</v>
      </c>
      <c r="I128" s="119">
        <f t="shared" si="59"/>
        <v>354400</v>
      </c>
      <c r="J128" s="119">
        <f t="shared" si="59"/>
        <v>69400</v>
      </c>
      <c r="K128" s="119">
        <f t="shared" si="59"/>
        <v>105400</v>
      </c>
      <c r="L128" s="119">
        <f t="shared" si="59"/>
        <v>361600</v>
      </c>
      <c r="M128" s="119">
        <f t="shared" si="59"/>
        <v>0</v>
      </c>
      <c r="N128" s="119">
        <f t="shared" si="59"/>
        <v>87500</v>
      </c>
      <c r="O128" s="119">
        <f t="shared" si="59"/>
        <v>21900</v>
      </c>
      <c r="P128" s="119">
        <f t="shared" si="59"/>
        <v>0</v>
      </c>
      <c r="Q128" s="119">
        <f t="shared" si="59"/>
        <v>0</v>
      </c>
      <c r="R128" s="119">
        <f t="shared" si="59"/>
        <v>0</v>
      </c>
      <c r="S128" s="119">
        <f t="shared" si="59"/>
        <v>0</v>
      </c>
      <c r="T128" s="119">
        <f t="shared" si="59"/>
        <v>0</v>
      </c>
      <c r="U128" s="119">
        <f t="shared" si="59"/>
        <v>1752000</v>
      </c>
      <c r="V128" s="119">
        <f t="shared" si="59"/>
        <v>0</v>
      </c>
      <c r="W128" s="310">
        <f t="shared" si="59"/>
        <v>798412</v>
      </c>
      <c r="X128" s="311">
        <f t="shared" si="59"/>
        <v>3658000</v>
      </c>
      <c r="AA128" s="225">
        <f>AA16</f>
        <v>3187000</v>
      </c>
      <c r="AB128" s="225">
        <f>AB16</f>
        <v>471000</v>
      </c>
      <c r="AC128" s="225">
        <f>AC16</f>
        <v>3658000</v>
      </c>
    </row>
    <row r="129" spans="3:29" x14ac:dyDescent="0.25">
      <c r="C129" s="112" t="s">
        <v>151</v>
      </c>
      <c r="D129" s="113"/>
      <c r="E129" s="113"/>
      <c r="G129" s="119">
        <f t="shared" ref="G129:X129" si="60">SUM(G26:G39)</f>
        <v>33899740</v>
      </c>
      <c r="H129" s="119">
        <f t="shared" si="60"/>
        <v>478700</v>
      </c>
      <c r="I129" s="119">
        <f t="shared" si="60"/>
        <v>208600</v>
      </c>
      <c r="J129" s="119">
        <f t="shared" si="60"/>
        <v>267600</v>
      </c>
      <c r="K129" s="119">
        <f t="shared" si="60"/>
        <v>385400</v>
      </c>
      <c r="L129" s="119">
        <f t="shared" si="60"/>
        <v>6000</v>
      </c>
      <c r="M129" s="119">
        <f t="shared" si="60"/>
        <v>0</v>
      </c>
      <c r="N129" s="119">
        <f t="shared" si="60"/>
        <v>0</v>
      </c>
      <c r="O129" s="119">
        <f t="shared" si="60"/>
        <v>0</v>
      </c>
      <c r="P129" s="119">
        <f t="shared" si="60"/>
        <v>0</v>
      </c>
      <c r="Q129" s="119">
        <f t="shared" si="60"/>
        <v>1825137</v>
      </c>
      <c r="R129" s="119">
        <f t="shared" si="60"/>
        <v>4632215</v>
      </c>
      <c r="S129" s="119">
        <f t="shared" si="60"/>
        <v>0</v>
      </c>
      <c r="T129" s="119">
        <f t="shared" si="60"/>
        <v>26073045</v>
      </c>
      <c r="U129" s="119">
        <f t="shared" si="60"/>
        <v>0</v>
      </c>
      <c r="V129" s="119">
        <f t="shared" si="60"/>
        <v>0</v>
      </c>
      <c r="W129" s="310">
        <f t="shared" si="60"/>
        <v>92876</v>
      </c>
      <c r="X129" s="311">
        <f t="shared" si="60"/>
        <v>1346300</v>
      </c>
      <c r="AA129" s="225">
        <f>AA26</f>
        <v>1340300</v>
      </c>
      <c r="AB129" s="225">
        <f>AB26</f>
        <v>6000</v>
      </c>
      <c r="AC129" s="225">
        <f>AC26</f>
        <v>1346300</v>
      </c>
    </row>
    <row r="130" spans="3:29" x14ac:dyDescent="0.25">
      <c r="C130" s="112" t="s">
        <v>152</v>
      </c>
      <c r="D130" s="113"/>
      <c r="E130" s="113"/>
      <c r="G130" s="119">
        <f t="shared" ref="G130:X130" si="61">SUM(G40:G67)</f>
        <v>1581050</v>
      </c>
      <c r="H130" s="119">
        <f t="shared" si="61"/>
        <v>71100</v>
      </c>
      <c r="I130" s="119">
        <f t="shared" si="61"/>
        <v>1376300</v>
      </c>
      <c r="J130" s="119">
        <f t="shared" si="61"/>
        <v>0</v>
      </c>
      <c r="K130" s="119">
        <f t="shared" si="61"/>
        <v>1303600</v>
      </c>
      <c r="L130" s="119">
        <f t="shared" si="61"/>
        <v>0</v>
      </c>
      <c r="M130" s="119">
        <f t="shared" si="61"/>
        <v>0</v>
      </c>
      <c r="N130" s="119">
        <f t="shared" si="61"/>
        <v>0</v>
      </c>
      <c r="O130" s="119">
        <f t="shared" si="61"/>
        <v>0</v>
      </c>
      <c r="P130" s="119">
        <f t="shared" si="61"/>
        <v>3760806</v>
      </c>
      <c r="Q130" s="119">
        <f t="shared" si="61"/>
        <v>5382848</v>
      </c>
      <c r="R130" s="119">
        <f t="shared" si="61"/>
        <v>11592765</v>
      </c>
      <c r="S130" s="119">
        <f t="shared" si="61"/>
        <v>238761465</v>
      </c>
      <c r="T130" s="119">
        <f t="shared" si="61"/>
        <v>357781395</v>
      </c>
      <c r="U130" s="119">
        <f t="shared" si="61"/>
        <v>0</v>
      </c>
      <c r="V130" s="119">
        <f t="shared" si="61"/>
        <v>0</v>
      </c>
      <c r="W130" s="310">
        <f t="shared" si="61"/>
        <v>4331.6438356164381</v>
      </c>
      <c r="X130" s="311">
        <f t="shared" si="61"/>
        <v>2751000</v>
      </c>
      <c r="AA130" s="225">
        <f>AA40</f>
        <v>2751000</v>
      </c>
      <c r="AB130" s="225">
        <f>AB40</f>
        <v>0</v>
      </c>
      <c r="AC130" s="225">
        <f>AC40</f>
        <v>2751000</v>
      </c>
    </row>
    <row r="131" spans="3:29" x14ac:dyDescent="0.25">
      <c r="C131" s="112" t="s">
        <v>153</v>
      </c>
      <c r="D131" s="113"/>
      <c r="E131" s="113"/>
      <c r="G131" s="119">
        <f t="shared" ref="G131:X131" si="62">SUM(G68:G91)</f>
        <v>69715</v>
      </c>
      <c r="H131" s="119">
        <f t="shared" si="62"/>
        <v>12500</v>
      </c>
      <c r="I131" s="119">
        <f t="shared" si="62"/>
        <v>353600</v>
      </c>
      <c r="J131" s="119">
        <f t="shared" si="62"/>
        <v>0</v>
      </c>
      <c r="K131" s="119">
        <f t="shared" si="62"/>
        <v>377600</v>
      </c>
      <c r="L131" s="119">
        <f t="shared" si="62"/>
        <v>0</v>
      </c>
      <c r="M131" s="119">
        <f t="shared" si="62"/>
        <v>0</v>
      </c>
      <c r="N131" s="119">
        <f t="shared" si="62"/>
        <v>0</v>
      </c>
      <c r="O131" s="119">
        <f t="shared" si="62"/>
        <v>0</v>
      </c>
      <c r="P131" s="119">
        <f t="shared" si="62"/>
        <v>546922</v>
      </c>
      <c r="Q131" s="119">
        <f t="shared" si="62"/>
        <v>449678</v>
      </c>
      <c r="R131" s="119">
        <f t="shared" si="62"/>
        <v>1623520</v>
      </c>
      <c r="S131" s="119">
        <f t="shared" si="62"/>
        <v>62775255</v>
      </c>
      <c r="T131" s="119">
        <f t="shared" si="62"/>
        <v>85346125</v>
      </c>
      <c r="U131" s="119">
        <f t="shared" si="62"/>
        <v>0</v>
      </c>
      <c r="V131" s="119">
        <f t="shared" si="62"/>
        <v>0</v>
      </c>
      <c r="W131" s="310">
        <f t="shared" si="62"/>
        <v>191</v>
      </c>
      <c r="X131" s="311">
        <f t="shared" si="62"/>
        <v>743700</v>
      </c>
      <c r="AA131" s="225">
        <f>AA68</f>
        <v>743700</v>
      </c>
      <c r="AB131" s="225">
        <f>AB68</f>
        <v>0</v>
      </c>
      <c r="AC131" s="225">
        <f>AC68</f>
        <v>743700</v>
      </c>
    </row>
    <row r="132" spans="3:29" x14ac:dyDescent="0.25">
      <c r="C132" s="112" t="s">
        <v>154</v>
      </c>
      <c r="D132" s="113"/>
      <c r="E132" s="113"/>
      <c r="G132" s="119">
        <f t="shared" ref="G132:X132" si="63">SUM(G92:G126)</f>
        <v>9855</v>
      </c>
      <c r="H132" s="119">
        <f t="shared" si="63"/>
        <v>1194167.5054229998</v>
      </c>
      <c r="I132" s="119">
        <f t="shared" si="63"/>
        <v>0</v>
      </c>
      <c r="J132" s="119">
        <f t="shared" si="63"/>
        <v>0</v>
      </c>
      <c r="K132" s="119">
        <f t="shared" si="63"/>
        <v>0</v>
      </c>
      <c r="L132" s="119">
        <f t="shared" si="63"/>
        <v>0</v>
      </c>
      <c r="M132" s="119">
        <f t="shared" si="63"/>
        <v>0</v>
      </c>
      <c r="N132" s="119">
        <f t="shared" si="63"/>
        <v>0</v>
      </c>
      <c r="O132" s="119">
        <f t="shared" si="63"/>
        <v>0</v>
      </c>
      <c r="P132" s="119">
        <f t="shared" si="63"/>
        <v>0</v>
      </c>
      <c r="Q132" s="119">
        <f t="shared" si="63"/>
        <v>0</v>
      </c>
      <c r="R132" s="119">
        <f t="shared" si="63"/>
        <v>0</v>
      </c>
      <c r="S132" s="119">
        <f t="shared" si="63"/>
        <v>90514331.184999987</v>
      </c>
      <c r="T132" s="119">
        <f t="shared" si="63"/>
        <v>118491241.00499998</v>
      </c>
      <c r="U132" s="119">
        <f t="shared" si="63"/>
        <v>0</v>
      </c>
      <c r="V132" s="119">
        <f t="shared" si="63"/>
        <v>0</v>
      </c>
      <c r="W132" s="310">
        <f t="shared" si="63"/>
        <v>27</v>
      </c>
      <c r="X132" s="311">
        <f t="shared" si="63"/>
        <v>1194167.5054229998</v>
      </c>
      <c r="AA132" s="225">
        <f>AA92</f>
        <v>1194167.5054229998</v>
      </c>
      <c r="AB132" s="225">
        <f>AB92</f>
        <v>0</v>
      </c>
      <c r="AC132" s="225">
        <f>AC92</f>
        <v>1194167.5054229998</v>
      </c>
    </row>
    <row r="133" spans="3:29" s="36" customFormat="1" ht="15.75" thickBot="1" x14ac:dyDescent="0.3">
      <c r="C133" s="114" t="s">
        <v>155</v>
      </c>
      <c r="D133" s="115"/>
      <c r="E133" s="115"/>
      <c r="G133" s="120">
        <f t="shared" ref="G133:V133" si="64">SUM(G128:G132)</f>
        <v>326980740</v>
      </c>
      <c r="H133" s="120">
        <f t="shared" si="64"/>
        <v>4414267.5054230001</v>
      </c>
      <c r="I133" s="120">
        <f t="shared" si="64"/>
        <v>2292900</v>
      </c>
      <c r="J133" s="120">
        <f t="shared" si="64"/>
        <v>337000</v>
      </c>
      <c r="K133" s="120">
        <f t="shared" si="64"/>
        <v>2172000</v>
      </c>
      <c r="L133" s="120">
        <f t="shared" si="64"/>
        <v>367600</v>
      </c>
      <c r="M133" s="120">
        <f t="shared" si="64"/>
        <v>0</v>
      </c>
      <c r="N133" s="120">
        <f t="shared" si="64"/>
        <v>87500</v>
      </c>
      <c r="O133" s="120">
        <f t="shared" si="64"/>
        <v>21900</v>
      </c>
      <c r="P133" s="120">
        <f t="shared" si="64"/>
        <v>4307728</v>
      </c>
      <c r="Q133" s="120">
        <f t="shared" si="64"/>
        <v>7657663</v>
      </c>
      <c r="R133" s="120">
        <f t="shared" si="64"/>
        <v>17848500</v>
      </c>
      <c r="S133" s="120">
        <f t="shared" si="64"/>
        <v>392051051.185</v>
      </c>
      <c r="T133" s="120">
        <f t="shared" si="64"/>
        <v>587691806.005</v>
      </c>
      <c r="U133" s="120">
        <f t="shared" si="64"/>
        <v>1752000</v>
      </c>
      <c r="V133" s="120">
        <f t="shared" si="64"/>
        <v>0</v>
      </c>
      <c r="W133" s="314">
        <f>SUM(W128:W132)</f>
        <v>895837.64383561641</v>
      </c>
      <c r="X133" s="315">
        <f>SUM(X128:X132)</f>
        <v>9693167.5054230001</v>
      </c>
      <c r="AA133" s="228">
        <f t="shared" ref="AA133:AC133" si="65">SUM(AA128:AA132)</f>
        <v>9216167.5054230001</v>
      </c>
      <c r="AB133" s="228">
        <f t="shared" si="65"/>
        <v>477000</v>
      </c>
      <c r="AC133" s="228">
        <f t="shared" si="65"/>
        <v>9693167.5054230001</v>
      </c>
    </row>
    <row r="134" spans="3:29" x14ac:dyDescent="0.25">
      <c r="C134" s="111"/>
      <c r="D134" s="111"/>
      <c r="K134" s="116"/>
      <c r="L134" s="116"/>
      <c r="M134" s="116"/>
      <c r="N134" s="116"/>
      <c r="O134" s="116"/>
      <c r="P134" s="116"/>
      <c r="Q134" s="116"/>
      <c r="R134" s="116"/>
      <c r="S134" s="116"/>
      <c r="T134" s="116"/>
      <c r="U134" s="116"/>
      <c r="V134" s="116"/>
      <c r="W134" s="116"/>
      <c r="X134" s="116"/>
    </row>
    <row r="135" spans="3:29" x14ac:dyDescent="0.25">
      <c r="C135" s="111"/>
      <c r="D135" s="111"/>
      <c r="E135" s="229" t="s">
        <v>563</v>
      </c>
      <c r="F135" s="229"/>
      <c r="G135" s="230"/>
      <c r="H135" s="230" t="s">
        <v>157</v>
      </c>
      <c r="I135" s="230" t="s">
        <v>155</v>
      </c>
      <c r="J135" s="117">
        <f>J133-'[15]Billing Qty 2021 NEW Format'!J132</f>
        <v>0</v>
      </c>
      <c r="K135" s="117">
        <f>K133-'[15]Billing Qty 2021 NEW Format'!K132</f>
        <v>0</v>
      </c>
      <c r="L135" s="117">
        <f>L133-'[15]Billing Qty 2021 NEW Format'!L132</f>
        <v>0</v>
      </c>
      <c r="M135" s="117">
        <f>M133-'[15]Billing Qty 2021 NEW Format'!M132</f>
        <v>0</v>
      </c>
      <c r="N135" s="117">
        <f>N133-'[15]Billing Qty 2021 NEW Format'!N132</f>
        <v>0</v>
      </c>
      <c r="O135" s="117">
        <f>O133-'[15]Billing Qty 2021 NEW Format'!O132</f>
        <v>0</v>
      </c>
      <c r="P135" s="117">
        <f>P133-'[15]Billing Qty 2021 NEW Format'!P132</f>
        <v>0</v>
      </c>
      <c r="Q135" s="117">
        <f>Q133-'[15]Billing Qty 2021 NEW Format'!Q132</f>
        <v>0</v>
      </c>
      <c r="R135" s="117">
        <f>R133-'[15]Billing Qty 2021 NEW Format'!R132</f>
        <v>0</v>
      </c>
      <c r="S135" s="117">
        <f>S133-'[15]Billing Qty 2021 NEW Format'!S132</f>
        <v>0</v>
      </c>
      <c r="T135" s="117">
        <f>T133-'[15]Billing Qty 2021 NEW Format'!T132</f>
        <v>0</v>
      </c>
      <c r="U135" s="117">
        <f>U133-'[15]Billing Qty 2021 NEW Format'!U132</f>
        <v>0</v>
      </c>
      <c r="V135" s="117">
        <f>V133-'[15]Billing Qty 2021 NEW Format'!V132</f>
        <v>0</v>
      </c>
      <c r="W135" s="116"/>
    </row>
    <row r="136" spans="3:29" x14ac:dyDescent="0.25">
      <c r="C136" s="111"/>
      <c r="D136" s="111"/>
      <c r="E136" s="231"/>
      <c r="F136" s="231"/>
      <c r="G136" s="231"/>
      <c r="H136" s="231"/>
      <c r="I136" s="231"/>
      <c r="J136" s="116"/>
      <c r="K136" s="116"/>
      <c r="L136" s="116"/>
      <c r="M136" s="116"/>
      <c r="N136" s="116"/>
      <c r="O136" s="116"/>
      <c r="P136" s="116"/>
      <c r="Q136" s="116"/>
      <c r="R136" s="116"/>
      <c r="S136" s="116"/>
      <c r="T136" s="116"/>
      <c r="U136" s="116"/>
      <c r="W136" s="116"/>
    </row>
    <row r="137" spans="3:29" x14ac:dyDescent="0.25">
      <c r="E137" s="231" t="s">
        <v>45</v>
      </c>
      <c r="F137" s="231"/>
      <c r="G137" s="232"/>
      <c r="H137" s="232">
        <f>SUM(H18:K19)</f>
        <v>2657800</v>
      </c>
      <c r="I137" s="232">
        <f>SUM(G137:H137)</f>
        <v>2657800</v>
      </c>
      <c r="J137" s="116"/>
      <c r="K137" s="116"/>
      <c r="L137" s="116"/>
      <c r="M137" s="116"/>
      <c r="N137" s="116"/>
      <c r="O137" s="116"/>
      <c r="P137" s="116"/>
      <c r="Q137" s="116"/>
      <c r="R137" s="116"/>
      <c r="S137" s="116"/>
      <c r="T137" s="116"/>
      <c r="U137" s="116"/>
      <c r="W137" s="116"/>
    </row>
    <row r="138" spans="3:29" x14ac:dyDescent="0.25">
      <c r="E138" s="231" t="s">
        <v>158</v>
      </c>
      <c r="F138" s="231"/>
      <c r="G138" s="232"/>
      <c r="H138" s="232">
        <f>SUM(H22:K23)</f>
        <v>524700</v>
      </c>
      <c r="I138" s="232">
        <f t="shared" ref="I138:I156" si="66">SUM(G138:H138)</f>
        <v>524700</v>
      </c>
      <c r="J138" s="116"/>
      <c r="K138" s="116"/>
      <c r="L138" s="116"/>
      <c r="M138" s="116"/>
      <c r="N138" s="116"/>
      <c r="O138" s="116"/>
      <c r="P138" s="116"/>
      <c r="Q138" s="116"/>
      <c r="R138" s="116"/>
      <c r="S138" s="116"/>
      <c r="T138" s="116"/>
      <c r="U138" s="116"/>
      <c r="W138" s="116"/>
    </row>
    <row r="139" spans="3:29" x14ac:dyDescent="0.25">
      <c r="E139" s="231" t="s">
        <v>54</v>
      </c>
      <c r="F139" s="231"/>
      <c r="G139" s="232"/>
      <c r="H139" s="232">
        <f>SUM(H24:K25)</f>
        <v>4500</v>
      </c>
      <c r="I139" s="232">
        <f t="shared" si="66"/>
        <v>4500</v>
      </c>
      <c r="J139" s="116"/>
      <c r="K139" s="116"/>
      <c r="L139" s="116"/>
      <c r="M139" s="116"/>
      <c r="N139" s="116"/>
      <c r="O139" s="116"/>
      <c r="P139" s="116"/>
      <c r="Q139" s="116"/>
      <c r="R139" s="116"/>
      <c r="S139" s="116"/>
      <c r="T139" s="116"/>
      <c r="U139" s="116"/>
      <c r="W139" s="116"/>
    </row>
    <row r="140" spans="3:29" x14ac:dyDescent="0.25">
      <c r="E140" s="231" t="s">
        <v>159</v>
      </c>
      <c r="F140" s="231"/>
      <c r="G140" s="232"/>
      <c r="H140" s="232">
        <f>SUM(L16:L126)</f>
        <v>367600</v>
      </c>
      <c r="I140" s="232">
        <f t="shared" si="66"/>
        <v>367600</v>
      </c>
      <c r="J140" s="116"/>
      <c r="K140" s="116"/>
      <c r="L140" s="116"/>
      <c r="M140" s="116"/>
      <c r="N140" s="116"/>
      <c r="O140" s="116"/>
      <c r="P140" s="116"/>
      <c r="Q140" s="116"/>
      <c r="R140" s="116"/>
      <c r="S140" s="116"/>
      <c r="T140" s="116"/>
      <c r="U140" s="116"/>
      <c r="W140" s="116"/>
    </row>
    <row r="141" spans="3:29" x14ac:dyDescent="0.25">
      <c r="E141" s="231" t="s">
        <v>160</v>
      </c>
      <c r="F141" s="231"/>
      <c r="G141" s="232"/>
      <c r="H141" s="232">
        <f>SUM(M16:O126)</f>
        <v>109400</v>
      </c>
      <c r="I141" s="232">
        <f t="shared" si="66"/>
        <v>109400</v>
      </c>
      <c r="J141" s="116"/>
      <c r="K141" s="116"/>
      <c r="L141" s="116"/>
      <c r="M141" s="116"/>
      <c r="N141" s="116"/>
      <c r="O141" s="116"/>
      <c r="P141" s="116"/>
      <c r="Q141" s="116"/>
      <c r="R141" s="116"/>
      <c r="S141" s="116"/>
      <c r="T141" s="116"/>
      <c r="U141" s="116"/>
      <c r="W141" s="116"/>
    </row>
    <row r="142" spans="3:29" x14ac:dyDescent="0.25">
      <c r="E142" s="231" t="s">
        <v>161</v>
      </c>
      <c r="F142" s="231"/>
      <c r="G142" s="232"/>
      <c r="H142" s="232">
        <f>SUM(H28:K29)</f>
        <v>110000</v>
      </c>
      <c r="I142" s="232">
        <f t="shared" si="66"/>
        <v>110000</v>
      </c>
      <c r="J142" s="116"/>
      <c r="K142" s="116"/>
      <c r="L142" s="116"/>
      <c r="M142" s="116"/>
      <c r="N142" s="116"/>
      <c r="O142" s="116"/>
      <c r="P142" s="116"/>
      <c r="Q142" s="116"/>
      <c r="R142" s="116"/>
      <c r="S142" s="116"/>
      <c r="T142" s="116"/>
      <c r="U142" s="116"/>
      <c r="W142" s="116"/>
    </row>
    <row r="143" spans="3:29" x14ac:dyDescent="0.25">
      <c r="E143" s="231" t="s">
        <v>162</v>
      </c>
      <c r="F143" s="231"/>
      <c r="G143" s="232"/>
      <c r="H143" s="232">
        <f>SUM(H31:K35,H42:K45)</f>
        <v>666000</v>
      </c>
      <c r="I143" s="232">
        <f t="shared" si="66"/>
        <v>666000</v>
      </c>
      <c r="J143" s="116"/>
      <c r="K143" s="116"/>
      <c r="L143" s="116"/>
      <c r="M143" s="116"/>
      <c r="N143" s="116"/>
      <c r="O143" s="116"/>
      <c r="P143" s="116"/>
      <c r="Q143" s="116"/>
      <c r="R143" s="116"/>
      <c r="S143" s="116"/>
      <c r="T143" s="116"/>
      <c r="U143" s="116"/>
      <c r="W143" s="116"/>
    </row>
    <row r="144" spans="3:29" x14ac:dyDescent="0.25">
      <c r="E144" s="231" t="s">
        <v>163</v>
      </c>
      <c r="F144" s="231"/>
      <c r="G144" s="232"/>
      <c r="H144" s="232">
        <f>SUM(H37:K37)</f>
        <v>467300</v>
      </c>
      <c r="I144" s="232">
        <f t="shared" si="66"/>
        <v>467300</v>
      </c>
      <c r="J144" s="116"/>
      <c r="K144" s="116"/>
      <c r="L144" s="116"/>
      <c r="M144" s="116"/>
      <c r="N144" s="116"/>
      <c r="O144" s="116"/>
      <c r="P144" s="116"/>
      <c r="Q144" s="116"/>
      <c r="R144" s="116"/>
      <c r="S144" s="116"/>
      <c r="T144" s="116"/>
      <c r="U144" s="116"/>
      <c r="W144" s="116"/>
    </row>
    <row r="145" spans="3:23" x14ac:dyDescent="0.25">
      <c r="E145" s="231" t="s">
        <v>164</v>
      </c>
      <c r="F145" s="231"/>
      <c r="G145" s="232"/>
      <c r="H145" s="232">
        <f>SUM(H38:K38)</f>
        <v>68100</v>
      </c>
      <c r="I145" s="232">
        <f t="shared" si="66"/>
        <v>68100</v>
      </c>
      <c r="J145" s="116"/>
      <c r="K145" s="116"/>
      <c r="L145" s="116"/>
      <c r="M145" s="116"/>
      <c r="N145" s="116"/>
      <c r="O145" s="116"/>
      <c r="P145" s="116"/>
      <c r="Q145" s="116"/>
      <c r="R145" s="116"/>
      <c r="S145" s="116"/>
      <c r="T145" s="116"/>
      <c r="U145" s="116"/>
      <c r="W145" s="116"/>
    </row>
    <row r="146" spans="3:23" x14ac:dyDescent="0.25">
      <c r="E146" s="231" t="s">
        <v>165</v>
      </c>
      <c r="F146" s="231"/>
      <c r="G146" s="232"/>
      <c r="H146" s="232">
        <f>SUM(H39:K39)</f>
        <v>29200</v>
      </c>
      <c r="I146" s="232">
        <f t="shared" si="66"/>
        <v>29200</v>
      </c>
      <c r="J146" s="116"/>
      <c r="K146" s="116"/>
      <c r="L146" s="116"/>
      <c r="M146" s="116"/>
      <c r="N146" s="116"/>
      <c r="O146" s="116"/>
      <c r="P146" s="116"/>
      <c r="Q146" s="116"/>
      <c r="R146" s="116"/>
      <c r="S146" s="116"/>
      <c r="T146" s="116"/>
      <c r="U146" s="116"/>
      <c r="W146" s="116"/>
    </row>
    <row r="147" spans="3:23" x14ac:dyDescent="0.25">
      <c r="E147" s="231" t="s">
        <v>166</v>
      </c>
      <c r="F147" s="231"/>
      <c r="G147" s="232"/>
      <c r="H147" s="232">
        <f>SUM(H47:K47,H53:K64)</f>
        <v>2546100</v>
      </c>
      <c r="I147" s="232">
        <f t="shared" si="66"/>
        <v>2546100</v>
      </c>
      <c r="J147" s="116"/>
      <c r="K147" s="116"/>
      <c r="L147" s="116"/>
      <c r="M147" s="116"/>
      <c r="N147" s="116"/>
      <c r="O147" s="116"/>
      <c r="P147" s="116"/>
      <c r="Q147" s="116"/>
      <c r="R147" s="116"/>
      <c r="S147" s="116"/>
      <c r="T147" s="116"/>
      <c r="U147" s="116"/>
      <c r="W147" s="116"/>
    </row>
    <row r="148" spans="3:23" x14ac:dyDescent="0.25">
      <c r="E148" s="231" t="s">
        <v>167</v>
      </c>
      <c r="F148" s="231"/>
      <c r="G148" s="232"/>
      <c r="H148" s="232">
        <f>SUM(H48:K49)</f>
        <v>133500</v>
      </c>
      <c r="I148" s="232">
        <f t="shared" si="66"/>
        <v>133500</v>
      </c>
      <c r="J148" s="116"/>
      <c r="K148" s="116"/>
      <c r="L148" s="116"/>
      <c r="M148" s="116"/>
      <c r="N148" s="116"/>
      <c r="O148" s="116"/>
      <c r="P148" s="116"/>
      <c r="Q148" s="116"/>
      <c r="R148" s="116"/>
      <c r="S148" s="116"/>
      <c r="T148" s="116"/>
      <c r="U148" s="116"/>
      <c r="W148" s="116"/>
    </row>
    <row r="149" spans="3:23" x14ac:dyDescent="0.25">
      <c r="E149" s="231" t="s">
        <v>168</v>
      </c>
      <c r="F149" s="231"/>
      <c r="G149" s="232"/>
      <c r="H149" s="232">
        <f>SUM(H50:K51)</f>
        <v>71100</v>
      </c>
      <c r="I149" s="232">
        <f t="shared" si="66"/>
        <v>71100</v>
      </c>
      <c r="J149" s="116"/>
      <c r="K149" s="116"/>
      <c r="L149" s="116"/>
      <c r="M149" s="116"/>
      <c r="N149" s="116"/>
      <c r="O149" s="116"/>
      <c r="P149" s="116"/>
      <c r="Q149" s="116"/>
      <c r="R149" s="116"/>
      <c r="S149" s="116"/>
      <c r="T149" s="116"/>
      <c r="U149" s="116"/>
      <c r="W149" s="116"/>
    </row>
    <row r="150" spans="3:23" x14ac:dyDescent="0.25">
      <c r="E150" s="231" t="s">
        <v>169</v>
      </c>
      <c r="F150" s="231"/>
      <c r="G150" s="232"/>
      <c r="H150" s="232">
        <f>SUM(H70:K70,H74:K74,H77:K85)</f>
        <v>712800</v>
      </c>
      <c r="I150" s="232">
        <f t="shared" si="66"/>
        <v>712800</v>
      </c>
      <c r="J150" s="116"/>
      <c r="K150" s="116"/>
      <c r="L150" s="116"/>
      <c r="M150" s="116"/>
      <c r="N150" s="116"/>
      <c r="O150" s="116"/>
      <c r="P150" s="116"/>
      <c r="Q150" s="116"/>
      <c r="R150" s="116"/>
      <c r="S150" s="116"/>
      <c r="T150" s="116"/>
      <c r="U150" s="116"/>
      <c r="W150" s="116"/>
    </row>
    <row r="151" spans="3:23" x14ac:dyDescent="0.25">
      <c r="E151" s="231" t="s">
        <v>170</v>
      </c>
      <c r="F151" s="231"/>
      <c r="G151" s="232"/>
      <c r="H151" s="232">
        <f>SUM(H71:K72)</f>
        <v>18400</v>
      </c>
      <c r="I151" s="232">
        <f t="shared" si="66"/>
        <v>18400</v>
      </c>
      <c r="J151" s="116"/>
      <c r="K151" s="116"/>
      <c r="L151" s="116"/>
      <c r="M151" s="116"/>
      <c r="N151" s="116"/>
      <c r="O151" s="116"/>
      <c r="P151" s="116"/>
      <c r="Q151" s="116"/>
      <c r="R151" s="116"/>
      <c r="S151" s="116"/>
      <c r="T151" s="116"/>
      <c r="U151" s="116"/>
      <c r="W151" s="116"/>
    </row>
    <row r="152" spans="3:23" x14ac:dyDescent="0.25">
      <c r="E152" s="231" t="s">
        <v>171</v>
      </c>
      <c r="F152" s="231"/>
      <c r="G152" s="232"/>
      <c r="H152" s="232">
        <f>SUM(H73:K73,H75:K75)</f>
        <v>12500</v>
      </c>
      <c r="I152" s="232">
        <f t="shared" si="66"/>
        <v>12500</v>
      </c>
      <c r="J152" s="116"/>
      <c r="K152" s="116"/>
      <c r="L152" s="116"/>
      <c r="M152" s="116"/>
      <c r="N152" s="116"/>
      <c r="O152" s="116"/>
      <c r="P152" s="116"/>
      <c r="Q152" s="116"/>
      <c r="R152" s="116"/>
      <c r="S152" s="116"/>
      <c r="T152" s="116"/>
      <c r="U152" s="116"/>
      <c r="W152" s="116"/>
    </row>
    <row r="153" spans="3:23" x14ac:dyDescent="0.25">
      <c r="E153" s="231" t="s">
        <v>172</v>
      </c>
      <c r="F153" s="231"/>
      <c r="G153" s="232"/>
      <c r="H153" s="232">
        <f>SUM(H94:K100)</f>
        <v>105268.25945200001</v>
      </c>
      <c r="I153" s="232">
        <f t="shared" si="66"/>
        <v>105268.25945200001</v>
      </c>
      <c r="J153" s="116"/>
      <c r="K153" s="116"/>
      <c r="L153" s="116"/>
      <c r="M153" s="116"/>
      <c r="N153" s="116"/>
      <c r="O153" s="116"/>
      <c r="P153" s="116"/>
      <c r="Q153" s="116"/>
      <c r="R153" s="116"/>
      <c r="S153" s="116"/>
      <c r="T153" s="116"/>
      <c r="U153" s="116"/>
      <c r="W153" s="116"/>
    </row>
    <row r="154" spans="3:23" x14ac:dyDescent="0.25">
      <c r="E154" s="231" t="s">
        <v>173</v>
      </c>
      <c r="F154" s="231"/>
      <c r="G154" s="232"/>
      <c r="H154" s="232">
        <f>SUM(H102:K110)</f>
        <v>403819.83100400004</v>
      </c>
      <c r="I154" s="232">
        <f t="shared" si="66"/>
        <v>403819.83100400004</v>
      </c>
      <c r="J154" s="116"/>
      <c r="K154" s="116"/>
      <c r="L154" s="116"/>
      <c r="M154" s="116"/>
      <c r="N154" s="116"/>
      <c r="O154" s="116"/>
      <c r="P154" s="116"/>
      <c r="Q154" s="116"/>
      <c r="R154" s="116"/>
      <c r="S154" s="116"/>
      <c r="T154" s="116"/>
      <c r="U154" s="116"/>
      <c r="W154" s="116"/>
    </row>
    <row r="155" spans="3:23" x14ac:dyDescent="0.25">
      <c r="E155" s="231" t="s">
        <v>174</v>
      </c>
      <c r="F155" s="231"/>
      <c r="G155" s="232"/>
      <c r="H155" s="232">
        <f>SUM(H113:K116)</f>
        <v>20826.608759000002</v>
      </c>
      <c r="I155" s="232">
        <f t="shared" si="66"/>
        <v>20826.608759000002</v>
      </c>
      <c r="J155" s="116"/>
      <c r="K155" s="116"/>
      <c r="L155" s="116"/>
      <c r="M155" s="116"/>
      <c r="N155" s="116"/>
      <c r="O155" s="116"/>
      <c r="P155" s="116"/>
      <c r="Q155" s="116"/>
      <c r="R155" s="116"/>
      <c r="S155" s="116"/>
      <c r="T155" s="116"/>
      <c r="U155" s="116"/>
      <c r="W155" s="116"/>
    </row>
    <row r="156" spans="3:23" x14ac:dyDescent="0.25">
      <c r="E156" s="231" t="s">
        <v>175</v>
      </c>
      <c r="F156" s="231"/>
      <c r="G156" s="232"/>
      <c r="H156" s="232">
        <f>SUM(H118:K126)</f>
        <v>664252.80620800005</v>
      </c>
      <c r="I156" s="232">
        <f t="shared" si="66"/>
        <v>664252.80620800005</v>
      </c>
      <c r="J156" s="116"/>
      <c r="K156" s="116"/>
      <c r="L156" s="116"/>
      <c r="M156" s="116"/>
      <c r="N156" s="116"/>
      <c r="O156" s="116"/>
      <c r="P156" s="116"/>
      <c r="Q156" s="116"/>
      <c r="R156" s="116"/>
      <c r="S156" s="116"/>
      <c r="T156" s="116"/>
      <c r="U156" s="116"/>
      <c r="W156" s="116"/>
    </row>
    <row r="157" spans="3:23" ht="15.75" thickBot="1" x14ac:dyDescent="0.3">
      <c r="C157" s="111"/>
      <c r="D157" s="111"/>
      <c r="E157" s="231"/>
      <c r="F157" s="231"/>
      <c r="G157" s="232"/>
      <c r="H157" s="233">
        <f>SUM(H137:H156)</f>
        <v>9693167.5054230001</v>
      </c>
      <c r="I157" s="233">
        <f>SUM(I137:I156)</f>
        <v>9693167.5054230001</v>
      </c>
      <c r="J157" s="116"/>
      <c r="K157" s="116"/>
      <c r="L157" s="116"/>
      <c r="M157" s="116"/>
      <c r="N157" s="116"/>
      <c r="O157" s="116"/>
      <c r="P157" s="116"/>
      <c r="Q157" s="116"/>
      <c r="R157" s="116"/>
      <c r="S157" s="116"/>
      <c r="T157" s="116"/>
      <c r="U157" s="116"/>
      <c r="W157" s="116"/>
    </row>
    <row r="158" spans="3:23" x14ac:dyDescent="0.25">
      <c r="C158" s="111"/>
      <c r="D158" s="111"/>
      <c r="E158" s="229" t="s">
        <v>176</v>
      </c>
      <c r="F158" s="229"/>
      <c r="G158" s="234"/>
      <c r="H158" s="234"/>
      <c r="I158" s="235">
        <f>SUM(X133)</f>
        <v>9693167.5054230001</v>
      </c>
      <c r="J158" s="116"/>
      <c r="K158" s="116"/>
      <c r="L158" s="116"/>
      <c r="M158" s="116"/>
      <c r="N158" s="116"/>
      <c r="O158" s="116"/>
      <c r="P158" s="116"/>
      <c r="Q158" s="116"/>
      <c r="R158" s="116"/>
      <c r="S158" s="116"/>
      <c r="T158" s="116"/>
      <c r="U158" s="116"/>
      <c r="W158" s="116"/>
    </row>
    <row r="159" spans="3:23" x14ac:dyDescent="0.25">
      <c r="C159" s="111"/>
      <c r="D159" s="111"/>
      <c r="E159" s="229" t="s">
        <v>177</v>
      </c>
      <c r="F159" s="229"/>
      <c r="G159" s="235"/>
      <c r="H159" s="235"/>
      <c r="I159" s="235">
        <f>I158-I157</f>
        <v>0</v>
      </c>
      <c r="J159" s="116"/>
      <c r="K159" s="116"/>
      <c r="L159" s="116"/>
      <c r="M159" s="116"/>
      <c r="N159" s="116"/>
      <c r="O159" s="116"/>
      <c r="P159" s="116"/>
      <c r="Q159" s="116"/>
      <c r="R159" s="116"/>
      <c r="S159" s="116"/>
      <c r="T159" s="116"/>
      <c r="U159" s="116"/>
      <c r="W159" s="116"/>
    </row>
    <row r="161" spans="5:9" x14ac:dyDescent="0.25">
      <c r="E161" s="128"/>
      <c r="F161" s="128"/>
      <c r="G161" s="128"/>
      <c r="H161" s="128"/>
      <c r="I161" s="128"/>
    </row>
    <row r="162" spans="5:9" x14ac:dyDescent="0.25">
      <c r="E162" s="126" t="s">
        <v>564</v>
      </c>
      <c r="F162" s="128"/>
      <c r="G162" s="130" t="s">
        <v>446</v>
      </c>
      <c r="H162" s="130" t="s">
        <v>565</v>
      </c>
      <c r="I162" s="130" t="s">
        <v>497</v>
      </c>
    </row>
    <row r="163" spans="5:9" x14ac:dyDescent="0.25">
      <c r="E163" s="126"/>
      <c r="F163" s="128"/>
      <c r="G163" s="130" t="s">
        <v>179</v>
      </c>
      <c r="H163" s="130" t="s">
        <v>566</v>
      </c>
      <c r="I163" s="128"/>
    </row>
    <row r="164" spans="5:9" x14ac:dyDescent="0.25">
      <c r="E164" s="128" t="s">
        <v>567</v>
      </c>
      <c r="F164" s="128"/>
      <c r="G164" s="675">
        <f>[15]CHARTS!J47</f>
        <v>3187.0299143557245</v>
      </c>
      <c r="H164" s="825">
        <f>(SUM(H137:H139))/1000</f>
        <v>3187</v>
      </c>
      <c r="I164" s="826">
        <f>H164-G164</f>
        <v>-2.9914355724486086E-2</v>
      </c>
    </row>
    <row r="165" spans="5:9" x14ac:dyDescent="0.25">
      <c r="E165" s="128" t="s">
        <v>568</v>
      </c>
      <c r="F165" s="128"/>
      <c r="G165" s="675">
        <f>[15]CHARTS!J48</f>
        <v>476.99592162703982</v>
      </c>
      <c r="H165" s="825">
        <f>(SUM(H140:H141))/1000</f>
        <v>477</v>
      </c>
      <c r="I165" s="826">
        <f t="shared" ref="I165:I169" si="67">H165-G165</f>
        <v>4.0783729601798768E-3</v>
      </c>
    </row>
    <row r="166" spans="5:9" x14ac:dyDescent="0.25">
      <c r="E166" s="128" t="s">
        <v>569</v>
      </c>
      <c r="F166" s="128"/>
      <c r="G166" s="675">
        <f>[15]CHARTS!J42</f>
        <v>1340.3332530450236</v>
      </c>
      <c r="H166" s="825">
        <f>(SUM(H142:H146))/1000</f>
        <v>1340.6</v>
      </c>
      <c r="I166" s="826">
        <f t="shared" si="67"/>
        <v>0.26674695497626999</v>
      </c>
    </row>
    <row r="167" spans="5:9" x14ac:dyDescent="0.25">
      <c r="E167" s="128" t="s">
        <v>369</v>
      </c>
      <c r="F167" s="128"/>
      <c r="G167" s="675">
        <f>[15]CHARTS!J43</f>
        <v>2750.7831871144977</v>
      </c>
      <c r="H167" s="825">
        <f>(SUM(H147:H149))/1000</f>
        <v>2750.7</v>
      </c>
      <c r="I167" s="826">
        <f t="shared" si="67"/>
        <v>-8.3187114497832226E-2</v>
      </c>
    </row>
    <row r="168" spans="5:9" x14ac:dyDescent="0.25">
      <c r="E168" s="128" t="s">
        <v>370</v>
      </c>
      <c r="F168" s="128"/>
      <c r="G168" s="675">
        <f>[15]CHARTS!J44</f>
        <v>743.59826692868887</v>
      </c>
      <c r="H168" s="825">
        <f>(SUM(H150:H152))/1000</f>
        <v>743.7</v>
      </c>
      <c r="I168" s="826">
        <f t="shared" si="67"/>
        <v>0.10173307131117326</v>
      </c>
    </row>
    <row r="169" spans="5:9" x14ac:dyDescent="0.25">
      <c r="E169" s="128" t="s">
        <v>570</v>
      </c>
      <c r="F169" s="128"/>
      <c r="G169" s="675">
        <f>[15]CHARTS!J49</f>
        <v>1194.2035999020143</v>
      </c>
      <c r="H169" s="825">
        <f>(SUM(H153:H156))/1000</f>
        <v>1194.1675054230002</v>
      </c>
      <c r="I169" s="826">
        <f t="shared" si="67"/>
        <v>-3.6094479014082026E-2</v>
      </c>
    </row>
    <row r="170" spans="5:9" ht="15.75" thickBot="1" x14ac:dyDescent="0.3">
      <c r="E170" s="128"/>
      <c r="F170" s="128"/>
      <c r="G170" s="678">
        <f>SUM(G164:G169)</f>
        <v>9692.9441429729886</v>
      </c>
      <c r="H170" s="678">
        <f>SUM(H164:H169)</f>
        <v>9693.167505423</v>
      </c>
      <c r="I170" s="827">
        <f>SUM(I164:I169)</f>
        <v>0.22336245001122279</v>
      </c>
    </row>
    <row r="171" spans="5:9" x14ac:dyDescent="0.25">
      <c r="H171" s="117"/>
    </row>
    <row r="172" spans="5:9" x14ac:dyDescent="0.25">
      <c r="E172" s="3" t="s">
        <v>618</v>
      </c>
      <c r="G172" s="735">
        <f>SUM(G166:G168)</f>
        <v>4834.7147070882102</v>
      </c>
      <c r="H172" s="735">
        <f>SUM(H166:H168)</f>
        <v>4835</v>
      </c>
      <c r="I172" s="676">
        <f t="shared" ref="I172" si="68">H172-G172</f>
        <v>0.2852929117898384</v>
      </c>
    </row>
    <row r="173" spans="5:9" x14ac:dyDescent="0.25">
      <c r="H173" s="117"/>
    </row>
    <row r="174" spans="5:9" x14ac:dyDescent="0.25">
      <c r="H174" s="117"/>
    </row>
    <row r="175" spans="5:9" x14ac:dyDescent="0.25">
      <c r="H175" s="117"/>
    </row>
    <row r="176" spans="5:9" x14ac:dyDescent="0.25">
      <c r="H176" s="117"/>
    </row>
    <row r="177" spans="3:11" x14ac:dyDescent="0.25">
      <c r="H177" s="117"/>
    </row>
    <row r="178" spans="3:11" x14ac:dyDescent="0.25">
      <c r="H178" s="117"/>
    </row>
    <row r="179" spans="3:11" x14ac:dyDescent="0.25">
      <c r="H179" s="117"/>
    </row>
    <row r="180" spans="3:11" x14ac:dyDescent="0.25">
      <c r="H180" s="117"/>
    </row>
    <row r="181" spans="3:11" x14ac:dyDescent="0.25">
      <c r="H181" s="117"/>
    </row>
    <row r="182" spans="3:11" x14ac:dyDescent="0.25">
      <c r="C182" s="23"/>
      <c r="D182" s="23"/>
      <c r="H182" s="117"/>
    </row>
    <row r="183" spans="3:11" x14ac:dyDescent="0.25">
      <c r="C183" s="23"/>
      <c r="D183" s="23"/>
      <c r="E183" s="36"/>
      <c r="F183" s="36"/>
      <c r="H183" s="117"/>
    </row>
    <row r="184" spans="3:11" x14ac:dyDescent="0.25">
      <c r="C184" s="23"/>
      <c r="D184" s="23"/>
      <c r="H184" s="117"/>
      <c r="I184" s="117"/>
    </row>
    <row r="185" spans="3:11" x14ac:dyDescent="0.25">
      <c r="C185" s="23"/>
      <c r="D185" s="23"/>
      <c r="H185" s="117"/>
      <c r="I185" s="117"/>
      <c r="K185" s="117"/>
    </row>
    <row r="186" spans="3:11" x14ac:dyDescent="0.25">
      <c r="C186" s="23"/>
      <c r="D186" s="23"/>
      <c r="H186" s="117"/>
      <c r="I186" s="117"/>
      <c r="K186" s="117"/>
    </row>
    <row r="187" spans="3:11" x14ac:dyDescent="0.25">
      <c r="C187" s="23"/>
      <c r="D187" s="23"/>
      <c r="H187" s="117"/>
      <c r="I187" s="117"/>
      <c r="K187" s="117"/>
    </row>
    <row r="188" spans="3:11" x14ac:dyDescent="0.25">
      <c r="C188" s="23"/>
      <c r="D188" s="23"/>
      <c r="H188" s="117"/>
      <c r="I188" s="117"/>
      <c r="K188" s="117"/>
    </row>
    <row r="189" spans="3:11" x14ac:dyDescent="0.25">
      <c r="C189" s="23"/>
      <c r="D189" s="23"/>
      <c r="H189" s="117"/>
      <c r="I189" s="117"/>
      <c r="K189" s="117"/>
    </row>
    <row r="190" spans="3:11" x14ac:dyDescent="0.25">
      <c r="C190" s="23"/>
      <c r="D190" s="23"/>
      <c r="H190" s="117"/>
      <c r="I190" s="117"/>
      <c r="K190" s="117"/>
    </row>
    <row r="191" spans="3:11" x14ac:dyDescent="0.25">
      <c r="C191" s="23"/>
      <c r="D191" s="23"/>
      <c r="H191" s="117"/>
      <c r="I191" s="117"/>
      <c r="K191" s="117"/>
    </row>
    <row r="192" spans="3:11" x14ac:dyDescent="0.25">
      <c r="C192" s="23"/>
      <c r="D192" s="23"/>
      <c r="H192" s="117"/>
      <c r="I192" s="117"/>
      <c r="K192" s="117"/>
    </row>
    <row r="193" spans="3:11" x14ac:dyDescent="0.25">
      <c r="C193" s="23"/>
      <c r="D193" s="23"/>
      <c r="H193" s="117"/>
    </row>
    <row r="194" spans="3:11" x14ac:dyDescent="0.25">
      <c r="C194" s="23"/>
      <c r="D194" s="23"/>
      <c r="H194" s="117"/>
    </row>
    <row r="195" spans="3:11" x14ac:dyDescent="0.25">
      <c r="C195" s="23"/>
      <c r="D195" s="23"/>
      <c r="H195" s="117"/>
      <c r="I195" s="117"/>
    </row>
    <row r="196" spans="3:11" x14ac:dyDescent="0.25">
      <c r="C196" s="23"/>
      <c r="D196" s="23"/>
      <c r="H196" s="117"/>
      <c r="I196" s="117"/>
      <c r="K196" s="117"/>
    </row>
    <row r="197" spans="3:11" x14ac:dyDescent="0.25">
      <c r="C197" s="23"/>
      <c r="D197" s="23"/>
      <c r="H197" s="117"/>
      <c r="K197" s="117"/>
    </row>
    <row r="198" spans="3:11" x14ac:dyDescent="0.25">
      <c r="C198" s="23"/>
      <c r="D198" s="23"/>
      <c r="H198" s="117"/>
    </row>
    <row r="199" spans="3:11" x14ac:dyDescent="0.25">
      <c r="C199" s="23"/>
      <c r="D199" s="23"/>
      <c r="H199" s="117"/>
    </row>
    <row r="200" spans="3:11" x14ac:dyDescent="0.25">
      <c r="C200" s="23"/>
      <c r="D200" s="23"/>
      <c r="H200" s="117"/>
      <c r="I200" s="117"/>
    </row>
    <row r="201" spans="3:11" x14ac:dyDescent="0.25">
      <c r="C201" s="23"/>
      <c r="D201" s="23"/>
      <c r="H201" s="117"/>
      <c r="I201" s="117"/>
      <c r="K201" s="117"/>
    </row>
    <row r="202" spans="3:11" x14ac:dyDescent="0.25">
      <c r="C202" s="23"/>
      <c r="D202" s="23"/>
      <c r="H202" s="117"/>
      <c r="I202" s="117"/>
      <c r="K202" s="117"/>
    </row>
    <row r="203" spans="3:11" x14ac:dyDescent="0.25">
      <c r="C203" s="23"/>
      <c r="D203" s="23"/>
      <c r="H203" s="117"/>
      <c r="K203" s="117"/>
    </row>
    <row r="204" spans="3:11" x14ac:dyDescent="0.25">
      <c r="C204" s="23"/>
      <c r="D204" s="23"/>
      <c r="H204" s="117"/>
      <c r="I204" s="117"/>
    </row>
    <row r="205" spans="3:11" x14ac:dyDescent="0.25">
      <c r="C205" s="23"/>
      <c r="D205" s="23"/>
      <c r="H205" s="117"/>
      <c r="I205" s="117"/>
      <c r="K205" s="117"/>
    </row>
    <row r="206" spans="3:11" x14ac:dyDescent="0.25">
      <c r="C206" s="23"/>
      <c r="D206" s="23"/>
      <c r="H206" s="117"/>
      <c r="I206" s="117"/>
      <c r="K206" s="117"/>
    </row>
    <row r="207" spans="3:11" x14ac:dyDescent="0.25">
      <c r="C207" s="23"/>
      <c r="D207" s="23"/>
      <c r="H207" s="117"/>
      <c r="I207" s="117"/>
      <c r="K207" s="117"/>
    </row>
    <row r="208" spans="3:11" x14ac:dyDescent="0.25">
      <c r="C208" s="23"/>
      <c r="D208" s="23"/>
      <c r="H208" s="117"/>
      <c r="K208" s="117"/>
    </row>
    <row r="209" spans="3:11" x14ac:dyDescent="0.25">
      <c r="C209" s="23"/>
      <c r="D209" s="23"/>
      <c r="H209" s="117"/>
    </row>
    <row r="210" spans="3:11" x14ac:dyDescent="0.25">
      <c r="C210" s="23"/>
      <c r="D210" s="23"/>
      <c r="H210" s="117"/>
      <c r="I210" s="117"/>
    </row>
    <row r="211" spans="3:11" x14ac:dyDescent="0.25">
      <c r="C211" s="23"/>
      <c r="D211" s="23"/>
      <c r="H211" s="117"/>
      <c r="I211" s="117"/>
      <c r="K211" s="117"/>
    </row>
    <row r="212" spans="3:11" x14ac:dyDescent="0.25">
      <c r="H212" s="117"/>
      <c r="K212" s="117"/>
    </row>
    <row r="213" spans="3:11" x14ac:dyDescent="0.25">
      <c r="H213" s="117"/>
    </row>
    <row r="214" spans="3:11" x14ac:dyDescent="0.25">
      <c r="H214" s="117"/>
    </row>
    <row r="215" spans="3:11" x14ac:dyDescent="0.25">
      <c r="H215" s="117"/>
    </row>
    <row r="216" spans="3:11" x14ac:dyDescent="0.25">
      <c r="C216" s="118"/>
      <c r="D216" s="118"/>
      <c r="H216" s="117"/>
    </row>
    <row r="217" spans="3:11" x14ac:dyDescent="0.25">
      <c r="E217" s="36"/>
      <c r="F217" s="36"/>
      <c r="H217" s="117"/>
    </row>
    <row r="218" spans="3:11" x14ac:dyDescent="0.25">
      <c r="H218" s="117"/>
    </row>
    <row r="219" spans="3:11" x14ac:dyDescent="0.25">
      <c r="H219" s="117"/>
    </row>
    <row r="220" spans="3:11" x14ac:dyDescent="0.25">
      <c r="H220" s="117"/>
    </row>
    <row r="221" spans="3:11" x14ac:dyDescent="0.25">
      <c r="H221" s="117"/>
    </row>
    <row r="222" spans="3:11" x14ac:dyDescent="0.25">
      <c r="H222" s="117"/>
    </row>
    <row r="223" spans="3:11" x14ac:dyDescent="0.25">
      <c r="H223" s="117"/>
    </row>
    <row r="224" spans="3:11" x14ac:dyDescent="0.25">
      <c r="H224" s="117"/>
    </row>
    <row r="225" spans="5:8" x14ac:dyDescent="0.25">
      <c r="H225" s="117"/>
    </row>
    <row r="226" spans="5:8" x14ac:dyDescent="0.25">
      <c r="H226" s="117"/>
    </row>
    <row r="227" spans="5:8" x14ac:dyDescent="0.25">
      <c r="H227" s="117"/>
    </row>
    <row r="228" spans="5:8" x14ac:dyDescent="0.25">
      <c r="E228" s="36"/>
      <c r="F228" s="36"/>
      <c r="H228" s="117"/>
    </row>
    <row r="229" spans="5:8" x14ac:dyDescent="0.25">
      <c r="H229" s="117"/>
    </row>
    <row r="230" spans="5:8" x14ac:dyDescent="0.25">
      <c r="H230" s="117"/>
    </row>
    <row r="231" spans="5:8" x14ac:dyDescent="0.25">
      <c r="H231" s="117"/>
    </row>
    <row r="232" spans="5:8" x14ac:dyDescent="0.25">
      <c r="H232" s="117"/>
    </row>
    <row r="233" spans="5:8" x14ac:dyDescent="0.25">
      <c r="H233" s="117"/>
    </row>
    <row r="234" spans="5:8" x14ac:dyDescent="0.25">
      <c r="H234" s="117"/>
    </row>
    <row r="235" spans="5:8" x14ac:dyDescent="0.25">
      <c r="H235" s="117"/>
    </row>
    <row r="236" spans="5:8" x14ac:dyDescent="0.25">
      <c r="H236" s="117"/>
    </row>
    <row r="237" spans="5:8" x14ac:dyDescent="0.25">
      <c r="H237" s="117"/>
    </row>
    <row r="238" spans="5:8" x14ac:dyDescent="0.25">
      <c r="H238" s="117"/>
    </row>
    <row r="239" spans="5:8" x14ac:dyDescent="0.25">
      <c r="H239" s="117"/>
    </row>
    <row r="240" spans="5:8" x14ac:dyDescent="0.25">
      <c r="H240" s="117"/>
    </row>
    <row r="241" spans="8:8" x14ac:dyDescent="0.25">
      <c r="H241" s="117"/>
    </row>
    <row r="242" spans="8:8" x14ac:dyDescent="0.25">
      <c r="H242" s="117"/>
    </row>
    <row r="243" spans="8:8" x14ac:dyDescent="0.25">
      <c r="H243" s="117"/>
    </row>
    <row r="244" spans="8:8" x14ac:dyDescent="0.25">
      <c r="H244" s="117"/>
    </row>
    <row r="245" spans="8:8" x14ac:dyDescent="0.25">
      <c r="H245" s="117"/>
    </row>
    <row r="246" spans="8:8" x14ac:dyDescent="0.25">
      <c r="H246" s="117"/>
    </row>
    <row r="247" spans="8:8" x14ac:dyDescent="0.25">
      <c r="H247" s="117"/>
    </row>
    <row r="248" spans="8:8" x14ac:dyDescent="0.25">
      <c r="H248" s="117"/>
    </row>
    <row r="249" spans="8:8" x14ac:dyDescent="0.25">
      <c r="H249" s="117"/>
    </row>
    <row r="250" spans="8:8" x14ac:dyDescent="0.25">
      <c r="H250" s="117"/>
    </row>
    <row r="251" spans="8:8" x14ac:dyDescent="0.25">
      <c r="H251" s="117"/>
    </row>
    <row r="252" spans="8:8" x14ac:dyDescent="0.25">
      <c r="H252" s="117"/>
    </row>
    <row r="253" spans="8:8" x14ac:dyDescent="0.25">
      <c r="H253" s="117"/>
    </row>
    <row r="254" spans="8:8" x14ac:dyDescent="0.25">
      <c r="H254" s="117"/>
    </row>
    <row r="255" spans="8:8" x14ac:dyDescent="0.25">
      <c r="H255" s="117"/>
    </row>
    <row r="256" spans="8:8" x14ac:dyDescent="0.25">
      <c r="H256" s="117"/>
    </row>
    <row r="257" spans="8:8" x14ac:dyDescent="0.25">
      <c r="H257" s="117"/>
    </row>
    <row r="258" spans="8:8" x14ac:dyDescent="0.25">
      <c r="H258" s="117"/>
    </row>
    <row r="259" spans="8:8" x14ac:dyDescent="0.25">
      <c r="H259" s="117"/>
    </row>
    <row r="260" spans="8:8" x14ac:dyDescent="0.25">
      <c r="H260" s="117"/>
    </row>
    <row r="261" spans="8:8" x14ac:dyDescent="0.25">
      <c r="H261" s="117"/>
    </row>
    <row r="262" spans="8:8" x14ac:dyDescent="0.25">
      <c r="H262" s="117"/>
    </row>
    <row r="263" spans="8:8" x14ac:dyDescent="0.25">
      <c r="H263" s="117"/>
    </row>
    <row r="264" spans="8:8" x14ac:dyDescent="0.25">
      <c r="H264" s="117"/>
    </row>
    <row r="265" spans="8:8" x14ac:dyDescent="0.25">
      <c r="H265" s="117"/>
    </row>
    <row r="266" spans="8:8" x14ac:dyDescent="0.25">
      <c r="H266" s="117"/>
    </row>
    <row r="267" spans="8:8" x14ac:dyDescent="0.25">
      <c r="H267" s="117"/>
    </row>
    <row r="268" spans="8:8" x14ac:dyDescent="0.25">
      <c r="H268" s="117"/>
    </row>
    <row r="269" spans="8:8" x14ac:dyDescent="0.25">
      <c r="H269" s="117"/>
    </row>
    <row r="270" spans="8:8" x14ac:dyDescent="0.25">
      <c r="H270" s="117"/>
    </row>
    <row r="271" spans="8:8" x14ac:dyDescent="0.25">
      <c r="H271" s="117"/>
    </row>
    <row r="272" spans="8:8" x14ac:dyDescent="0.25">
      <c r="H272" s="117"/>
    </row>
    <row r="273" spans="8:8" x14ac:dyDescent="0.25">
      <c r="H273" s="117"/>
    </row>
    <row r="274" spans="8:8" x14ac:dyDescent="0.25">
      <c r="H274" s="117"/>
    </row>
    <row r="275" spans="8:8" x14ac:dyDescent="0.25">
      <c r="H275" s="117"/>
    </row>
    <row r="276" spans="8:8" x14ac:dyDescent="0.25">
      <c r="H276" s="117"/>
    </row>
    <row r="277" spans="8:8" x14ac:dyDescent="0.25">
      <c r="H277" s="117"/>
    </row>
    <row r="278" spans="8:8" x14ac:dyDescent="0.25">
      <c r="H278" s="117"/>
    </row>
    <row r="279" spans="8:8" x14ac:dyDescent="0.25">
      <c r="H279" s="117"/>
    </row>
    <row r="280" spans="8:8" x14ac:dyDescent="0.25">
      <c r="H280" s="117"/>
    </row>
    <row r="281" spans="8:8" x14ac:dyDescent="0.25">
      <c r="H281" s="117"/>
    </row>
    <row r="282" spans="8:8" x14ac:dyDescent="0.25">
      <c r="H282" s="117"/>
    </row>
    <row r="283" spans="8:8" x14ac:dyDescent="0.25">
      <c r="H283" s="117"/>
    </row>
    <row r="284" spans="8:8" x14ac:dyDescent="0.25">
      <c r="H284" s="117"/>
    </row>
    <row r="285" spans="8:8" x14ac:dyDescent="0.25">
      <c r="H285" s="117"/>
    </row>
    <row r="286" spans="8:8" x14ac:dyDescent="0.25">
      <c r="H286" s="117"/>
    </row>
    <row r="287" spans="8:8" x14ac:dyDescent="0.25">
      <c r="H287" s="117"/>
    </row>
    <row r="288" spans="8:8" x14ac:dyDescent="0.25">
      <c r="H288" s="117"/>
    </row>
    <row r="289" spans="8:8" x14ac:dyDescent="0.25">
      <c r="H289" s="117"/>
    </row>
    <row r="290" spans="8:8" x14ac:dyDescent="0.25">
      <c r="H290" s="117"/>
    </row>
    <row r="291" spans="8:8" x14ac:dyDescent="0.25">
      <c r="H291" s="117"/>
    </row>
    <row r="292" spans="8:8" x14ac:dyDescent="0.25">
      <c r="H292" s="117"/>
    </row>
    <row r="293" spans="8:8" x14ac:dyDescent="0.25">
      <c r="H293" s="117"/>
    </row>
    <row r="294" spans="8:8" x14ac:dyDescent="0.25">
      <c r="H294" s="117"/>
    </row>
    <row r="295" spans="8:8" x14ac:dyDescent="0.25">
      <c r="H295" s="117"/>
    </row>
    <row r="296" spans="8:8" x14ac:dyDescent="0.25">
      <c r="H296" s="117"/>
    </row>
    <row r="297" spans="8:8" x14ac:dyDescent="0.25">
      <c r="H297" s="117"/>
    </row>
    <row r="298" spans="8:8" x14ac:dyDescent="0.25">
      <c r="H298" s="117"/>
    </row>
    <row r="299" spans="8:8" x14ac:dyDescent="0.25">
      <c r="H299" s="117"/>
    </row>
    <row r="300" spans="8:8" x14ac:dyDescent="0.25">
      <c r="H300" s="117"/>
    </row>
    <row r="301" spans="8:8" x14ac:dyDescent="0.25">
      <c r="H301" s="117"/>
    </row>
    <row r="302" spans="8:8" x14ac:dyDescent="0.25">
      <c r="H302" s="117"/>
    </row>
    <row r="303" spans="8:8" x14ac:dyDescent="0.25">
      <c r="H303" s="117"/>
    </row>
    <row r="304" spans="8:8" x14ac:dyDescent="0.25">
      <c r="H304" s="117"/>
    </row>
    <row r="305" spans="8:8" x14ac:dyDescent="0.25">
      <c r="H305" s="117"/>
    </row>
    <row r="306" spans="8:8" x14ac:dyDescent="0.25">
      <c r="H306" s="117"/>
    </row>
    <row r="307" spans="8:8" x14ac:dyDescent="0.25">
      <c r="H307" s="117"/>
    </row>
    <row r="308" spans="8:8" x14ac:dyDescent="0.25">
      <c r="H308" s="117"/>
    </row>
    <row r="309" spans="8:8" x14ac:dyDescent="0.25">
      <c r="H309" s="117"/>
    </row>
    <row r="310" spans="8:8" x14ac:dyDescent="0.25">
      <c r="H310" s="117"/>
    </row>
    <row r="311" spans="8:8" x14ac:dyDescent="0.25">
      <c r="H311" s="117"/>
    </row>
    <row r="312" spans="8:8" x14ac:dyDescent="0.25">
      <c r="H312" s="117"/>
    </row>
    <row r="313" spans="8:8" x14ac:dyDescent="0.25">
      <c r="H313" s="117"/>
    </row>
    <row r="314" spans="8:8" x14ac:dyDescent="0.25">
      <c r="H314" s="117"/>
    </row>
    <row r="315" spans="8:8" x14ac:dyDescent="0.25">
      <c r="H315" s="117"/>
    </row>
    <row r="316" spans="8:8" x14ac:dyDescent="0.25">
      <c r="H316" s="117"/>
    </row>
    <row r="317" spans="8:8" x14ac:dyDescent="0.25">
      <c r="H317" s="117"/>
    </row>
    <row r="318" spans="8:8" x14ac:dyDescent="0.25">
      <c r="H318" s="117"/>
    </row>
    <row r="319" spans="8:8" x14ac:dyDescent="0.25">
      <c r="H319" s="117"/>
    </row>
    <row r="320" spans="8:8" x14ac:dyDescent="0.25">
      <c r="H320" s="117"/>
    </row>
    <row r="321" spans="8:8" x14ac:dyDescent="0.25">
      <c r="H321" s="117"/>
    </row>
    <row r="322" spans="8:8" x14ac:dyDescent="0.25">
      <c r="H322" s="117"/>
    </row>
    <row r="323" spans="8:8" x14ac:dyDescent="0.25">
      <c r="H323" s="117"/>
    </row>
    <row r="324" spans="8:8" x14ac:dyDescent="0.25">
      <c r="H324" s="117"/>
    </row>
    <row r="325" spans="8:8" x14ac:dyDescent="0.25">
      <c r="H325" s="117"/>
    </row>
    <row r="326" spans="8:8" x14ac:dyDescent="0.25">
      <c r="H326" s="117"/>
    </row>
    <row r="327" spans="8:8" x14ac:dyDescent="0.25">
      <c r="H327" s="117"/>
    </row>
    <row r="328" spans="8:8" x14ac:dyDescent="0.25">
      <c r="H328" s="117"/>
    </row>
    <row r="329" spans="8:8" x14ac:dyDescent="0.25">
      <c r="H329" s="117"/>
    </row>
    <row r="330" spans="8:8" x14ac:dyDescent="0.25">
      <c r="H330" s="117"/>
    </row>
    <row r="331" spans="8:8" x14ac:dyDescent="0.25">
      <c r="H331" s="117"/>
    </row>
    <row r="332" spans="8:8" x14ac:dyDescent="0.25">
      <c r="H332" s="117"/>
    </row>
    <row r="333" spans="8:8" x14ac:dyDescent="0.25">
      <c r="H333" s="117"/>
    </row>
    <row r="334" spans="8:8" x14ac:dyDescent="0.25">
      <c r="H334" s="117"/>
    </row>
    <row r="335" spans="8:8" x14ac:dyDescent="0.25">
      <c r="H335" s="117"/>
    </row>
    <row r="336" spans="8:8" x14ac:dyDescent="0.25">
      <c r="H336" s="117"/>
    </row>
    <row r="337" spans="8:8" x14ac:dyDescent="0.25">
      <c r="H337" s="117"/>
    </row>
    <row r="338" spans="8:8" x14ac:dyDescent="0.25">
      <c r="H338" s="117"/>
    </row>
    <row r="339" spans="8:8" x14ac:dyDescent="0.25">
      <c r="H339" s="117"/>
    </row>
    <row r="340" spans="8:8" x14ac:dyDescent="0.25">
      <c r="H340" s="117"/>
    </row>
    <row r="341" spans="8:8" x14ac:dyDescent="0.25">
      <c r="H341" s="117"/>
    </row>
    <row r="342" spans="8:8" x14ac:dyDescent="0.25">
      <c r="H342" s="117"/>
    </row>
    <row r="343" spans="8:8" x14ac:dyDescent="0.25">
      <c r="H343" s="117"/>
    </row>
    <row r="344" spans="8:8" x14ac:dyDescent="0.25">
      <c r="H344" s="117"/>
    </row>
    <row r="345" spans="8:8" x14ac:dyDescent="0.25">
      <c r="H345" s="117"/>
    </row>
    <row r="346" spans="8:8" x14ac:dyDescent="0.25">
      <c r="H346" s="117"/>
    </row>
    <row r="347" spans="8:8" x14ac:dyDescent="0.25">
      <c r="H347" s="117"/>
    </row>
    <row r="348" spans="8:8" x14ac:dyDescent="0.25">
      <c r="H348" s="117"/>
    </row>
    <row r="349" spans="8:8" x14ac:dyDescent="0.25">
      <c r="H349" s="117"/>
    </row>
    <row r="350" spans="8:8" x14ac:dyDescent="0.25">
      <c r="H350" s="117"/>
    </row>
    <row r="351" spans="8:8" x14ac:dyDescent="0.25">
      <c r="H351" s="117"/>
    </row>
    <row r="352" spans="8:8" x14ac:dyDescent="0.25">
      <c r="H352" s="117"/>
    </row>
    <row r="353" spans="8:8" x14ac:dyDescent="0.25">
      <c r="H353" s="117"/>
    </row>
    <row r="354" spans="8:8" x14ac:dyDescent="0.25">
      <c r="H354" s="117"/>
    </row>
    <row r="355" spans="8:8" x14ac:dyDescent="0.25">
      <c r="H355" s="117"/>
    </row>
    <row r="356" spans="8:8" x14ac:dyDescent="0.25">
      <c r="H356" s="117"/>
    </row>
    <row r="357" spans="8:8" x14ac:dyDescent="0.25">
      <c r="H357" s="117"/>
    </row>
    <row r="358" spans="8:8" x14ac:dyDescent="0.25">
      <c r="H358" s="117"/>
    </row>
    <row r="359" spans="8:8" x14ac:dyDescent="0.25">
      <c r="H359" s="117"/>
    </row>
    <row r="360" spans="8:8" x14ac:dyDescent="0.25">
      <c r="H360" s="117"/>
    </row>
    <row r="361" spans="8:8" x14ac:dyDescent="0.25">
      <c r="H361" s="117"/>
    </row>
    <row r="362" spans="8:8" x14ac:dyDescent="0.25">
      <c r="H362" s="117"/>
    </row>
    <row r="363" spans="8:8" x14ac:dyDescent="0.25">
      <c r="H363" s="117"/>
    </row>
    <row r="364" spans="8:8" x14ac:dyDescent="0.25">
      <c r="H364" s="117"/>
    </row>
    <row r="365" spans="8:8" x14ac:dyDescent="0.25">
      <c r="H365" s="117"/>
    </row>
    <row r="366" spans="8:8" x14ac:dyDescent="0.25">
      <c r="H366" s="117"/>
    </row>
    <row r="367" spans="8:8" x14ac:dyDescent="0.25">
      <c r="H367" s="117"/>
    </row>
    <row r="368" spans="8:8" x14ac:dyDescent="0.25">
      <c r="H368" s="117"/>
    </row>
    <row r="369" spans="8:8" x14ac:dyDescent="0.25">
      <c r="H369" s="117"/>
    </row>
    <row r="370" spans="8:8" x14ac:dyDescent="0.25">
      <c r="H370" s="117"/>
    </row>
    <row r="371" spans="8:8" x14ac:dyDescent="0.25">
      <c r="H371" s="117"/>
    </row>
    <row r="372" spans="8:8" x14ac:dyDescent="0.25">
      <c r="H372" s="117"/>
    </row>
    <row r="373" spans="8:8" x14ac:dyDescent="0.25">
      <c r="H373" s="117"/>
    </row>
    <row r="374" spans="8:8" x14ac:dyDescent="0.25">
      <c r="H374" s="117"/>
    </row>
    <row r="375" spans="8:8" x14ac:dyDescent="0.25">
      <c r="H375" s="117"/>
    </row>
    <row r="376" spans="8:8" x14ac:dyDescent="0.25">
      <c r="H376" s="117"/>
    </row>
    <row r="377" spans="8:8" x14ac:dyDescent="0.25">
      <c r="H377" s="117"/>
    </row>
    <row r="378" spans="8:8" x14ac:dyDescent="0.25">
      <c r="H378" s="117"/>
    </row>
    <row r="379" spans="8:8" x14ac:dyDescent="0.25">
      <c r="H379" s="117"/>
    </row>
    <row r="380" spans="8:8" x14ac:dyDescent="0.25">
      <c r="H380" s="117"/>
    </row>
    <row r="381" spans="8:8" x14ac:dyDescent="0.25">
      <c r="H381" s="117"/>
    </row>
    <row r="382" spans="8:8" x14ac:dyDescent="0.25">
      <c r="H382" s="117"/>
    </row>
    <row r="383" spans="8:8" x14ac:dyDescent="0.25">
      <c r="H383" s="117"/>
    </row>
    <row r="384" spans="8:8" x14ac:dyDescent="0.25">
      <c r="H384" s="117"/>
    </row>
    <row r="385" spans="8:8" x14ac:dyDescent="0.25">
      <c r="H385" s="117"/>
    </row>
    <row r="386" spans="8:8" x14ac:dyDescent="0.25">
      <c r="H386" s="117"/>
    </row>
    <row r="387" spans="8:8" x14ac:dyDescent="0.25">
      <c r="H387" s="117"/>
    </row>
    <row r="388" spans="8:8" x14ac:dyDescent="0.25">
      <c r="H388" s="117"/>
    </row>
    <row r="389" spans="8:8" x14ac:dyDescent="0.25">
      <c r="H389" s="117"/>
    </row>
    <row r="390" spans="8:8" x14ac:dyDescent="0.25">
      <c r="H390" s="117"/>
    </row>
    <row r="391" spans="8:8" x14ac:dyDescent="0.25">
      <c r="H391" s="117"/>
    </row>
    <row r="392" spans="8:8" x14ac:dyDescent="0.25">
      <c r="H392" s="117"/>
    </row>
    <row r="393" spans="8:8" x14ac:dyDescent="0.25">
      <c r="H393" s="117"/>
    </row>
    <row r="394" spans="8:8" x14ac:dyDescent="0.25">
      <c r="H394" s="117"/>
    </row>
    <row r="395" spans="8:8" x14ac:dyDescent="0.25">
      <c r="H395" s="117"/>
    </row>
    <row r="396" spans="8:8" x14ac:dyDescent="0.25">
      <c r="H396" s="117"/>
    </row>
    <row r="397" spans="8:8" x14ac:dyDescent="0.25">
      <c r="H397" s="117"/>
    </row>
    <row r="398" spans="8:8" x14ac:dyDescent="0.25">
      <c r="H398" s="117"/>
    </row>
    <row r="399" spans="8:8" x14ac:dyDescent="0.25">
      <c r="H399" s="117"/>
    </row>
    <row r="400" spans="8:8" x14ac:dyDescent="0.25">
      <c r="H400" s="117"/>
    </row>
    <row r="401" spans="8:8" x14ac:dyDescent="0.25">
      <c r="H401" s="117"/>
    </row>
    <row r="402" spans="8:8" x14ac:dyDescent="0.25">
      <c r="H402" s="117"/>
    </row>
    <row r="403" spans="8:8" x14ac:dyDescent="0.25">
      <c r="H403" s="117"/>
    </row>
    <row r="404" spans="8:8" x14ac:dyDescent="0.25">
      <c r="H404" s="117"/>
    </row>
    <row r="405" spans="8:8" x14ac:dyDescent="0.25">
      <c r="H405" s="117"/>
    </row>
    <row r="406" spans="8:8" x14ac:dyDescent="0.25">
      <c r="H406" s="117"/>
    </row>
    <row r="407" spans="8:8" x14ac:dyDescent="0.25">
      <c r="H407" s="117"/>
    </row>
    <row r="408" spans="8:8" x14ac:dyDescent="0.25">
      <c r="H408" s="117"/>
    </row>
    <row r="409" spans="8:8" x14ac:dyDescent="0.25">
      <c r="H409" s="117"/>
    </row>
    <row r="410" spans="8:8" x14ac:dyDescent="0.25">
      <c r="H410" s="117"/>
    </row>
    <row r="411" spans="8:8" x14ac:dyDescent="0.25">
      <c r="H411" s="117"/>
    </row>
    <row r="412" spans="8:8" x14ac:dyDescent="0.25">
      <c r="H412" s="117"/>
    </row>
    <row r="413" spans="8:8" x14ac:dyDescent="0.25">
      <c r="H413" s="117"/>
    </row>
    <row r="414" spans="8:8" x14ac:dyDescent="0.25">
      <c r="H414" s="117"/>
    </row>
    <row r="415" spans="8:8" x14ac:dyDescent="0.25">
      <c r="H415" s="117"/>
    </row>
    <row r="416" spans="8:8" x14ac:dyDescent="0.25">
      <c r="H416" s="117"/>
    </row>
    <row r="417" spans="8:8" x14ac:dyDescent="0.25">
      <c r="H417" s="117"/>
    </row>
    <row r="418" spans="8:8" x14ac:dyDescent="0.25">
      <c r="H418" s="117"/>
    </row>
    <row r="419" spans="8:8" x14ac:dyDescent="0.25">
      <c r="H419" s="117"/>
    </row>
    <row r="420" spans="8:8" x14ac:dyDescent="0.25">
      <c r="H420" s="117"/>
    </row>
    <row r="421" spans="8:8" x14ac:dyDescent="0.25">
      <c r="H421" s="117"/>
    </row>
    <row r="422" spans="8:8" x14ac:dyDescent="0.25">
      <c r="H422" s="117"/>
    </row>
    <row r="423" spans="8:8" x14ac:dyDescent="0.25">
      <c r="H423" s="117"/>
    </row>
    <row r="424" spans="8:8" x14ac:dyDescent="0.25">
      <c r="H424" s="117"/>
    </row>
    <row r="425" spans="8:8" x14ac:dyDescent="0.25">
      <c r="H425" s="117"/>
    </row>
    <row r="426" spans="8:8" x14ac:dyDescent="0.25">
      <c r="H426" s="117"/>
    </row>
    <row r="427" spans="8:8" x14ac:dyDescent="0.25">
      <c r="H427" s="117"/>
    </row>
    <row r="428" spans="8:8" x14ac:dyDescent="0.25">
      <c r="H428" s="117"/>
    </row>
    <row r="429" spans="8:8" x14ac:dyDescent="0.25">
      <c r="H429" s="117"/>
    </row>
    <row r="430" spans="8:8" x14ac:dyDescent="0.25">
      <c r="H430" s="117"/>
    </row>
    <row r="431" spans="8:8" x14ac:dyDescent="0.25">
      <c r="H431" s="117"/>
    </row>
    <row r="432" spans="8:8" x14ac:dyDescent="0.25">
      <c r="H432" s="117"/>
    </row>
    <row r="433" spans="8:8" x14ac:dyDescent="0.25">
      <c r="H433" s="117"/>
    </row>
    <row r="434" spans="8:8" x14ac:dyDescent="0.25">
      <c r="H434" s="117"/>
    </row>
    <row r="435" spans="8:8" x14ac:dyDescent="0.25">
      <c r="H435" s="117"/>
    </row>
    <row r="436" spans="8:8" x14ac:dyDescent="0.25">
      <c r="H436" s="117"/>
    </row>
    <row r="437" spans="8:8" x14ac:dyDescent="0.25">
      <c r="H437" s="117"/>
    </row>
    <row r="438" spans="8:8" x14ac:dyDescent="0.25">
      <c r="H438" s="117"/>
    </row>
    <row r="439" spans="8:8" x14ac:dyDescent="0.25">
      <c r="H439" s="117"/>
    </row>
    <row r="440" spans="8:8" x14ac:dyDescent="0.25">
      <c r="H440" s="117"/>
    </row>
    <row r="441" spans="8:8" x14ac:dyDescent="0.25">
      <c r="H441" s="117"/>
    </row>
    <row r="442" spans="8:8" x14ac:dyDescent="0.25">
      <c r="H442" s="117"/>
    </row>
    <row r="443" spans="8:8" x14ac:dyDescent="0.25">
      <c r="H443" s="117"/>
    </row>
    <row r="444" spans="8:8" x14ac:dyDescent="0.25">
      <c r="H444" s="117"/>
    </row>
    <row r="445" spans="8:8" x14ac:dyDescent="0.25">
      <c r="H445" s="117"/>
    </row>
    <row r="446" spans="8:8" x14ac:dyDescent="0.25">
      <c r="H446" s="117"/>
    </row>
  </sheetData>
  <mergeCells count="7">
    <mergeCell ref="G9:V9"/>
    <mergeCell ref="W9:X9"/>
    <mergeCell ref="AA12:AC12"/>
    <mergeCell ref="W11:X11"/>
    <mergeCell ref="P12:R12"/>
    <mergeCell ref="S12:T12"/>
    <mergeCell ref="U12:V12"/>
  </mergeCells>
  <printOptions horizontalCentered="1"/>
  <pageMargins left="0.25" right="0.25" top="0.75" bottom="0.75" header="0.3" footer="0.3"/>
  <pageSetup paperSize="8" scale="52" fitToHeight="0" orientation="landscape" r:id="rId1"/>
  <headerFooter alignWithMargins="0">
    <oddFooter>&amp;L&amp;D&amp;T&amp;C&amp;F&amp;R&amp;A&amp;P</oddFooter>
  </headerFooter>
  <rowBreaks count="1" manualBreakCount="1">
    <brk id="91" min="1" max="23" man="1"/>
  </rowBreaks>
  <customProperties>
    <customPr name="_pios_id" r:id="rId2"/>
  </customProperties>
  <ignoredErrors>
    <ignoredError sqref="G112:V113 G22:V47 U109:V110 G86:V94 G65:V70 G51:H51 G76:H76 G75:H75 G77:G85 G18:V20 G52:H52 H56:H57 H54:H55 H53 H59:H64 G53:G64 U56:V57 U54:V55 U59:V64 L59:R63 L53:R53 L54:R55 L56:R57 J59:J64 J53 J54:J55 J56:J57 I52:T52 L51:R51 I53 I51:K51 I58:T58 I56:I57 K56:K57 I54:I55 K54:K55 K53 I59:I64 K59:K64 S56:T57 S54:T55 S53:T53 S59:T64 L64:P64 Q64:R64 L75:O75 I76:T76 I75:K75 I77:T85 G106:T111 G95:V105 G114:V126 G71:T73 G48:T50 G74:O74 T74 Q75:R75 Q74:R74" unlockedFormula="1"/>
  </ignoredError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1045-CAD8-432F-B170-56069400A6D0}">
  <sheetPr>
    <pageSetUpPr fitToPage="1"/>
  </sheetPr>
  <dimension ref="A1:U397"/>
  <sheetViews>
    <sheetView showGridLines="0" zoomScale="90" zoomScaleNormal="90" workbookViewId="0">
      <pane ySplit="4" topLeftCell="A5" activePane="bottomLeft" state="frozenSplit"/>
      <selection activeCell="K28" sqref="K28"/>
      <selection pane="bottomLeft" activeCell="R166" sqref="R166"/>
    </sheetView>
  </sheetViews>
  <sheetFormatPr defaultRowHeight="15" outlineLevelRow="1" x14ac:dyDescent="0.25"/>
  <cols>
    <col min="1" max="1" width="11" style="128" customWidth="1"/>
    <col min="2" max="2" width="2.42578125" style="128" customWidth="1"/>
    <col min="3" max="3" width="23.7109375" style="128" bestFit="1" customWidth="1"/>
    <col min="4" max="4" width="3" style="128" customWidth="1"/>
    <col min="5" max="5" width="9.140625" style="128"/>
    <col min="6" max="9" width="10.28515625" style="128" customWidth="1"/>
    <col min="10" max="13" width="10.28515625" style="422" customWidth="1"/>
    <col min="14" max="14" width="12.140625" style="422" bestFit="1" customWidth="1"/>
    <col min="15" max="15" width="13.28515625" style="422" bestFit="1" customWidth="1"/>
    <col min="16" max="16" width="7.85546875" style="422" bestFit="1" customWidth="1"/>
    <col min="17" max="17" width="12.140625" style="422" customWidth="1"/>
    <col min="18" max="21" width="12.85546875" style="422" customWidth="1"/>
    <col min="22" max="16384" width="9.140625" style="128"/>
  </cols>
  <sheetData>
    <row r="1" spans="1:21" s="125" customFormat="1" ht="21" x14ac:dyDescent="0.35">
      <c r="A1" s="131" t="s">
        <v>562</v>
      </c>
      <c r="J1" s="765"/>
      <c r="K1" s="765"/>
      <c r="L1" s="765"/>
      <c r="M1" s="765"/>
      <c r="N1" s="765"/>
      <c r="O1" s="765"/>
      <c r="P1" s="765"/>
      <c r="Q1" s="765"/>
      <c r="R1" s="765"/>
      <c r="S1" s="765"/>
      <c r="T1" s="765"/>
      <c r="U1" s="765"/>
    </row>
    <row r="2" spans="1:21" ht="15.75" thickBot="1" x14ac:dyDescent="0.3"/>
    <row r="3" spans="1:21" x14ac:dyDescent="0.25">
      <c r="F3" s="873" t="s">
        <v>385</v>
      </c>
      <c r="G3" s="874"/>
      <c r="H3" s="874"/>
      <c r="I3" s="875"/>
      <c r="J3" s="876" t="s">
        <v>392</v>
      </c>
      <c r="K3" s="877"/>
      <c r="L3" s="877"/>
      <c r="M3" s="878"/>
      <c r="N3" s="876" t="s">
        <v>388</v>
      </c>
      <c r="O3" s="877"/>
      <c r="P3" s="877"/>
      <c r="Q3" s="878"/>
      <c r="R3" s="876" t="s">
        <v>386</v>
      </c>
      <c r="S3" s="877"/>
      <c r="T3" s="877"/>
      <c r="U3" s="878"/>
    </row>
    <row r="4" spans="1:21" ht="15.75" thickBot="1" x14ac:dyDescent="0.3">
      <c r="F4" s="564" t="s">
        <v>286</v>
      </c>
      <c r="G4" s="565" t="s">
        <v>287</v>
      </c>
      <c r="H4" s="565" t="s">
        <v>288</v>
      </c>
      <c r="I4" s="566" t="s">
        <v>289</v>
      </c>
      <c r="J4" s="766" t="s">
        <v>286</v>
      </c>
      <c r="K4" s="767" t="s">
        <v>287</v>
      </c>
      <c r="L4" s="767" t="s">
        <v>288</v>
      </c>
      <c r="M4" s="768" t="s">
        <v>289</v>
      </c>
      <c r="N4" s="766" t="s">
        <v>286</v>
      </c>
      <c r="O4" s="767" t="s">
        <v>287</v>
      </c>
      <c r="P4" s="767" t="s">
        <v>288</v>
      </c>
      <c r="Q4" s="768" t="s">
        <v>289</v>
      </c>
      <c r="R4" s="766" t="s">
        <v>286</v>
      </c>
      <c r="S4" s="767" t="s">
        <v>287</v>
      </c>
      <c r="T4" s="767" t="s">
        <v>288</v>
      </c>
      <c r="U4" s="768" t="s">
        <v>289</v>
      </c>
    </row>
    <row r="5" spans="1:21" ht="16.5" thickBot="1" x14ac:dyDescent="0.3">
      <c r="A5" s="451" t="s">
        <v>389</v>
      </c>
    </row>
    <row r="6" spans="1:21" outlineLevel="1" x14ac:dyDescent="0.25">
      <c r="F6" s="873" t="s">
        <v>385</v>
      </c>
      <c r="G6" s="874"/>
      <c r="H6" s="874"/>
      <c r="I6" s="875"/>
      <c r="J6" s="876" t="s">
        <v>387</v>
      </c>
      <c r="K6" s="877"/>
      <c r="L6" s="877"/>
      <c r="M6" s="878"/>
      <c r="N6" s="876" t="s">
        <v>388</v>
      </c>
      <c r="O6" s="877"/>
      <c r="P6" s="877"/>
      <c r="Q6" s="878"/>
      <c r="R6" s="876" t="s">
        <v>386</v>
      </c>
      <c r="S6" s="877"/>
      <c r="T6" s="877"/>
      <c r="U6" s="878"/>
    </row>
    <row r="7" spans="1:21" ht="15.75" outlineLevel="1" thickBot="1" x14ac:dyDescent="0.3">
      <c r="C7" s="128">
        <v>365</v>
      </c>
      <c r="F7" s="564" t="s">
        <v>286</v>
      </c>
      <c r="G7" s="565" t="s">
        <v>287</v>
      </c>
      <c r="H7" s="565" t="s">
        <v>288</v>
      </c>
      <c r="I7" s="566" t="s">
        <v>289</v>
      </c>
      <c r="J7" s="766" t="s">
        <v>286</v>
      </c>
      <c r="K7" s="767" t="s">
        <v>287</v>
      </c>
      <c r="L7" s="767" t="s">
        <v>288</v>
      </c>
      <c r="M7" s="768" t="s">
        <v>289</v>
      </c>
      <c r="N7" s="766" t="s">
        <v>286</v>
      </c>
      <c r="O7" s="767" t="s">
        <v>287</v>
      </c>
      <c r="P7" s="767" t="s">
        <v>288</v>
      </c>
      <c r="Q7" s="768" t="s">
        <v>289</v>
      </c>
      <c r="R7" s="766" t="s">
        <v>286</v>
      </c>
      <c r="S7" s="767" t="s">
        <v>287</v>
      </c>
      <c r="T7" s="767" t="s">
        <v>288</v>
      </c>
      <c r="U7" s="768" t="s">
        <v>289</v>
      </c>
    </row>
    <row r="8" spans="1:21" outlineLevel="1" x14ac:dyDescent="0.25">
      <c r="A8" s="575" t="s">
        <v>585</v>
      </c>
      <c r="F8" s="567"/>
      <c r="G8" s="567"/>
      <c r="H8" s="567"/>
      <c r="I8" s="567"/>
      <c r="J8" s="764"/>
      <c r="K8" s="764"/>
      <c r="L8" s="764"/>
      <c r="M8" s="764"/>
      <c r="N8" s="764"/>
      <c r="O8" s="764"/>
      <c r="P8" s="764"/>
      <c r="Q8" s="764"/>
      <c r="R8" s="764"/>
      <c r="S8" s="764"/>
      <c r="T8" s="764"/>
      <c r="U8" s="764"/>
    </row>
    <row r="9" spans="1:21" outlineLevel="1" x14ac:dyDescent="0.25">
      <c r="B9" s="558"/>
      <c r="C9" s="559"/>
      <c r="D9" s="559"/>
      <c r="E9" s="559" t="s">
        <v>319</v>
      </c>
      <c r="F9" s="568"/>
      <c r="G9" s="569"/>
      <c r="H9" s="569"/>
      <c r="I9" s="570"/>
      <c r="J9" s="568"/>
      <c r="K9" s="569"/>
      <c r="L9" s="569"/>
      <c r="M9" s="570"/>
      <c r="N9" s="568"/>
      <c r="O9" s="569"/>
      <c r="P9" s="569"/>
      <c r="Q9" s="570"/>
      <c r="R9" s="568"/>
      <c r="S9" s="569"/>
      <c r="T9" s="569"/>
      <c r="U9" s="570"/>
    </row>
    <row r="10" spans="1:21" outlineLevel="1" x14ac:dyDescent="0.25">
      <c r="B10" s="560"/>
      <c r="C10" s="561" t="s">
        <v>382</v>
      </c>
      <c r="D10" s="561"/>
      <c r="E10" s="561" t="s">
        <v>291</v>
      </c>
      <c r="F10" s="753">
        <f>('DUoS (t)'!$G$47)*1</f>
        <v>6.8493000000000004</v>
      </c>
      <c r="G10" s="754">
        <f>('TUoS (t)'!$G$47)*1</f>
        <v>0</v>
      </c>
      <c r="H10" s="754">
        <f>('JSO (t)'!$G$47)*1</f>
        <v>0</v>
      </c>
      <c r="I10" s="755">
        <f>SUM(F10:H10)</f>
        <v>6.8493000000000004</v>
      </c>
      <c r="J10" s="752"/>
      <c r="K10" s="751"/>
      <c r="L10" s="751"/>
      <c r="M10" s="682">
        <f>SUM(J10:L10)</f>
        <v>0</v>
      </c>
      <c r="N10" s="752">
        <f>5*F10</f>
        <v>34.246500000000005</v>
      </c>
      <c r="O10" s="751"/>
      <c r="P10" s="751"/>
      <c r="Q10" s="682">
        <f>SUM(N10:P10)</f>
        <v>34.246500000000005</v>
      </c>
      <c r="R10" s="681">
        <f t="shared" ref="R10:T14" si="0">SUM(F10,J10,N10)</f>
        <v>41.095800000000004</v>
      </c>
      <c r="S10" s="571">
        <f t="shared" si="0"/>
        <v>0</v>
      </c>
      <c r="T10" s="571">
        <f t="shared" si="0"/>
        <v>0</v>
      </c>
      <c r="U10" s="682">
        <f>SUM(R10:T10)</f>
        <v>41.095800000000004</v>
      </c>
    </row>
    <row r="11" spans="1:21" outlineLevel="1" x14ac:dyDescent="0.25">
      <c r="B11" s="560"/>
      <c r="C11" s="561" t="s">
        <v>383</v>
      </c>
      <c r="D11" s="561">
        <v>4</v>
      </c>
      <c r="E11" s="561" t="s">
        <v>298</v>
      </c>
      <c r="F11" s="753">
        <f>'DUoS (t)'!$S$47</f>
        <v>0.14499999999999999</v>
      </c>
      <c r="G11" s="754">
        <f>'TUoS (t)'!$S$47</f>
        <v>0.10829999999999999</v>
      </c>
      <c r="H11" s="754">
        <f>'JSO (t)'!$S$47</f>
        <v>0</v>
      </c>
      <c r="I11" s="755">
        <f>SUM(F11:H11)</f>
        <v>0.25329999999999997</v>
      </c>
      <c r="J11" s="752"/>
      <c r="K11" s="751"/>
      <c r="L11" s="751"/>
      <c r="M11" s="682">
        <f>SUM(J11:L11)</f>
        <v>0</v>
      </c>
      <c r="N11" s="752"/>
      <c r="O11" s="751"/>
      <c r="P11" s="751"/>
      <c r="Q11" s="682">
        <f>SUM(N11:P11)</f>
        <v>0</v>
      </c>
      <c r="R11" s="681">
        <f t="shared" si="0"/>
        <v>0.14499999999999999</v>
      </c>
      <c r="S11" s="571">
        <f t="shared" si="0"/>
        <v>0.10829999999999999</v>
      </c>
      <c r="T11" s="571">
        <f t="shared" si="0"/>
        <v>0</v>
      </c>
      <c r="U11" s="682">
        <f>SUM(R11:T11)</f>
        <v>0.25329999999999997</v>
      </c>
    </row>
    <row r="12" spans="1:21" outlineLevel="1" x14ac:dyDescent="0.25">
      <c r="B12" s="560"/>
      <c r="C12" s="561" t="s">
        <v>384</v>
      </c>
      <c r="D12" s="561">
        <v>4</v>
      </c>
      <c r="E12" s="561" t="s">
        <v>298</v>
      </c>
      <c r="F12" s="753">
        <f>'DUoS (t)'!$T$47</f>
        <v>0.1036</v>
      </c>
      <c r="G12" s="754">
        <f>'TUoS (t)'!$T$47</f>
        <v>0</v>
      </c>
      <c r="H12" s="754">
        <f>'JSO (t)'!$T$47</f>
        <v>0</v>
      </c>
      <c r="I12" s="755">
        <f>SUM(F12:H12)</f>
        <v>0.1036</v>
      </c>
      <c r="J12" s="752"/>
      <c r="K12" s="751"/>
      <c r="L12" s="751"/>
      <c r="M12" s="682">
        <f>SUM(J12:L12)</f>
        <v>0</v>
      </c>
      <c r="N12" s="752"/>
      <c r="O12" s="751"/>
      <c r="P12" s="751"/>
      <c r="Q12" s="682">
        <f>SUM(N12:P12)</f>
        <v>0</v>
      </c>
      <c r="R12" s="681">
        <f t="shared" si="0"/>
        <v>0.1036</v>
      </c>
      <c r="S12" s="571">
        <f t="shared" si="0"/>
        <v>0</v>
      </c>
      <c r="T12" s="571">
        <f t="shared" si="0"/>
        <v>0</v>
      </c>
      <c r="U12" s="682">
        <f>SUM(R12:T12)</f>
        <v>0.1036</v>
      </c>
    </row>
    <row r="13" spans="1:21" outlineLevel="1" x14ac:dyDescent="0.25">
      <c r="B13" s="560"/>
      <c r="C13" s="561" t="s">
        <v>580</v>
      </c>
      <c r="D13" s="561"/>
      <c r="E13" s="561" t="s">
        <v>292</v>
      </c>
      <c r="F13" s="753">
        <f>'DUoS (t)'!$I$47</f>
        <v>4.2099999999999999E-2</v>
      </c>
      <c r="G13" s="754">
        <f>'TUoS (t)'!$I$47</f>
        <v>1.7600000000000001E-2</v>
      </c>
      <c r="H13" s="754">
        <f>'JSO (t)'!$I$47</f>
        <v>6.4999999999999997E-3</v>
      </c>
      <c r="I13" s="755">
        <f>SUM(F13:H13)</f>
        <v>6.6200000000000009E-2</v>
      </c>
      <c r="J13" s="752"/>
      <c r="K13" s="751"/>
      <c r="L13" s="751"/>
      <c r="M13" s="682">
        <f>SUM(J13:L13)</f>
        <v>0</v>
      </c>
      <c r="N13" s="752"/>
      <c r="O13" s="751"/>
      <c r="P13" s="751"/>
      <c r="Q13" s="682">
        <f>SUM(N13:P13)</f>
        <v>0</v>
      </c>
      <c r="R13" s="681">
        <f t="shared" si="0"/>
        <v>4.2099999999999999E-2</v>
      </c>
      <c r="S13" s="571">
        <f t="shared" si="0"/>
        <v>1.7600000000000001E-2</v>
      </c>
      <c r="T13" s="571">
        <f t="shared" si="0"/>
        <v>6.4999999999999997E-3</v>
      </c>
      <c r="U13" s="682">
        <f>SUM(R13:T13)</f>
        <v>6.6200000000000009E-2</v>
      </c>
    </row>
    <row r="14" spans="1:21" outlineLevel="1" x14ac:dyDescent="0.25">
      <c r="B14" s="562"/>
      <c r="C14" s="563" t="s">
        <v>581</v>
      </c>
      <c r="D14" s="563"/>
      <c r="E14" s="563" t="s">
        <v>292</v>
      </c>
      <c r="F14" s="756">
        <f>'DUoS (t)'!$K$47</f>
        <v>2.63E-2</v>
      </c>
      <c r="G14" s="757">
        <f>'TUoS (t)'!$K$47</f>
        <v>1.0999999999999999E-2</v>
      </c>
      <c r="H14" s="757">
        <f>'JSO (t)'!$K$47</f>
        <v>4.1000000000000003E-3</v>
      </c>
      <c r="I14" s="758">
        <f>SUM(F14:H14)</f>
        <v>4.1399999999999999E-2</v>
      </c>
      <c r="J14" s="576"/>
      <c r="K14" s="577"/>
      <c r="L14" s="577"/>
      <c r="M14" s="574">
        <f>SUM(J14:L14)</f>
        <v>0</v>
      </c>
      <c r="N14" s="576"/>
      <c r="O14" s="577"/>
      <c r="P14" s="577"/>
      <c r="Q14" s="574">
        <f>SUM(N14:P14)</f>
        <v>0</v>
      </c>
      <c r="R14" s="572">
        <f t="shared" si="0"/>
        <v>2.63E-2</v>
      </c>
      <c r="S14" s="573">
        <f t="shared" si="0"/>
        <v>1.0999999999999999E-2</v>
      </c>
      <c r="T14" s="573">
        <f t="shared" si="0"/>
        <v>4.1000000000000003E-3</v>
      </c>
      <c r="U14" s="574">
        <f>SUM(R14:T14)</f>
        <v>4.1399999999999999E-2</v>
      </c>
    </row>
    <row r="15" spans="1:21" outlineLevel="1" x14ac:dyDescent="0.25">
      <c r="F15" s="759"/>
      <c r="G15" s="759"/>
      <c r="H15" s="759"/>
      <c r="I15" s="759"/>
    </row>
    <row r="16" spans="1:21" outlineLevel="1" x14ac:dyDescent="0.25">
      <c r="A16" s="575" t="s">
        <v>586</v>
      </c>
      <c r="F16" s="760"/>
      <c r="G16" s="760"/>
      <c r="H16" s="760"/>
      <c r="I16" s="760"/>
      <c r="J16" s="764"/>
      <c r="K16" s="764"/>
      <c r="L16" s="764"/>
      <c r="M16" s="764"/>
      <c r="N16" s="764"/>
      <c r="O16" s="764"/>
      <c r="P16" s="764"/>
      <c r="Q16" s="764"/>
      <c r="R16" s="764"/>
      <c r="S16" s="764"/>
      <c r="T16" s="764"/>
      <c r="U16" s="764"/>
    </row>
    <row r="17" spans="1:21" outlineLevel="1" x14ac:dyDescent="0.25">
      <c r="B17" s="558"/>
      <c r="C17" s="559"/>
      <c r="D17" s="559"/>
      <c r="E17" s="559" t="s">
        <v>319</v>
      </c>
      <c r="F17" s="761"/>
      <c r="G17" s="762"/>
      <c r="H17" s="762"/>
      <c r="I17" s="763"/>
      <c r="J17" s="568"/>
      <c r="K17" s="569"/>
      <c r="L17" s="569"/>
      <c r="M17" s="570"/>
      <c r="N17" s="568"/>
      <c r="O17" s="569"/>
      <c r="P17" s="569"/>
      <c r="Q17" s="570"/>
      <c r="R17" s="568"/>
      <c r="S17" s="569"/>
      <c r="T17" s="569"/>
      <c r="U17" s="570"/>
    </row>
    <row r="18" spans="1:21" outlineLevel="1" x14ac:dyDescent="0.25">
      <c r="B18" s="560"/>
      <c r="C18" s="561" t="s">
        <v>382</v>
      </c>
      <c r="D18" s="561"/>
      <c r="E18" s="561" t="s">
        <v>291</v>
      </c>
      <c r="F18" s="753">
        <f>('DUoS (t)'!$G$47)*1</f>
        <v>6.8493000000000004</v>
      </c>
      <c r="G18" s="754">
        <f>('TUoS (t)'!$G$47)*1</f>
        <v>0</v>
      </c>
      <c r="H18" s="754">
        <f>('JSO (t)'!$G$47)*1</f>
        <v>0</v>
      </c>
      <c r="I18" s="755">
        <f>SUM(F18:H18)</f>
        <v>6.8493000000000004</v>
      </c>
      <c r="J18" s="752"/>
      <c r="K18" s="751"/>
      <c r="L18" s="751"/>
      <c r="M18" s="682">
        <f>SUM(J18:L18)</f>
        <v>0</v>
      </c>
      <c r="N18" s="752">
        <f>4*F18</f>
        <v>27.397200000000002</v>
      </c>
      <c r="O18" s="751"/>
      <c r="P18" s="751"/>
      <c r="Q18" s="682">
        <f>SUM(N18:P18)</f>
        <v>27.397200000000002</v>
      </c>
      <c r="R18" s="681">
        <f t="shared" ref="R18:T22" si="1">SUM(F18,J18,N18)</f>
        <v>34.246500000000005</v>
      </c>
      <c r="S18" s="571">
        <f t="shared" si="1"/>
        <v>0</v>
      </c>
      <c r="T18" s="571">
        <f t="shared" si="1"/>
        <v>0</v>
      </c>
      <c r="U18" s="682">
        <f>SUM(R18:T18)</f>
        <v>34.246500000000005</v>
      </c>
    </row>
    <row r="19" spans="1:21" outlineLevel="1" x14ac:dyDescent="0.25">
      <c r="B19" s="560"/>
      <c r="C19" s="561" t="s">
        <v>383</v>
      </c>
      <c r="D19" s="561">
        <v>4</v>
      </c>
      <c r="E19" s="561" t="s">
        <v>298</v>
      </c>
      <c r="F19" s="753">
        <f>'DUoS (t)'!$S$47</f>
        <v>0.14499999999999999</v>
      </c>
      <c r="G19" s="754">
        <f>'TUoS (t)'!$S$47</f>
        <v>0.10829999999999999</v>
      </c>
      <c r="H19" s="754">
        <f>'JSO (t)'!$S$47</f>
        <v>0</v>
      </c>
      <c r="I19" s="755">
        <f>SUM(F19:H19)</f>
        <v>0.25329999999999997</v>
      </c>
      <c r="J19" s="752"/>
      <c r="K19" s="751"/>
      <c r="L19" s="751"/>
      <c r="M19" s="682">
        <f>SUM(J19:L19)</f>
        <v>0</v>
      </c>
      <c r="N19" s="752"/>
      <c r="O19" s="751"/>
      <c r="P19" s="751"/>
      <c r="Q19" s="682">
        <f>SUM(N19:P19)</f>
        <v>0</v>
      </c>
      <c r="R19" s="681">
        <f t="shared" si="1"/>
        <v>0.14499999999999999</v>
      </c>
      <c r="S19" s="571">
        <f t="shared" si="1"/>
        <v>0.10829999999999999</v>
      </c>
      <c r="T19" s="571">
        <f t="shared" si="1"/>
        <v>0</v>
      </c>
      <c r="U19" s="682">
        <f>SUM(R19:T19)</f>
        <v>0.25329999999999997</v>
      </c>
    </row>
    <row r="20" spans="1:21" outlineLevel="1" x14ac:dyDescent="0.25">
      <c r="B20" s="560"/>
      <c r="C20" s="561" t="s">
        <v>384</v>
      </c>
      <c r="D20" s="561">
        <v>4</v>
      </c>
      <c r="E20" s="561" t="s">
        <v>298</v>
      </c>
      <c r="F20" s="753">
        <f>'DUoS (t)'!$T$47</f>
        <v>0.1036</v>
      </c>
      <c r="G20" s="754">
        <f>'TUoS (t)'!$T$47</f>
        <v>0</v>
      </c>
      <c r="H20" s="754">
        <f>'JSO (t)'!$T$47</f>
        <v>0</v>
      </c>
      <c r="I20" s="755">
        <f>SUM(F20:H20)</f>
        <v>0.1036</v>
      </c>
      <c r="J20" s="752"/>
      <c r="K20" s="751"/>
      <c r="L20" s="751"/>
      <c r="M20" s="682">
        <f>SUM(J20:L20)</f>
        <v>0</v>
      </c>
      <c r="N20" s="752"/>
      <c r="O20" s="751"/>
      <c r="P20" s="751"/>
      <c r="Q20" s="682">
        <f>SUM(N20:P20)</f>
        <v>0</v>
      </c>
      <c r="R20" s="681">
        <f t="shared" si="1"/>
        <v>0.1036</v>
      </c>
      <c r="S20" s="571">
        <f t="shared" si="1"/>
        <v>0</v>
      </c>
      <c r="T20" s="571">
        <f t="shared" si="1"/>
        <v>0</v>
      </c>
      <c r="U20" s="682">
        <f>SUM(R20:T20)</f>
        <v>0.1036</v>
      </c>
    </row>
    <row r="21" spans="1:21" outlineLevel="1" x14ac:dyDescent="0.25">
      <c r="B21" s="560"/>
      <c r="C21" s="561" t="s">
        <v>580</v>
      </c>
      <c r="D21" s="561"/>
      <c r="E21" s="561" t="s">
        <v>292</v>
      </c>
      <c r="F21" s="753">
        <f>'DUoS (t)'!$I$47</f>
        <v>4.2099999999999999E-2</v>
      </c>
      <c r="G21" s="754">
        <f>'TUoS (t)'!$I$47</f>
        <v>1.7600000000000001E-2</v>
      </c>
      <c r="H21" s="754">
        <f>'JSO (t)'!$I$47</f>
        <v>6.4999999999999997E-3</v>
      </c>
      <c r="I21" s="755">
        <f>SUM(F21:H21)</f>
        <v>6.6200000000000009E-2</v>
      </c>
      <c r="J21" s="752"/>
      <c r="K21" s="751"/>
      <c r="L21" s="751"/>
      <c r="M21" s="682">
        <f>SUM(J21:L21)</f>
        <v>0</v>
      </c>
      <c r="N21" s="752"/>
      <c r="O21" s="751"/>
      <c r="P21" s="751"/>
      <c r="Q21" s="682">
        <f>SUM(N21:P21)</f>
        <v>0</v>
      </c>
      <c r="R21" s="681">
        <f t="shared" si="1"/>
        <v>4.2099999999999999E-2</v>
      </c>
      <c r="S21" s="571">
        <f t="shared" si="1"/>
        <v>1.7600000000000001E-2</v>
      </c>
      <c r="T21" s="571">
        <f t="shared" si="1"/>
        <v>6.4999999999999997E-3</v>
      </c>
      <c r="U21" s="682">
        <f>SUM(R21:T21)</f>
        <v>6.6200000000000009E-2</v>
      </c>
    </row>
    <row r="22" spans="1:21" outlineLevel="1" x14ac:dyDescent="0.25">
      <c r="B22" s="562"/>
      <c r="C22" s="563" t="s">
        <v>581</v>
      </c>
      <c r="D22" s="563"/>
      <c r="E22" s="563" t="s">
        <v>292</v>
      </c>
      <c r="F22" s="756">
        <f>'DUoS (t)'!$K$47</f>
        <v>2.63E-2</v>
      </c>
      <c r="G22" s="757">
        <f>'TUoS (t)'!$K$47</f>
        <v>1.0999999999999999E-2</v>
      </c>
      <c r="H22" s="757">
        <f>'JSO (t)'!$K$47</f>
        <v>4.1000000000000003E-3</v>
      </c>
      <c r="I22" s="758">
        <f>SUM(F22:H22)</f>
        <v>4.1399999999999999E-2</v>
      </c>
      <c r="J22" s="576"/>
      <c r="K22" s="577"/>
      <c r="L22" s="577"/>
      <c r="M22" s="574">
        <f>SUM(J22:L22)</f>
        <v>0</v>
      </c>
      <c r="N22" s="576"/>
      <c r="O22" s="577"/>
      <c r="P22" s="577"/>
      <c r="Q22" s="574">
        <f>SUM(N22:P22)</f>
        <v>0</v>
      </c>
      <c r="R22" s="572">
        <f t="shared" si="1"/>
        <v>2.63E-2</v>
      </c>
      <c r="S22" s="573">
        <f t="shared" si="1"/>
        <v>1.0999999999999999E-2</v>
      </c>
      <c r="T22" s="573">
        <f t="shared" si="1"/>
        <v>4.1000000000000003E-3</v>
      </c>
      <c r="U22" s="574">
        <f>SUM(R22:T22)</f>
        <v>4.1399999999999999E-2</v>
      </c>
    </row>
    <row r="23" spans="1:21" outlineLevel="1" x14ac:dyDescent="0.25">
      <c r="F23" s="759"/>
      <c r="G23" s="759"/>
      <c r="H23" s="759"/>
      <c r="I23" s="759"/>
    </row>
    <row r="24" spans="1:21" outlineLevel="1" x14ac:dyDescent="0.25">
      <c r="A24" s="575" t="s">
        <v>587</v>
      </c>
      <c r="F24" s="760"/>
      <c r="G24" s="760"/>
      <c r="H24" s="760"/>
      <c r="I24" s="760"/>
      <c r="J24" s="764"/>
      <c r="K24" s="764"/>
      <c r="L24" s="764"/>
      <c r="M24" s="764"/>
      <c r="N24" s="764"/>
      <c r="O24" s="764"/>
      <c r="P24" s="764"/>
      <c r="Q24" s="764"/>
      <c r="R24" s="764"/>
      <c r="S24" s="764"/>
      <c r="T24" s="764"/>
      <c r="U24" s="764"/>
    </row>
    <row r="25" spans="1:21" outlineLevel="1" x14ac:dyDescent="0.25">
      <c r="B25" s="558"/>
      <c r="C25" s="559"/>
      <c r="D25" s="559"/>
      <c r="E25" s="559" t="s">
        <v>319</v>
      </c>
      <c r="F25" s="761"/>
      <c r="G25" s="762"/>
      <c r="H25" s="762"/>
      <c r="I25" s="763"/>
      <c r="J25" s="568"/>
      <c r="K25" s="569"/>
      <c r="L25" s="569"/>
      <c r="M25" s="570"/>
      <c r="N25" s="568"/>
      <c r="O25" s="569"/>
      <c r="P25" s="569"/>
      <c r="Q25" s="570"/>
      <c r="R25" s="568"/>
      <c r="S25" s="569"/>
      <c r="T25" s="569"/>
      <c r="U25" s="570"/>
    </row>
    <row r="26" spans="1:21" outlineLevel="1" x14ac:dyDescent="0.25">
      <c r="B26" s="560"/>
      <c r="C26" s="561" t="s">
        <v>382</v>
      </c>
      <c r="D26" s="561"/>
      <c r="E26" s="561" t="s">
        <v>291</v>
      </c>
      <c r="F26" s="753">
        <f>('DUoS (t)'!$G$47)*1</f>
        <v>6.8493000000000004</v>
      </c>
      <c r="G26" s="754">
        <f>('TUoS (t)'!$G$47)*1</f>
        <v>0</v>
      </c>
      <c r="H26" s="754">
        <f>('JSO (t)'!$G$47)*1</f>
        <v>0</v>
      </c>
      <c r="I26" s="755">
        <f>SUM(F26:H26)</f>
        <v>6.8493000000000004</v>
      </c>
      <c r="J26" s="752"/>
      <c r="K26" s="751"/>
      <c r="L26" s="751"/>
      <c r="M26" s="682">
        <f>SUM(J26:L26)</f>
        <v>0</v>
      </c>
      <c r="N26" s="752">
        <f>3*F26</f>
        <v>20.547900000000002</v>
      </c>
      <c r="O26" s="751"/>
      <c r="P26" s="751"/>
      <c r="Q26" s="682">
        <f>SUM(N26:P26)</f>
        <v>20.547900000000002</v>
      </c>
      <c r="R26" s="681">
        <f t="shared" ref="R26:T30" si="2">SUM(F26,J26,N26)</f>
        <v>27.397200000000002</v>
      </c>
      <c r="S26" s="571">
        <f t="shared" si="2"/>
        <v>0</v>
      </c>
      <c r="T26" s="571">
        <f t="shared" si="2"/>
        <v>0</v>
      </c>
      <c r="U26" s="682">
        <f>SUM(R26:T26)</f>
        <v>27.397200000000002</v>
      </c>
    </row>
    <row r="27" spans="1:21" outlineLevel="1" x14ac:dyDescent="0.25">
      <c r="B27" s="560"/>
      <c r="C27" s="561" t="s">
        <v>383</v>
      </c>
      <c r="D27" s="561">
        <v>4</v>
      </c>
      <c r="E27" s="561" t="s">
        <v>298</v>
      </c>
      <c r="F27" s="753">
        <f>'DUoS (t)'!$S$47</f>
        <v>0.14499999999999999</v>
      </c>
      <c r="G27" s="754">
        <f>'TUoS (t)'!$S$47</f>
        <v>0.10829999999999999</v>
      </c>
      <c r="H27" s="754">
        <f>'JSO (t)'!$S$47</f>
        <v>0</v>
      </c>
      <c r="I27" s="755">
        <f>SUM(F27:H27)</f>
        <v>0.25329999999999997</v>
      </c>
      <c r="J27" s="752"/>
      <c r="K27" s="751"/>
      <c r="L27" s="751"/>
      <c r="M27" s="682">
        <f>SUM(J27:L27)</f>
        <v>0</v>
      </c>
      <c r="N27" s="752"/>
      <c r="O27" s="751"/>
      <c r="P27" s="751"/>
      <c r="Q27" s="682">
        <f>SUM(N27:P27)</f>
        <v>0</v>
      </c>
      <c r="R27" s="681">
        <f t="shared" si="2"/>
        <v>0.14499999999999999</v>
      </c>
      <c r="S27" s="571">
        <f t="shared" si="2"/>
        <v>0.10829999999999999</v>
      </c>
      <c r="T27" s="571">
        <f t="shared" si="2"/>
        <v>0</v>
      </c>
      <c r="U27" s="682">
        <f>SUM(R27:T27)</f>
        <v>0.25329999999999997</v>
      </c>
    </row>
    <row r="28" spans="1:21" outlineLevel="1" x14ac:dyDescent="0.25">
      <c r="B28" s="560"/>
      <c r="C28" s="561" t="s">
        <v>384</v>
      </c>
      <c r="D28" s="561">
        <v>4</v>
      </c>
      <c r="E28" s="561" t="s">
        <v>298</v>
      </c>
      <c r="F28" s="753">
        <f>'DUoS (t)'!$T$47</f>
        <v>0.1036</v>
      </c>
      <c r="G28" s="754">
        <f>'TUoS (t)'!$T$47</f>
        <v>0</v>
      </c>
      <c r="H28" s="754">
        <f>'JSO (t)'!$T$47</f>
        <v>0</v>
      </c>
      <c r="I28" s="755">
        <f>SUM(F28:H28)</f>
        <v>0.1036</v>
      </c>
      <c r="J28" s="752"/>
      <c r="K28" s="751"/>
      <c r="L28" s="751"/>
      <c r="M28" s="682">
        <f>SUM(J28:L28)</f>
        <v>0</v>
      </c>
      <c r="N28" s="752"/>
      <c r="O28" s="751"/>
      <c r="P28" s="751"/>
      <c r="Q28" s="682">
        <f>SUM(N28:P28)</f>
        <v>0</v>
      </c>
      <c r="R28" s="681">
        <f t="shared" si="2"/>
        <v>0.1036</v>
      </c>
      <c r="S28" s="571">
        <f t="shared" si="2"/>
        <v>0</v>
      </c>
      <c r="T28" s="571">
        <f t="shared" si="2"/>
        <v>0</v>
      </c>
      <c r="U28" s="682">
        <f>SUM(R28:T28)</f>
        <v>0.1036</v>
      </c>
    </row>
    <row r="29" spans="1:21" outlineLevel="1" x14ac:dyDescent="0.25">
      <c r="B29" s="560"/>
      <c r="C29" s="561" t="s">
        <v>580</v>
      </c>
      <c r="D29" s="561"/>
      <c r="E29" s="561" t="s">
        <v>292</v>
      </c>
      <c r="F29" s="753">
        <f>'DUoS (t)'!$I$47</f>
        <v>4.2099999999999999E-2</v>
      </c>
      <c r="G29" s="754">
        <f>'TUoS (t)'!$I$47</f>
        <v>1.7600000000000001E-2</v>
      </c>
      <c r="H29" s="754">
        <f>'JSO (t)'!$I$47</f>
        <v>6.4999999999999997E-3</v>
      </c>
      <c r="I29" s="755">
        <f>SUM(F29:H29)</f>
        <v>6.6200000000000009E-2</v>
      </c>
      <c r="J29" s="752"/>
      <c r="K29" s="751"/>
      <c r="L29" s="751"/>
      <c r="M29" s="682">
        <f>SUM(J29:L29)</f>
        <v>0</v>
      </c>
      <c r="N29" s="752"/>
      <c r="O29" s="751"/>
      <c r="P29" s="751"/>
      <c r="Q29" s="682">
        <f>SUM(N29:P29)</f>
        <v>0</v>
      </c>
      <c r="R29" s="681">
        <f t="shared" si="2"/>
        <v>4.2099999999999999E-2</v>
      </c>
      <c r="S29" s="571">
        <f t="shared" si="2"/>
        <v>1.7600000000000001E-2</v>
      </c>
      <c r="T29" s="571">
        <f t="shared" si="2"/>
        <v>6.4999999999999997E-3</v>
      </c>
      <c r="U29" s="682">
        <f>SUM(R29:T29)</f>
        <v>6.6200000000000009E-2</v>
      </c>
    </row>
    <row r="30" spans="1:21" outlineLevel="1" x14ac:dyDescent="0.25">
      <c r="B30" s="562"/>
      <c r="C30" s="563" t="s">
        <v>581</v>
      </c>
      <c r="D30" s="563"/>
      <c r="E30" s="563" t="s">
        <v>292</v>
      </c>
      <c r="F30" s="756">
        <f>'DUoS (t)'!$K$47</f>
        <v>2.63E-2</v>
      </c>
      <c r="G30" s="757">
        <f>'TUoS (t)'!$K$47</f>
        <v>1.0999999999999999E-2</v>
      </c>
      <c r="H30" s="757">
        <f>'JSO (t)'!$K$47</f>
        <v>4.1000000000000003E-3</v>
      </c>
      <c r="I30" s="758">
        <f>SUM(F30:H30)</f>
        <v>4.1399999999999999E-2</v>
      </c>
      <c r="J30" s="576"/>
      <c r="K30" s="577"/>
      <c r="L30" s="577"/>
      <c r="M30" s="574">
        <f>SUM(J30:L30)</f>
        <v>0</v>
      </c>
      <c r="N30" s="576"/>
      <c r="O30" s="577"/>
      <c r="P30" s="577"/>
      <c r="Q30" s="574">
        <f>SUM(N30:P30)</f>
        <v>0</v>
      </c>
      <c r="R30" s="572">
        <f t="shared" si="2"/>
        <v>2.63E-2</v>
      </c>
      <c r="S30" s="573">
        <f t="shared" si="2"/>
        <v>1.0999999999999999E-2</v>
      </c>
      <c r="T30" s="573">
        <f t="shared" si="2"/>
        <v>4.1000000000000003E-3</v>
      </c>
      <c r="U30" s="574">
        <f>SUM(R30:T30)</f>
        <v>4.1399999999999999E-2</v>
      </c>
    </row>
    <row r="31" spans="1:21" outlineLevel="1" x14ac:dyDescent="0.25">
      <c r="F31" s="759"/>
      <c r="G31" s="759"/>
      <c r="H31" s="759"/>
      <c r="I31" s="759"/>
    </row>
    <row r="32" spans="1:21" outlineLevel="1" x14ac:dyDescent="0.25">
      <c r="A32" s="575" t="s">
        <v>589</v>
      </c>
      <c r="F32" s="760"/>
      <c r="G32" s="760"/>
      <c r="H32" s="760"/>
      <c r="I32" s="760"/>
      <c r="J32" s="764"/>
      <c r="K32" s="764"/>
      <c r="L32" s="764"/>
      <c r="M32" s="764"/>
      <c r="N32" s="764"/>
      <c r="O32" s="764"/>
      <c r="P32" s="764"/>
      <c r="Q32" s="764"/>
      <c r="R32" s="764"/>
      <c r="S32" s="764"/>
      <c r="T32" s="764"/>
      <c r="U32" s="764"/>
    </row>
    <row r="33" spans="1:21" outlineLevel="1" x14ac:dyDescent="0.25">
      <c r="B33" s="558"/>
      <c r="C33" s="559"/>
      <c r="D33" s="559"/>
      <c r="E33" s="559" t="s">
        <v>319</v>
      </c>
      <c r="F33" s="761"/>
      <c r="G33" s="762"/>
      <c r="H33" s="762"/>
      <c r="I33" s="763"/>
      <c r="J33" s="568"/>
      <c r="K33" s="569"/>
      <c r="L33" s="569"/>
      <c r="M33" s="570"/>
      <c r="N33" s="568"/>
      <c r="O33" s="569"/>
      <c r="P33" s="569"/>
      <c r="Q33" s="570"/>
      <c r="R33" s="568"/>
      <c r="S33" s="569"/>
      <c r="T33" s="569"/>
      <c r="U33" s="570"/>
    </row>
    <row r="34" spans="1:21" outlineLevel="1" x14ac:dyDescent="0.25">
      <c r="B34" s="560"/>
      <c r="C34" s="561" t="s">
        <v>382</v>
      </c>
      <c r="D34" s="561"/>
      <c r="E34" s="561" t="s">
        <v>291</v>
      </c>
      <c r="F34" s="753">
        <f>('DUoS (t)'!$G$47)*1</f>
        <v>6.8493000000000004</v>
      </c>
      <c r="G34" s="754">
        <f>('TUoS (t)'!$G$47)*1</f>
        <v>0</v>
      </c>
      <c r="H34" s="754">
        <f>('JSO (t)'!$G$47)*1</f>
        <v>0</v>
      </c>
      <c r="I34" s="755">
        <f>SUM(F34:H34)</f>
        <v>6.8493000000000004</v>
      </c>
      <c r="J34" s="752"/>
      <c r="K34" s="751"/>
      <c r="L34" s="751"/>
      <c r="M34" s="682">
        <f>SUM(J34:L34)</f>
        <v>0</v>
      </c>
      <c r="N34" s="752">
        <f>1*F34</f>
        <v>6.8493000000000004</v>
      </c>
      <c r="O34" s="751"/>
      <c r="P34" s="751"/>
      <c r="Q34" s="682">
        <f>SUM(N34:P34)</f>
        <v>6.8493000000000004</v>
      </c>
      <c r="R34" s="681">
        <f t="shared" ref="R34:T38" si="3">SUM(F34,J34,N34)</f>
        <v>13.698600000000001</v>
      </c>
      <c r="S34" s="571">
        <f t="shared" si="3"/>
        <v>0</v>
      </c>
      <c r="T34" s="571">
        <f t="shared" si="3"/>
        <v>0</v>
      </c>
      <c r="U34" s="682">
        <f>SUM(R34:T34)</f>
        <v>13.698600000000001</v>
      </c>
    </row>
    <row r="35" spans="1:21" outlineLevel="1" x14ac:dyDescent="0.25">
      <c r="B35" s="560"/>
      <c r="C35" s="561" t="s">
        <v>383</v>
      </c>
      <c r="D35" s="561">
        <v>4</v>
      </c>
      <c r="E35" s="561" t="s">
        <v>298</v>
      </c>
      <c r="F35" s="753">
        <f>'DUoS (t)'!$S$47</f>
        <v>0.14499999999999999</v>
      </c>
      <c r="G35" s="754">
        <f>'TUoS (t)'!$S$47</f>
        <v>0.10829999999999999</v>
      </c>
      <c r="H35" s="754">
        <f>'JSO (t)'!$S$47</f>
        <v>0</v>
      </c>
      <c r="I35" s="755">
        <f>SUM(F35:H35)</f>
        <v>0.25329999999999997</v>
      </c>
      <c r="J35" s="752"/>
      <c r="K35" s="751"/>
      <c r="L35" s="751"/>
      <c r="M35" s="682">
        <f>SUM(J35:L35)</f>
        <v>0</v>
      </c>
      <c r="N35" s="752"/>
      <c r="O35" s="751"/>
      <c r="P35" s="751"/>
      <c r="Q35" s="682">
        <f>SUM(N35:P35)</f>
        <v>0</v>
      </c>
      <c r="R35" s="681">
        <f t="shared" si="3"/>
        <v>0.14499999999999999</v>
      </c>
      <c r="S35" s="571">
        <f t="shared" si="3"/>
        <v>0.10829999999999999</v>
      </c>
      <c r="T35" s="571">
        <f t="shared" si="3"/>
        <v>0</v>
      </c>
      <c r="U35" s="682">
        <f>SUM(R35:T35)</f>
        <v>0.25329999999999997</v>
      </c>
    </row>
    <row r="36" spans="1:21" outlineLevel="1" x14ac:dyDescent="0.25">
      <c r="B36" s="560"/>
      <c r="C36" s="561" t="s">
        <v>384</v>
      </c>
      <c r="D36" s="561">
        <v>4</v>
      </c>
      <c r="E36" s="561" t="s">
        <v>298</v>
      </c>
      <c r="F36" s="753">
        <f>'DUoS (t)'!$T$47</f>
        <v>0.1036</v>
      </c>
      <c r="G36" s="754">
        <f>'TUoS (t)'!$T$47</f>
        <v>0</v>
      </c>
      <c r="H36" s="754">
        <f>'JSO (t)'!$T$47</f>
        <v>0</v>
      </c>
      <c r="I36" s="755">
        <f>SUM(F36:H36)</f>
        <v>0.1036</v>
      </c>
      <c r="J36" s="752"/>
      <c r="K36" s="751"/>
      <c r="L36" s="751"/>
      <c r="M36" s="682">
        <f>SUM(J36:L36)</f>
        <v>0</v>
      </c>
      <c r="N36" s="752"/>
      <c r="O36" s="751"/>
      <c r="P36" s="751"/>
      <c r="Q36" s="682">
        <f>SUM(N36:P36)</f>
        <v>0</v>
      </c>
      <c r="R36" s="681">
        <f t="shared" si="3"/>
        <v>0.1036</v>
      </c>
      <c r="S36" s="571">
        <f t="shared" si="3"/>
        <v>0</v>
      </c>
      <c r="T36" s="571">
        <f t="shared" si="3"/>
        <v>0</v>
      </c>
      <c r="U36" s="682">
        <f>SUM(R36:T36)</f>
        <v>0.1036</v>
      </c>
    </row>
    <row r="37" spans="1:21" outlineLevel="1" x14ac:dyDescent="0.25">
      <c r="B37" s="560"/>
      <c r="C37" s="561" t="s">
        <v>580</v>
      </c>
      <c r="D37" s="561"/>
      <c r="E37" s="561" t="s">
        <v>292</v>
      </c>
      <c r="F37" s="753">
        <f>'DUoS (t)'!$I$47</f>
        <v>4.2099999999999999E-2</v>
      </c>
      <c r="G37" s="754">
        <f>'TUoS (t)'!$I$47</f>
        <v>1.7600000000000001E-2</v>
      </c>
      <c r="H37" s="754">
        <f>'JSO (t)'!$I$47</f>
        <v>6.4999999999999997E-3</v>
      </c>
      <c r="I37" s="755">
        <f>SUM(F37:H37)</f>
        <v>6.6200000000000009E-2</v>
      </c>
      <c r="J37" s="752"/>
      <c r="K37" s="751"/>
      <c r="L37" s="751"/>
      <c r="M37" s="682">
        <f>SUM(J37:L37)</f>
        <v>0</v>
      </c>
      <c r="N37" s="752"/>
      <c r="O37" s="751"/>
      <c r="P37" s="751"/>
      <c r="Q37" s="682">
        <f>SUM(N37:P37)</f>
        <v>0</v>
      </c>
      <c r="R37" s="681">
        <f t="shared" si="3"/>
        <v>4.2099999999999999E-2</v>
      </c>
      <c r="S37" s="571">
        <f t="shared" si="3"/>
        <v>1.7600000000000001E-2</v>
      </c>
      <c r="T37" s="571">
        <f t="shared" si="3"/>
        <v>6.4999999999999997E-3</v>
      </c>
      <c r="U37" s="682">
        <f>SUM(R37:T37)</f>
        <v>6.6200000000000009E-2</v>
      </c>
    </row>
    <row r="38" spans="1:21" outlineLevel="1" x14ac:dyDescent="0.25">
      <c r="B38" s="562"/>
      <c r="C38" s="563" t="s">
        <v>581</v>
      </c>
      <c r="D38" s="563"/>
      <c r="E38" s="563" t="s">
        <v>292</v>
      </c>
      <c r="F38" s="756">
        <f>'DUoS (t)'!$K$47</f>
        <v>2.63E-2</v>
      </c>
      <c r="G38" s="757">
        <f>'TUoS (t)'!$K$47</f>
        <v>1.0999999999999999E-2</v>
      </c>
      <c r="H38" s="757">
        <f>'JSO (t)'!$K$47</f>
        <v>4.1000000000000003E-3</v>
      </c>
      <c r="I38" s="758">
        <f>SUM(F38:H38)</f>
        <v>4.1399999999999999E-2</v>
      </c>
      <c r="J38" s="576"/>
      <c r="K38" s="577"/>
      <c r="L38" s="577"/>
      <c r="M38" s="574">
        <f>SUM(J38:L38)</f>
        <v>0</v>
      </c>
      <c r="N38" s="576"/>
      <c r="O38" s="577"/>
      <c r="P38" s="577"/>
      <c r="Q38" s="574">
        <f>SUM(N38:P38)</f>
        <v>0</v>
      </c>
      <c r="R38" s="572">
        <f t="shared" si="3"/>
        <v>2.63E-2</v>
      </c>
      <c r="S38" s="573">
        <f t="shared" si="3"/>
        <v>1.0999999999999999E-2</v>
      </c>
      <c r="T38" s="573">
        <f t="shared" si="3"/>
        <v>4.1000000000000003E-3</v>
      </c>
      <c r="U38" s="574">
        <f>SUM(R38:T38)</f>
        <v>4.1399999999999999E-2</v>
      </c>
    </row>
    <row r="39" spans="1:21" outlineLevel="1" x14ac:dyDescent="0.25">
      <c r="F39" s="759"/>
      <c r="G39" s="759"/>
      <c r="H39" s="759"/>
      <c r="I39" s="759"/>
    </row>
    <row r="40" spans="1:21" outlineLevel="1" x14ac:dyDescent="0.25">
      <c r="A40" s="575" t="s">
        <v>591</v>
      </c>
      <c r="F40" s="760"/>
      <c r="G40" s="760"/>
      <c r="H40" s="760"/>
      <c r="I40" s="760"/>
      <c r="J40" s="764"/>
      <c r="K40" s="764"/>
      <c r="L40" s="764"/>
      <c r="M40" s="764"/>
      <c r="N40" s="764"/>
      <c r="O40" s="764"/>
      <c r="P40" s="764"/>
      <c r="Q40" s="764"/>
      <c r="R40" s="764"/>
      <c r="S40" s="764"/>
      <c r="T40" s="764"/>
      <c r="U40" s="764"/>
    </row>
    <row r="41" spans="1:21" outlineLevel="1" x14ac:dyDescent="0.25">
      <c r="B41" s="558"/>
      <c r="C41" s="559"/>
      <c r="D41" s="559"/>
      <c r="E41" s="559" t="s">
        <v>319</v>
      </c>
      <c r="F41" s="761"/>
      <c r="G41" s="762"/>
      <c r="H41" s="762"/>
      <c r="I41" s="763"/>
      <c r="J41" s="568"/>
      <c r="K41" s="569"/>
      <c r="L41" s="569"/>
      <c r="M41" s="570"/>
      <c r="N41" s="568"/>
      <c r="O41" s="569"/>
      <c r="P41" s="569"/>
      <c r="Q41" s="570"/>
      <c r="R41" s="568"/>
      <c r="S41" s="569"/>
      <c r="T41" s="569"/>
      <c r="U41" s="570"/>
    </row>
    <row r="42" spans="1:21" outlineLevel="1" x14ac:dyDescent="0.25">
      <c r="B42" s="560"/>
      <c r="C42" s="561" t="s">
        <v>382</v>
      </c>
      <c r="D42" s="561"/>
      <c r="E42" s="561" t="s">
        <v>291</v>
      </c>
      <c r="F42" s="753">
        <f>('DUoS (t)'!$G$47)*1</f>
        <v>6.8493000000000004</v>
      </c>
      <c r="G42" s="754">
        <f>('TUoS (t)'!$G$47)*1</f>
        <v>0</v>
      </c>
      <c r="H42" s="754">
        <f>('JSO (t)'!$G$47)*1</f>
        <v>0</v>
      </c>
      <c r="I42" s="755">
        <f>SUM(F42:H42)</f>
        <v>6.8493000000000004</v>
      </c>
      <c r="J42" s="752"/>
      <c r="K42" s="751"/>
      <c r="L42" s="751"/>
      <c r="M42" s="682">
        <f>SUM(J42:L42)</f>
        <v>0</v>
      </c>
      <c r="N42" s="752">
        <f>1*F42</f>
        <v>6.8493000000000004</v>
      </c>
      <c r="O42" s="751"/>
      <c r="P42" s="751"/>
      <c r="Q42" s="682">
        <f>SUM(N42:P42)</f>
        <v>6.8493000000000004</v>
      </c>
      <c r="R42" s="681">
        <f t="shared" ref="R42:T46" si="4">SUM(F42,J42,N42)</f>
        <v>13.698600000000001</v>
      </c>
      <c r="S42" s="571">
        <f t="shared" si="4"/>
        <v>0</v>
      </c>
      <c r="T42" s="571">
        <f t="shared" si="4"/>
        <v>0</v>
      </c>
      <c r="U42" s="682">
        <f>SUM(R42:T42)</f>
        <v>13.698600000000001</v>
      </c>
    </row>
    <row r="43" spans="1:21" outlineLevel="1" x14ac:dyDescent="0.25">
      <c r="B43" s="560"/>
      <c r="C43" s="561" t="s">
        <v>383</v>
      </c>
      <c r="D43" s="561">
        <v>4</v>
      </c>
      <c r="E43" s="561" t="s">
        <v>298</v>
      </c>
      <c r="F43" s="753">
        <f>'DUoS (t)'!$S$47</f>
        <v>0.14499999999999999</v>
      </c>
      <c r="G43" s="754">
        <f>'TUoS (t)'!$S$47</f>
        <v>0.10829999999999999</v>
      </c>
      <c r="H43" s="754">
        <f>'JSO (t)'!$S$47</f>
        <v>0</v>
      </c>
      <c r="I43" s="755">
        <f>SUM(F43:H43)</f>
        <v>0.25329999999999997</v>
      </c>
      <c r="J43" s="752"/>
      <c r="K43" s="751"/>
      <c r="L43" s="751"/>
      <c r="M43" s="682">
        <f>SUM(J43:L43)</f>
        <v>0</v>
      </c>
      <c r="N43" s="752"/>
      <c r="O43" s="751"/>
      <c r="P43" s="751"/>
      <c r="Q43" s="682">
        <f>SUM(N43:P43)</f>
        <v>0</v>
      </c>
      <c r="R43" s="681">
        <f t="shared" si="4"/>
        <v>0.14499999999999999</v>
      </c>
      <c r="S43" s="571">
        <f t="shared" si="4"/>
        <v>0.10829999999999999</v>
      </c>
      <c r="T43" s="571">
        <f t="shared" si="4"/>
        <v>0</v>
      </c>
      <c r="U43" s="682">
        <f>SUM(R43:T43)</f>
        <v>0.25329999999999997</v>
      </c>
    </row>
    <row r="44" spans="1:21" outlineLevel="1" x14ac:dyDescent="0.25">
      <c r="B44" s="560"/>
      <c r="C44" s="561" t="s">
        <v>384</v>
      </c>
      <c r="D44" s="561">
        <v>4</v>
      </c>
      <c r="E44" s="561" t="s">
        <v>298</v>
      </c>
      <c r="F44" s="753">
        <f>'DUoS (t)'!$T$47</f>
        <v>0.1036</v>
      </c>
      <c r="G44" s="754">
        <f>'TUoS (t)'!$T$47</f>
        <v>0</v>
      </c>
      <c r="H44" s="754">
        <f>'JSO (t)'!$T$47</f>
        <v>0</v>
      </c>
      <c r="I44" s="755">
        <f>SUM(F44:H44)</f>
        <v>0.1036</v>
      </c>
      <c r="J44" s="752"/>
      <c r="K44" s="751"/>
      <c r="L44" s="751"/>
      <c r="M44" s="682">
        <f>SUM(J44:L44)</f>
        <v>0</v>
      </c>
      <c r="N44" s="752"/>
      <c r="O44" s="751"/>
      <c r="P44" s="751"/>
      <c r="Q44" s="682">
        <f>SUM(N44:P44)</f>
        <v>0</v>
      </c>
      <c r="R44" s="681">
        <f t="shared" si="4"/>
        <v>0.1036</v>
      </c>
      <c r="S44" s="571">
        <f t="shared" si="4"/>
        <v>0</v>
      </c>
      <c r="T44" s="571">
        <f t="shared" si="4"/>
        <v>0</v>
      </c>
      <c r="U44" s="682">
        <f>SUM(R44:T44)</f>
        <v>0.1036</v>
      </c>
    </row>
    <row r="45" spans="1:21" outlineLevel="1" x14ac:dyDescent="0.25">
      <c r="B45" s="560"/>
      <c r="C45" s="561" t="s">
        <v>580</v>
      </c>
      <c r="D45" s="561"/>
      <c r="E45" s="561" t="s">
        <v>292</v>
      </c>
      <c r="F45" s="753">
        <f>'DUoS (t)'!$I$47</f>
        <v>4.2099999999999999E-2</v>
      </c>
      <c r="G45" s="754">
        <f>'TUoS (t)'!$I$47</f>
        <v>1.7600000000000001E-2</v>
      </c>
      <c r="H45" s="754">
        <f>'JSO (t)'!$I$47</f>
        <v>6.4999999999999997E-3</v>
      </c>
      <c r="I45" s="755">
        <f>SUM(F45:H45)</f>
        <v>6.6200000000000009E-2</v>
      </c>
      <c r="J45" s="752"/>
      <c r="K45" s="751"/>
      <c r="L45" s="751"/>
      <c r="M45" s="682">
        <f>SUM(J45:L45)</f>
        <v>0</v>
      </c>
      <c r="N45" s="752"/>
      <c r="O45" s="751"/>
      <c r="P45" s="751"/>
      <c r="Q45" s="682">
        <f>SUM(N45:P45)</f>
        <v>0</v>
      </c>
      <c r="R45" s="681">
        <f t="shared" si="4"/>
        <v>4.2099999999999999E-2</v>
      </c>
      <c r="S45" s="571">
        <f t="shared" si="4"/>
        <v>1.7600000000000001E-2</v>
      </c>
      <c r="T45" s="571">
        <f t="shared" si="4"/>
        <v>6.4999999999999997E-3</v>
      </c>
      <c r="U45" s="682">
        <f>SUM(R45:T45)</f>
        <v>6.6200000000000009E-2</v>
      </c>
    </row>
    <row r="46" spans="1:21" outlineLevel="1" x14ac:dyDescent="0.25">
      <c r="B46" s="562"/>
      <c r="C46" s="563" t="s">
        <v>581</v>
      </c>
      <c r="D46" s="563"/>
      <c r="E46" s="563" t="s">
        <v>292</v>
      </c>
      <c r="F46" s="756">
        <f>'DUoS (t)'!$K$47</f>
        <v>2.63E-2</v>
      </c>
      <c r="G46" s="757">
        <f>'TUoS (t)'!$K$47</f>
        <v>1.0999999999999999E-2</v>
      </c>
      <c r="H46" s="757">
        <f>'JSO (t)'!$K$47</f>
        <v>4.1000000000000003E-3</v>
      </c>
      <c r="I46" s="758">
        <f>SUM(F46:H46)</f>
        <v>4.1399999999999999E-2</v>
      </c>
      <c r="J46" s="576"/>
      <c r="K46" s="577"/>
      <c r="L46" s="577"/>
      <c r="M46" s="574">
        <f>SUM(J46:L46)</f>
        <v>0</v>
      </c>
      <c r="N46" s="576"/>
      <c r="O46" s="577"/>
      <c r="P46" s="577"/>
      <c r="Q46" s="574">
        <f>SUM(N46:P46)</f>
        <v>0</v>
      </c>
      <c r="R46" s="572">
        <f t="shared" si="4"/>
        <v>2.63E-2</v>
      </c>
      <c r="S46" s="573">
        <f t="shared" si="4"/>
        <v>1.0999999999999999E-2</v>
      </c>
      <c r="T46" s="573">
        <f t="shared" si="4"/>
        <v>4.1000000000000003E-3</v>
      </c>
      <c r="U46" s="574">
        <f>SUM(R46:T46)</f>
        <v>4.1399999999999999E-2</v>
      </c>
    </row>
    <row r="47" spans="1:21" outlineLevel="1" x14ac:dyDescent="0.25">
      <c r="B47" s="578"/>
      <c r="C47" s="578"/>
      <c r="D47" s="578"/>
      <c r="E47" s="578"/>
      <c r="F47" s="754"/>
      <c r="G47" s="754"/>
      <c r="H47" s="754"/>
      <c r="I47" s="754"/>
      <c r="J47" s="571"/>
      <c r="K47" s="571"/>
      <c r="L47" s="571"/>
      <c r="M47" s="571"/>
      <c r="N47" s="571"/>
      <c r="O47" s="571"/>
      <c r="P47" s="571"/>
      <c r="Q47" s="571"/>
      <c r="R47" s="571"/>
      <c r="S47" s="571"/>
      <c r="T47" s="571"/>
      <c r="U47" s="571"/>
    </row>
    <row r="48" spans="1:21" outlineLevel="1" x14ac:dyDescent="0.25">
      <c r="A48" s="575" t="s">
        <v>679</v>
      </c>
      <c r="F48" s="760"/>
      <c r="G48" s="760"/>
      <c r="H48" s="760"/>
      <c r="I48" s="760"/>
      <c r="J48" s="764"/>
      <c r="K48" s="764"/>
      <c r="L48" s="764"/>
      <c r="M48" s="764"/>
      <c r="N48" s="764"/>
      <c r="O48" s="764"/>
      <c r="P48" s="764"/>
      <c r="Q48" s="764"/>
      <c r="R48" s="764"/>
      <c r="S48" s="764"/>
      <c r="T48" s="764"/>
      <c r="U48" s="764"/>
    </row>
    <row r="49" spans="1:21" outlineLevel="1" x14ac:dyDescent="0.25">
      <c r="B49" s="558"/>
      <c r="C49" s="559"/>
      <c r="D49" s="559"/>
      <c r="E49" s="559" t="s">
        <v>319</v>
      </c>
      <c r="F49" s="761"/>
      <c r="G49" s="762"/>
      <c r="H49" s="762"/>
      <c r="I49" s="763"/>
      <c r="J49" s="568"/>
      <c r="K49" s="569"/>
      <c r="L49" s="569"/>
      <c r="M49" s="570"/>
      <c r="N49" s="568"/>
      <c r="O49" s="569"/>
      <c r="P49" s="569"/>
      <c r="Q49" s="570"/>
      <c r="R49" s="568"/>
      <c r="S49" s="569"/>
      <c r="T49" s="569"/>
      <c r="U49" s="570"/>
    </row>
    <row r="50" spans="1:21" outlineLevel="1" x14ac:dyDescent="0.25">
      <c r="B50" s="560"/>
      <c r="C50" s="561" t="s">
        <v>382</v>
      </c>
      <c r="D50" s="561"/>
      <c r="E50" s="561" t="s">
        <v>291</v>
      </c>
      <c r="F50" s="753">
        <f>('DUoS (t)'!$G$47)*1</f>
        <v>6.8493000000000004</v>
      </c>
      <c r="G50" s="754">
        <f>('TUoS (t)'!$G$47)*1</f>
        <v>0</v>
      </c>
      <c r="H50" s="754">
        <f>('JSO (t)'!$G$47)*1</f>
        <v>0</v>
      </c>
      <c r="I50" s="755">
        <f>SUM(F50:H50)</f>
        <v>6.8493000000000004</v>
      </c>
      <c r="J50" s="752"/>
      <c r="K50" s="751"/>
      <c r="L50" s="751"/>
      <c r="M50" s="682">
        <f>SUM(J50:L50)</f>
        <v>0</v>
      </c>
      <c r="N50" s="752">
        <f>6*F50</f>
        <v>41.095800000000004</v>
      </c>
      <c r="O50" s="751"/>
      <c r="P50" s="751"/>
      <c r="Q50" s="682">
        <f>SUM(N50:P50)</f>
        <v>41.095800000000004</v>
      </c>
      <c r="R50" s="681">
        <f t="shared" ref="R50:T54" si="5">SUM(F50,J50,N50)</f>
        <v>47.945100000000004</v>
      </c>
      <c r="S50" s="571">
        <f t="shared" si="5"/>
        <v>0</v>
      </c>
      <c r="T50" s="571">
        <f t="shared" si="5"/>
        <v>0</v>
      </c>
      <c r="U50" s="682">
        <f>SUM(R50:T50)</f>
        <v>47.945100000000004</v>
      </c>
    </row>
    <row r="51" spans="1:21" outlineLevel="1" x14ac:dyDescent="0.25">
      <c r="B51" s="560"/>
      <c r="C51" s="561" t="s">
        <v>383</v>
      </c>
      <c r="D51" s="561">
        <v>4</v>
      </c>
      <c r="E51" s="561" t="s">
        <v>298</v>
      </c>
      <c r="F51" s="753">
        <f>'DUoS (t)'!$S$47</f>
        <v>0.14499999999999999</v>
      </c>
      <c r="G51" s="754">
        <f>'TUoS (t)'!$S$47</f>
        <v>0.10829999999999999</v>
      </c>
      <c r="H51" s="754">
        <f>'JSO (t)'!$S$47</f>
        <v>0</v>
      </c>
      <c r="I51" s="755">
        <f>SUM(F51:H51)</f>
        <v>0.25329999999999997</v>
      </c>
      <c r="J51" s="752"/>
      <c r="K51" s="751"/>
      <c r="L51" s="751"/>
      <c r="M51" s="682">
        <f>SUM(J51:L51)</f>
        <v>0</v>
      </c>
      <c r="N51" s="752"/>
      <c r="O51" s="751"/>
      <c r="P51" s="751"/>
      <c r="Q51" s="682">
        <f>SUM(N51:P51)</f>
        <v>0</v>
      </c>
      <c r="R51" s="681">
        <f t="shared" si="5"/>
        <v>0.14499999999999999</v>
      </c>
      <c r="S51" s="571">
        <f t="shared" si="5"/>
        <v>0.10829999999999999</v>
      </c>
      <c r="T51" s="571">
        <f t="shared" si="5"/>
        <v>0</v>
      </c>
      <c r="U51" s="682">
        <f>SUM(R51:T51)</f>
        <v>0.25329999999999997</v>
      </c>
    </row>
    <row r="52" spans="1:21" outlineLevel="1" x14ac:dyDescent="0.25">
      <c r="B52" s="560"/>
      <c r="C52" s="561" t="s">
        <v>384</v>
      </c>
      <c r="D52" s="561">
        <v>4</v>
      </c>
      <c r="E52" s="561" t="s">
        <v>298</v>
      </c>
      <c r="F52" s="753">
        <f>'DUoS (t)'!$T$47</f>
        <v>0.1036</v>
      </c>
      <c r="G52" s="754">
        <f>'TUoS (t)'!$T$47</f>
        <v>0</v>
      </c>
      <c r="H52" s="754">
        <f>'JSO (t)'!$T$47</f>
        <v>0</v>
      </c>
      <c r="I52" s="755">
        <f>SUM(F52:H52)</f>
        <v>0.1036</v>
      </c>
      <c r="J52" s="752"/>
      <c r="K52" s="751"/>
      <c r="L52" s="751"/>
      <c r="M52" s="682">
        <f>SUM(J52:L52)</f>
        <v>0</v>
      </c>
      <c r="N52" s="752"/>
      <c r="O52" s="751"/>
      <c r="P52" s="751"/>
      <c r="Q52" s="682">
        <f>SUM(N52:P52)</f>
        <v>0</v>
      </c>
      <c r="R52" s="681">
        <f t="shared" si="5"/>
        <v>0.1036</v>
      </c>
      <c r="S52" s="571">
        <f t="shared" si="5"/>
        <v>0</v>
      </c>
      <c r="T52" s="571">
        <f t="shared" si="5"/>
        <v>0</v>
      </c>
      <c r="U52" s="682">
        <f>SUM(R52:T52)</f>
        <v>0.1036</v>
      </c>
    </row>
    <row r="53" spans="1:21" outlineLevel="1" x14ac:dyDescent="0.25">
      <c r="B53" s="560"/>
      <c r="C53" s="561" t="s">
        <v>580</v>
      </c>
      <c r="D53" s="561"/>
      <c r="E53" s="561" t="s">
        <v>292</v>
      </c>
      <c r="F53" s="753">
        <f>'DUoS (t)'!$I$47</f>
        <v>4.2099999999999999E-2</v>
      </c>
      <c r="G53" s="754">
        <f>'TUoS (t)'!$I$47</f>
        <v>1.7600000000000001E-2</v>
      </c>
      <c r="H53" s="754">
        <f>'JSO (t)'!$I$47</f>
        <v>6.4999999999999997E-3</v>
      </c>
      <c r="I53" s="755">
        <f>SUM(F53:H53)</f>
        <v>6.6200000000000009E-2</v>
      </c>
      <c r="J53" s="752"/>
      <c r="K53" s="751"/>
      <c r="L53" s="751"/>
      <c r="M53" s="682">
        <f>SUM(J53:L53)</f>
        <v>0</v>
      </c>
      <c r="N53" s="752"/>
      <c r="O53" s="751"/>
      <c r="P53" s="751"/>
      <c r="Q53" s="682">
        <f>SUM(N53:P53)</f>
        <v>0</v>
      </c>
      <c r="R53" s="681">
        <f t="shared" si="5"/>
        <v>4.2099999999999999E-2</v>
      </c>
      <c r="S53" s="571">
        <f t="shared" si="5"/>
        <v>1.7600000000000001E-2</v>
      </c>
      <c r="T53" s="571">
        <f t="shared" si="5"/>
        <v>6.4999999999999997E-3</v>
      </c>
      <c r="U53" s="682">
        <f>SUM(R53:T53)</f>
        <v>6.6200000000000009E-2</v>
      </c>
    </row>
    <row r="54" spans="1:21" outlineLevel="1" x14ac:dyDescent="0.25">
      <c r="B54" s="562"/>
      <c r="C54" s="563" t="s">
        <v>581</v>
      </c>
      <c r="D54" s="563"/>
      <c r="E54" s="563" t="s">
        <v>292</v>
      </c>
      <c r="F54" s="756">
        <f>'DUoS (t)'!$K$47</f>
        <v>2.63E-2</v>
      </c>
      <c r="G54" s="757">
        <f>'TUoS (t)'!$K$47</f>
        <v>1.0999999999999999E-2</v>
      </c>
      <c r="H54" s="757">
        <f>'JSO (t)'!$K$47</f>
        <v>4.1000000000000003E-3</v>
      </c>
      <c r="I54" s="758">
        <f>SUM(F54:H54)</f>
        <v>4.1399999999999999E-2</v>
      </c>
      <c r="J54" s="576"/>
      <c r="K54" s="577"/>
      <c r="L54" s="577"/>
      <c r="M54" s="574">
        <f>SUM(J54:L54)</f>
        <v>0</v>
      </c>
      <c r="N54" s="576"/>
      <c r="O54" s="577"/>
      <c r="P54" s="577"/>
      <c r="Q54" s="574">
        <f>SUM(N54:P54)</f>
        <v>0</v>
      </c>
      <c r="R54" s="572">
        <f t="shared" si="5"/>
        <v>2.63E-2</v>
      </c>
      <c r="S54" s="573">
        <f t="shared" si="5"/>
        <v>1.0999999999999999E-2</v>
      </c>
      <c r="T54" s="573">
        <f t="shared" si="5"/>
        <v>4.1000000000000003E-3</v>
      </c>
      <c r="U54" s="574">
        <f>SUM(R54:T54)</f>
        <v>4.1399999999999999E-2</v>
      </c>
    </row>
    <row r="55" spans="1:21" outlineLevel="1" x14ac:dyDescent="0.25">
      <c r="F55" s="759"/>
      <c r="G55" s="759"/>
      <c r="H55" s="759"/>
      <c r="I55" s="759"/>
    </row>
    <row r="56" spans="1:21" outlineLevel="1" x14ac:dyDescent="0.25">
      <c r="A56" s="575" t="s">
        <v>590</v>
      </c>
      <c r="F56" s="760"/>
      <c r="G56" s="760"/>
      <c r="H56" s="760"/>
      <c r="I56" s="760"/>
      <c r="J56" s="764"/>
      <c r="K56" s="764"/>
      <c r="L56" s="764"/>
      <c r="M56" s="764"/>
      <c r="N56" s="764"/>
      <c r="O56" s="764"/>
      <c r="P56" s="764"/>
      <c r="Q56" s="764"/>
      <c r="R56" s="764"/>
      <c r="S56" s="764"/>
      <c r="T56" s="764"/>
      <c r="U56" s="764"/>
    </row>
    <row r="57" spans="1:21" outlineLevel="1" x14ac:dyDescent="0.25">
      <c r="B57" s="558"/>
      <c r="C57" s="559"/>
      <c r="D57" s="559"/>
      <c r="E57" s="559" t="s">
        <v>319</v>
      </c>
      <c r="F57" s="761"/>
      <c r="G57" s="762"/>
      <c r="H57" s="762"/>
      <c r="I57" s="763"/>
      <c r="J57" s="568"/>
      <c r="K57" s="569"/>
      <c r="L57" s="569"/>
      <c r="M57" s="570"/>
      <c r="N57" s="568"/>
      <c r="O57" s="569"/>
      <c r="P57" s="569"/>
      <c r="Q57" s="570"/>
      <c r="R57" s="568"/>
      <c r="S57" s="569"/>
      <c r="T57" s="569"/>
      <c r="U57" s="570"/>
    </row>
    <row r="58" spans="1:21" outlineLevel="1" x14ac:dyDescent="0.25">
      <c r="B58" s="560"/>
      <c r="C58" s="561" t="s">
        <v>382</v>
      </c>
      <c r="D58" s="561"/>
      <c r="E58" s="561" t="s">
        <v>291</v>
      </c>
      <c r="F58" s="753">
        <f>('DUoS (t)'!$G$47)*1</f>
        <v>6.8493000000000004</v>
      </c>
      <c r="G58" s="754">
        <f>('TUoS (t)'!$G$47)*1</f>
        <v>0</v>
      </c>
      <c r="H58" s="754">
        <f>('JSO (t)'!$G$47)*1</f>
        <v>0</v>
      </c>
      <c r="I58" s="755">
        <f>SUM(F58:H58)</f>
        <v>6.8493000000000004</v>
      </c>
      <c r="J58" s="752"/>
      <c r="K58" s="751"/>
      <c r="L58" s="751"/>
      <c r="M58" s="682">
        <f>SUM(J58:L58)</f>
        <v>0</v>
      </c>
      <c r="N58" s="752">
        <f>2*F58</f>
        <v>13.698600000000001</v>
      </c>
      <c r="O58" s="751"/>
      <c r="P58" s="751"/>
      <c r="Q58" s="682">
        <f>SUM(N58:P58)</f>
        <v>13.698600000000001</v>
      </c>
      <c r="R58" s="681">
        <f t="shared" ref="R58:T62" si="6">SUM(F58,J58,N58)</f>
        <v>20.547900000000002</v>
      </c>
      <c r="S58" s="571">
        <f t="shared" si="6"/>
        <v>0</v>
      </c>
      <c r="T58" s="571">
        <f t="shared" si="6"/>
        <v>0</v>
      </c>
      <c r="U58" s="682">
        <f>SUM(R58:T58)</f>
        <v>20.547900000000002</v>
      </c>
    </row>
    <row r="59" spans="1:21" outlineLevel="1" x14ac:dyDescent="0.25">
      <c r="B59" s="560"/>
      <c r="C59" s="561" t="s">
        <v>383</v>
      </c>
      <c r="D59" s="561">
        <v>4</v>
      </c>
      <c r="E59" s="561" t="s">
        <v>298</v>
      </c>
      <c r="F59" s="753">
        <f>'DUoS (t)'!$S$47</f>
        <v>0.14499999999999999</v>
      </c>
      <c r="G59" s="754">
        <f>'TUoS (t)'!$S$47</f>
        <v>0.10829999999999999</v>
      </c>
      <c r="H59" s="754">
        <f>'JSO (t)'!$S$47</f>
        <v>0</v>
      </c>
      <c r="I59" s="755">
        <f>SUM(F59:H59)</f>
        <v>0.25329999999999997</v>
      </c>
      <c r="J59" s="752"/>
      <c r="K59" s="751"/>
      <c r="L59" s="751"/>
      <c r="M59" s="682">
        <f>SUM(J59:L59)</f>
        <v>0</v>
      </c>
      <c r="N59" s="752"/>
      <c r="O59" s="751"/>
      <c r="P59" s="751"/>
      <c r="Q59" s="682">
        <f>SUM(N59:P59)</f>
        <v>0</v>
      </c>
      <c r="R59" s="681">
        <f t="shared" si="6"/>
        <v>0.14499999999999999</v>
      </c>
      <c r="S59" s="571">
        <f t="shared" si="6"/>
        <v>0.10829999999999999</v>
      </c>
      <c r="T59" s="571">
        <f t="shared" si="6"/>
        <v>0</v>
      </c>
      <c r="U59" s="682">
        <f>SUM(R59:T59)</f>
        <v>0.25329999999999997</v>
      </c>
    </row>
    <row r="60" spans="1:21" outlineLevel="1" x14ac:dyDescent="0.25">
      <c r="B60" s="560"/>
      <c r="C60" s="561" t="s">
        <v>384</v>
      </c>
      <c r="D60" s="561">
        <v>4</v>
      </c>
      <c r="E60" s="561" t="s">
        <v>298</v>
      </c>
      <c r="F60" s="753">
        <f>'DUoS (t)'!$T$47</f>
        <v>0.1036</v>
      </c>
      <c r="G60" s="754">
        <f>'TUoS (t)'!$T$47</f>
        <v>0</v>
      </c>
      <c r="H60" s="754">
        <f>'JSO (t)'!$T$47</f>
        <v>0</v>
      </c>
      <c r="I60" s="755">
        <f>SUM(F60:H60)</f>
        <v>0.1036</v>
      </c>
      <c r="J60" s="752"/>
      <c r="K60" s="751"/>
      <c r="L60" s="751"/>
      <c r="M60" s="682">
        <f>SUM(J60:L60)</f>
        <v>0</v>
      </c>
      <c r="N60" s="752"/>
      <c r="O60" s="751"/>
      <c r="P60" s="751"/>
      <c r="Q60" s="682">
        <f>SUM(N60:P60)</f>
        <v>0</v>
      </c>
      <c r="R60" s="681">
        <f t="shared" si="6"/>
        <v>0.1036</v>
      </c>
      <c r="S60" s="571">
        <f t="shared" si="6"/>
        <v>0</v>
      </c>
      <c r="T60" s="571">
        <f t="shared" si="6"/>
        <v>0</v>
      </c>
      <c r="U60" s="682">
        <f>SUM(R60:T60)</f>
        <v>0.1036</v>
      </c>
    </row>
    <row r="61" spans="1:21" outlineLevel="1" x14ac:dyDescent="0.25">
      <c r="B61" s="560"/>
      <c r="C61" s="561" t="s">
        <v>580</v>
      </c>
      <c r="D61" s="561"/>
      <c r="E61" s="561" t="s">
        <v>292</v>
      </c>
      <c r="F61" s="753">
        <f>'DUoS (t)'!$I$47</f>
        <v>4.2099999999999999E-2</v>
      </c>
      <c r="G61" s="754">
        <f>'TUoS (t)'!$I$47</f>
        <v>1.7600000000000001E-2</v>
      </c>
      <c r="H61" s="754">
        <f>'JSO (t)'!$I$47</f>
        <v>6.4999999999999997E-3</v>
      </c>
      <c r="I61" s="755">
        <f>SUM(F61:H61)</f>
        <v>6.6200000000000009E-2</v>
      </c>
      <c r="J61" s="752"/>
      <c r="K61" s="751"/>
      <c r="L61" s="751"/>
      <c r="M61" s="682">
        <f>SUM(J61:L61)</f>
        <v>0</v>
      </c>
      <c r="N61" s="752"/>
      <c r="O61" s="751"/>
      <c r="P61" s="751"/>
      <c r="Q61" s="682">
        <f>SUM(N61:P61)</f>
        <v>0</v>
      </c>
      <c r="R61" s="681">
        <f t="shared" si="6"/>
        <v>4.2099999999999999E-2</v>
      </c>
      <c r="S61" s="571">
        <f t="shared" si="6"/>
        <v>1.7600000000000001E-2</v>
      </c>
      <c r="T61" s="571">
        <f t="shared" si="6"/>
        <v>6.4999999999999997E-3</v>
      </c>
      <c r="U61" s="682">
        <f>SUM(R61:T61)</f>
        <v>6.6200000000000009E-2</v>
      </c>
    </row>
    <row r="62" spans="1:21" outlineLevel="1" x14ac:dyDescent="0.25">
      <c r="B62" s="562"/>
      <c r="C62" s="563" t="s">
        <v>581</v>
      </c>
      <c r="D62" s="563"/>
      <c r="E62" s="563" t="s">
        <v>292</v>
      </c>
      <c r="F62" s="756">
        <f>'DUoS (t)'!$K$47</f>
        <v>2.63E-2</v>
      </c>
      <c r="G62" s="757">
        <f>'TUoS (t)'!$K$47</f>
        <v>1.0999999999999999E-2</v>
      </c>
      <c r="H62" s="757">
        <f>'JSO (t)'!$K$47</f>
        <v>4.1000000000000003E-3</v>
      </c>
      <c r="I62" s="758">
        <f>SUM(F62:H62)</f>
        <v>4.1399999999999999E-2</v>
      </c>
      <c r="J62" s="576"/>
      <c r="K62" s="577"/>
      <c r="L62" s="577"/>
      <c r="M62" s="574">
        <f>SUM(J62:L62)</f>
        <v>0</v>
      </c>
      <c r="N62" s="576"/>
      <c r="O62" s="577"/>
      <c r="P62" s="577"/>
      <c r="Q62" s="574">
        <f>SUM(N62:P62)</f>
        <v>0</v>
      </c>
      <c r="R62" s="572">
        <f t="shared" si="6"/>
        <v>2.63E-2</v>
      </c>
      <c r="S62" s="573">
        <f t="shared" si="6"/>
        <v>1.0999999999999999E-2</v>
      </c>
      <c r="T62" s="573">
        <f t="shared" si="6"/>
        <v>4.1000000000000003E-3</v>
      </c>
      <c r="U62" s="574">
        <f>SUM(R62:T62)</f>
        <v>4.1399999999999999E-2</v>
      </c>
    </row>
    <row r="63" spans="1:21" outlineLevel="1" x14ac:dyDescent="0.25">
      <c r="B63" s="578"/>
      <c r="C63" s="578"/>
      <c r="D63" s="578"/>
      <c r="E63" s="578"/>
      <c r="F63" s="754"/>
      <c r="G63" s="754"/>
      <c r="H63" s="754"/>
      <c r="I63" s="754"/>
      <c r="J63" s="571"/>
      <c r="K63" s="571"/>
      <c r="L63" s="571"/>
      <c r="M63" s="571"/>
      <c r="N63" s="571"/>
      <c r="O63" s="571"/>
      <c r="P63" s="571"/>
      <c r="Q63" s="571"/>
      <c r="R63" s="571"/>
      <c r="S63" s="571"/>
      <c r="T63" s="571"/>
      <c r="U63" s="571"/>
    </row>
    <row r="64" spans="1:21" outlineLevel="1" x14ac:dyDescent="0.25">
      <c r="A64" s="575" t="s">
        <v>592</v>
      </c>
      <c r="F64" s="760"/>
      <c r="G64" s="760"/>
      <c r="H64" s="760"/>
      <c r="I64" s="760"/>
      <c r="J64" s="764"/>
      <c r="K64" s="764"/>
      <c r="L64" s="764"/>
      <c r="M64" s="764"/>
      <c r="N64" s="764"/>
      <c r="O64" s="764"/>
      <c r="P64" s="764"/>
      <c r="Q64" s="764"/>
      <c r="R64" s="764"/>
      <c r="S64" s="764"/>
      <c r="T64" s="764"/>
      <c r="U64" s="764"/>
    </row>
    <row r="65" spans="1:21" outlineLevel="1" x14ac:dyDescent="0.25">
      <c r="B65" s="558"/>
      <c r="C65" s="559"/>
      <c r="D65" s="559"/>
      <c r="E65" s="559" t="s">
        <v>319</v>
      </c>
      <c r="F65" s="761"/>
      <c r="G65" s="762"/>
      <c r="H65" s="762"/>
      <c r="I65" s="763"/>
      <c r="J65" s="568"/>
      <c r="K65" s="569"/>
      <c r="L65" s="569"/>
      <c r="M65" s="570"/>
      <c r="N65" s="568"/>
      <c r="O65" s="569"/>
      <c r="P65" s="569"/>
      <c r="Q65" s="570"/>
      <c r="R65" s="568"/>
      <c r="S65" s="569"/>
      <c r="T65" s="569"/>
      <c r="U65" s="570"/>
    </row>
    <row r="66" spans="1:21" outlineLevel="1" x14ac:dyDescent="0.25">
      <c r="B66" s="560"/>
      <c r="C66" s="561" t="s">
        <v>382</v>
      </c>
      <c r="D66" s="561"/>
      <c r="E66" s="561" t="s">
        <v>291</v>
      </c>
      <c r="F66" s="753">
        <f>('DUoS (t)'!$G$47)*1</f>
        <v>6.8493000000000004</v>
      </c>
      <c r="G66" s="754">
        <f>('TUoS (t)'!$G$47)*1</f>
        <v>0</v>
      </c>
      <c r="H66" s="754">
        <f>('JSO (t)'!$G$47)*1</f>
        <v>0</v>
      </c>
      <c r="I66" s="755">
        <f>SUM(F66:H66)</f>
        <v>6.8493000000000004</v>
      </c>
      <c r="J66" s="752"/>
      <c r="K66" s="751"/>
      <c r="L66" s="751"/>
      <c r="M66" s="682">
        <f>SUM(J66:L66)</f>
        <v>0</v>
      </c>
      <c r="N66" s="752">
        <f>1*F66</f>
        <v>6.8493000000000004</v>
      </c>
      <c r="O66" s="751"/>
      <c r="P66" s="751"/>
      <c r="Q66" s="682">
        <f>SUM(N66:P66)</f>
        <v>6.8493000000000004</v>
      </c>
      <c r="R66" s="681">
        <f t="shared" ref="R66:T70" si="7">SUM(F66,J66,N66)</f>
        <v>13.698600000000001</v>
      </c>
      <c r="S66" s="571">
        <f t="shared" si="7"/>
        <v>0</v>
      </c>
      <c r="T66" s="571">
        <f t="shared" si="7"/>
        <v>0</v>
      </c>
      <c r="U66" s="682">
        <f>SUM(R66:T66)</f>
        <v>13.698600000000001</v>
      </c>
    </row>
    <row r="67" spans="1:21" outlineLevel="1" x14ac:dyDescent="0.25">
      <c r="B67" s="560"/>
      <c r="C67" s="561" t="s">
        <v>383</v>
      </c>
      <c r="D67" s="561">
        <v>4</v>
      </c>
      <c r="E67" s="561" t="s">
        <v>298</v>
      </c>
      <c r="F67" s="753">
        <f>'DUoS (t)'!$S$47</f>
        <v>0.14499999999999999</v>
      </c>
      <c r="G67" s="754">
        <f>'TUoS (t)'!$S$47</f>
        <v>0.10829999999999999</v>
      </c>
      <c r="H67" s="754">
        <f>'JSO (t)'!$S$47</f>
        <v>0</v>
      </c>
      <c r="I67" s="755">
        <f>SUM(F67:H67)</f>
        <v>0.25329999999999997</v>
      </c>
      <c r="J67" s="752"/>
      <c r="K67" s="751"/>
      <c r="L67" s="751"/>
      <c r="M67" s="682">
        <f>SUM(J67:L67)</f>
        <v>0</v>
      </c>
      <c r="N67" s="752"/>
      <c r="O67" s="751"/>
      <c r="P67" s="751"/>
      <c r="Q67" s="682">
        <f>SUM(N67:P67)</f>
        <v>0</v>
      </c>
      <c r="R67" s="681">
        <f t="shared" si="7"/>
        <v>0.14499999999999999</v>
      </c>
      <c r="S67" s="571">
        <f t="shared" si="7"/>
        <v>0.10829999999999999</v>
      </c>
      <c r="T67" s="571">
        <f t="shared" si="7"/>
        <v>0</v>
      </c>
      <c r="U67" s="682">
        <f>SUM(R67:T67)</f>
        <v>0.25329999999999997</v>
      </c>
    </row>
    <row r="68" spans="1:21" outlineLevel="1" x14ac:dyDescent="0.25">
      <c r="B68" s="560"/>
      <c r="C68" s="561" t="s">
        <v>384</v>
      </c>
      <c r="D68" s="561">
        <v>4</v>
      </c>
      <c r="E68" s="561" t="s">
        <v>298</v>
      </c>
      <c r="F68" s="753">
        <f>'DUoS (t)'!$T$47</f>
        <v>0.1036</v>
      </c>
      <c r="G68" s="754">
        <f>'TUoS (t)'!$T$47</f>
        <v>0</v>
      </c>
      <c r="H68" s="754">
        <f>'JSO (t)'!$T$47</f>
        <v>0</v>
      </c>
      <c r="I68" s="755">
        <f>SUM(F68:H68)</f>
        <v>0.1036</v>
      </c>
      <c r="J68" s="752"/>
      <c r="K68" s="751"/>
      <c r="L68" s="751"/>
      <c r="M68" s="682">
        <f>SUM(J68:L68)</f>
        <v>0</v>
      </c>
      <c r="N68" s="752"/>
      <c r="O68" s="751"/>
      <c r="P68" s="751"/>
      <c r="Q68" s="682">
        <f>SUM(N68:P68)</f>
        <v>0</v>
      </c>
      <c r="R68" s="681">
        <f t="shared" si="7"/>
        <v>0.1036</v>
      </c>
      <c r="S68" s="571">
        <f t="shared" si="7"/>
        <v>0</v>
      </c>
      <c r="T68" s="571">
        <f t="shared" si="7"/>
        <v>0</v>
      </c>
      <c r="U68" s="682">
        <f>SUM(R68:T68)</f>
        <v>0.1036</v>
      </c>
    </row>
    <row r="69" spans="1:21" outlineLevel="1" x14ac:dyDescent="0.25">
      <c r="B69" s="560"/>
      <c r="C69" s="561" t="s">
        <v>580</v>
      </c>
      <c r="D69" s="561"/>
      <c r="E69" s="561" t="s">
        <v>292</v>
      </c>
      <c r="F69" s="753">
        <f>'DUoS (t)'!$I$47</f>
        <v>4.2099999999999999E-2</v>
      </c>
      <c r="G69" s="754">
        <f>'TUoS (t)'!$I$47</f>
        <v>1.7600000000000001E-2</v>
      </c>
      <c r="H69" s="754">
        <f>'JSO (t)'!$I$47</f>
        <v>6.4999999999999997E-3</v>
      </c>
      <c r="I69" s="755">
        <f>SUM(F69:H69)</f>
        <v>6.6200000000000009E-2</v>
      </c>
      <c r="J69" s="752"/>
      <c r="K69" s="751"/>
      <c r="L69" s="751"/>
      <c r="M69" s="682">
        <f>SUM(J69:L69)</f>
        <v>0</v>
      </c>
      <c r="N69" s="752"/>
      <c r="O69" s="751"/>
      <c r="P69" s="751"/>
      <c r="Q69" s="682">
        <f>SUM(N69:P69)</f>
        <v>0</v>
      </c>
      <c r="R69" s="681">
        <f t="shared" si="7"/>
        <v>4.2099999999999999E-2</v>
      </c>
      <c r="S69" s="571">
        <f t="shared" si="7"/>
        <v>1.7600000000000001E-2</v>
      </c>
      <c r="T69" s="571">
        <f t="shared" si="7"/>
        <v>6.4999999999999997E-3</v>
      </c>
      <c r="U69" s="682">
        <f>SUM(R69:T69)</f>
        <v>6.6200000000000009E-2</v>
      </c>
    </row>
    <row r="70" spans="1:21" outlineLevel="1" x14ac:dyDescent="0.25">
      <c r="B70" s="562"/>
      <c r="C70" s="563" t="s">
        <v>581</v>
      </c>
      <c r="D70" s="563"/>
      <c r="E70" s="563" t="s">
        <v>292</v>
      </c>
      <c r="F70" s="756">
        <f>'DUoS (t)'!$K$47</f>
        <v>2.63E-2</v>
      </c>
      <c r="G70" s="757">
        <f>'TUoS (t)'!$K$47</f>
        <v>1.0999999999999999E-2</v>
      </c>
      <c r="H70" s="757">
        <f>'JSO (t)'!$K$47</f>
        <v>4.1000000000000003E-3</v>
      </c>
      <c r="I70" s="758">
        <f>SUM(F70:H70)</f>
        <v>4.1399999999999999E-2</v>
      </c>
      <c r="J70" s="576"/>
      <c r="K70" s="577"/>
      <c r="L70" s="577"/>
      <c r="M70" s="574">
        <f>SUM(J70:L70)</f>
        <v>0</v>
      </c>
      <c r="N70" s="576"/>
      <c r="O70" s="577"/>
      <c r="P70" s="577"/>
      <c r="Q70" s="574">
        <f>SUM(N70:P70)</f>
        <v>0</v>
      </c>
      <c r="R70" s="572">
        <f t="shared" si="7"/>
        <v>2.63E-2</v>
      </c>
      <c r="S70" s="573">
        <f t="shared" si="7"/>
        <v>1.0999999999999999E-2</v>
      </c>
      <c r="T70" s="573">
        <f t="shared" si="7"/>
        <v>4.1000000000000003E-3</v>
      </c>
      <c r="U70" s="574">
        <f>SUM(R70:T70)</f>
        <v>4.1399999999999999E-2</v>
      </c>
    </row>
    <row r="71" spans="1:21" outlineLevel="1" x14ac:dyDescent="0.25">
      <c r="F71" s="759"/>
      <c r="G71" s="759"/>
      <c r="H71" s="759"/>
      <c r="I71" s="759"/>
    </row>
    <row r="72" spans="1:21" outlineLevel="1" x14ac:dyDescent="0.25">
      <c r="A72" s="575" t="s">
        <v>593</v>
      </c>
      <c r="F72" s="760"/>
      <c r="G72" s="760"/>
      <c r="H72" s="760"/>
      <c r="I72" s="760"/>
      <c r="J72" s="764"/>
      <c r="K72" s="764"/>
      <c r="L72" s="764"/>
      <c r="M72" s="764"/>
      <c r="N72" s="764"/>
      <c r="O72" s="764"/>
      <c r="P72" s="764"/>
      <c r="Q72" s="764"/>
      <c r="R72" s="764"/>
      <c r="S72" s="764"/>
      <c r="T72" s="764"/>
      <c r="U72" s="764"/>
    </row>
    <row r="73" spans="1:21" outlineLevel="1" x14ac:dyDescent="0.25">
      <c r="B73" s="558"/>
      <c r="C73" s="559"/>
      <c r="D73" s="559"/>
      <c r="E73" s="559" t="s">
        <v>319</v>
      </c>
      <c r="F73" s="761"/>
      <c r="G73" s="762"/>
      <c r="H73" s="762"/>
      <c r="I73" s="763"/>
      <c r="J73" s="568"/>
      <c r="K73" s="569"/>
      <c r="L73" s="569"/>
      <c r="M73" s="570"/>
      <c r="N73" s="568"/>
      <c r="O73" s="569"/>
      <c r="P73" s="569"/>
      <c r="Q73" s="570"/>
      <c r="R73" s="568"/>
      <c r="S73" s="569"/>
      <c r="T73" s="569"/>
      <c r="U73" s="570"/>
    </row>
    <row r="74" spans="1:21" outlineLevel="1" x14ac:dyDescent="0.25">
      <c r="B74" s="560"/>
      <c r="C74" s="561" t="s">
        <v>382</v>
      </c>
      <c r="D74" s="561"/>
      <c r="E74" s="561" t="s">
        <v>291</v>
      </c>
      <c r="F74" s="753">
        <f>('DUoS (t)'!$G$47)*1</f>
        <v>6.8493000000000004</v>
      </c>
      <c r="G74" s="754">
        <f>('TUoS (t)'!$G$47)*1</f>
        <v>0</v>
      </c>
      <c r="H74" s="754">
        <f>('JSO (t)'!$G$47)*1</f>
        <v>0</v>
      </c>
      <c r="I74" s="755">
        <f>SUM(F74:H74)</f>
        <v>6.8493000000000004</v>
      </c>
      <c r="J74" s="752"/>
      <c r="K74" s="751"/>
      <c r="L74" s="751"/>
      <c r="M74" s="682">
        <f>SUM(J74:L74)</f>
        <v>0</v>
      </c>
      <c r="N74" s="752">
        <f>1*F74</f>
        <v>6.8493000000000004</v>
      </c>
      <c r="O74" s="751"/>
      <c r="P74" s="751"/>
      <c r="Q74" s="682">
        <f>SUM(N74:P74)</f>
        <v>6.8493000000000004</v>
      </c>
      <c r="R74" s="681">
        <f t="shared" ref="R74:T78" si="8">SUM(F74,J74,N74)</f>
        <v>13.698600000000001</v>
      </c>
      <c r="S74" s="571">
        <f t="shared" si="8"/>
        <v>0</v>
      </c>
      <c r="T74" s="571">
        <f t="shared" si="8"/>
        <v>0</v>
      </c>
      <c r="U74" s="682">
        <f>SUM(R74:T74)</f>
        <v>13.698600000000001</v>
      </c>
    </row>
    <row r="75" spans="1:21" outlineLevel="1" x14ac:dyDescent="0.25">
      <c r="B75" s="560"/>
      <c r="C75" s="561" t="s">
        <v>383</v>
      </c>
      <c r="D75" s="561">
        <v>4</v>
      </c>
      <c r="E75" s="561" t="s">
        <v>298</v>
      </c>
      <c r="F75" s="753">
        <f>'DUoS (t)'!$S$47</f>
        <v>0.14499999999999999</v>
      </c>
      <c r="G75" s="754">
        <f>'TUoS (t)'!$S$47</f>
        <v>0.10829999999999999</v>
      </c>
      <c r="H75" s="754">
        <f>'JSO (t)'!$S$47</f>
        <v>0</v>
      </c>
      <c r="I75" s="755">
        <f>SUM(F75:H75)</f>
        <v>0.25329999999999997</v>
      </c>
      <c r="J75" s="752"/>
      <c r="K75" s="751"/>
      <c r="L75" s="751"/>
      <c r="M75" s="682">
        <f>SUM(J75:L75)</f>
        <v>0</v>
      </c>
      <c r="N75" s="752"/>
      <c r="O75" s="751"/>
      <c r="P75" s="751"/>
      <c r="Q75" s="682">
        <f>SUM(N75:P75)</f>
        <v>0</v>
      </c>
      <c r="R75" s="681">
        <f t="shared" si="8"/>
        <v>0.14499999999999999</v>
      </c>
      <c r="S75" s="571">
        <f t="shared" si="8"/>
        <v>0.10829999999999999</v>
      </c>
      <c r="T75" s="571">
        <f t="shared" si="8"/>
        <v>0</v>
      </c>
      <c r="U75" s="682">
        <f>SUM(R75:T75)</f>
        <v>0.25329999999999997</v>
      </c>
    </row>
    <row r="76" spans="1:21" outlineLevel="1" x14ac:dyDescent="0.25">
      <c r="B76" s="560"/>
      <c r="C76" s="561" t="s">
        <v>384</v>
      </c>
      <c r="D76" s="561">
        <v>4</v>
      </c>
      <c r="E76" s="561" t="s">
        <v>298</v>
      </c>
      <c r="F76" s="753">
        <f>'DUoS (t)'!$T$47</f>
        <v>0.1036</v>
      </c>
      <c r="G76" s="754">
        <f>'TUoS (t)'!$T$47</f>
        <v>0</v>
      </c>
      <c r="H76" s="754">
        <f>'JSO (t)'!$T$47</f>
        <v>0</v>
      </c>
      <c r="I76" s="755">
        <f>SUM(F76:H76)</f>
        <v>0.1036</v>
      </c>
      <c r="J76" s="752"/>
      <c r="K76" s="751"/>
      <c r="L76" s="751"/>
      <c r="M76" s="682">
        <f>SUM(J76:L76)</f>
        <v>0</v>
      </c>
      <c r="N76" s="752"/>
      <c r="O76" s="751"/>
      <c r="P76" s="751"/>
      <c r="Q76" s="682">
        <f>SUM(N76:P76)</f>
        <v>0</v>
      </c>
      <c r="R76" s="681">
        <f t="shared" si="8"/>
        <v>0.1036</v>
      </c>
      <c r="S76" s="571">
        <f t="shared" si="8"/>
        <v>0</v>
      </c>
      <c r="T76" s="571">
        <f t="shared" si="8"/>
        <v>0</v>
      </c>
      <c r="U76" s="682">
        <f>SUM(R76:T76)</f>
        <v>0.1036</v>
      </c>
    </row>
    <row r="77" spans="1:21" outlineLevel="1" x14ac:dyDescent="0.25">
      <c r="B77" s="560"/>
      <c r="C77" s="561" t="s">
        <v>580</v>
      </c>
      <c r="D77" s="561"/>
      <c r="E77" s="561" t="s">
        <v>292</v>
      </c>
      <c r="F77" s="753">
        <f>'DUoS (t)'!$I$47</f>
        <v>4.2099999999999999E-2</v>
      </c>
      <c r="G77" s="754">
        <f>'TUoS (t)'!$I$47</f>
        <v>1.7600000000000001E-2</v>
      </c>
      <c r="H77" s="754">
        <f>'JSO (t)'!$I$47</f>
        <v>6.4999999999999997E-3</v>
      </c>
      <c r="I77" s="755">
        <f>SUM(F77:H77)</f>
        <v>6.6200000000000009E-2</v>
      </c>
      <c r="J77" s="752"/>
      <c r="K77" s="751"/>
      <c r="L77" s="751"/>
      <c r="M77" s="682">
        <f>SUM(J77:L77)</f>
        <v>0</v>
      </c>
      <c r="N77" s="752"/>
      <c r="O77" s="751"/>
      <c r="P77" s="751"/>
      <c r="Q77" s="682">
        <f>SUM(N77:P77)</f>
        <v>0</v>
      </c>
      <c r="R77" s="681">
        <f t="shared" si="8"/>
        <v>4.2099999999999999E-2</v>
      </c>
      <c r="S77" s="571">
        <f t="shared" si="8"/>
        <v>1.7600000000000001E-2</v>
      </c>
      <c r="T77" s="571">
        <f t="shared" si="8"/>
        <v>6.4999999999999997E-3</v>
      </c>
      <c r="U77" s="682">
        <f>SUM(R77:T77)</f>
        <v>6.6200000000000009E-2</v>
      </c>
    </row>
    <row r="78" spans="1:21" outlineLevel="1" x14ac:dyDescent="0.25">
      <c r="B78" s="562"/>
      <c r="C78" s="563" t="s">
        <v>581</v>
      </c>
      <c r="D78" s="563"/>
      <c r="E78" s="563" t="s">
        <v>292</v>
      </c>
      <c r="F78" s="756">
        <f>'DUoS (t)'!$K$47</f>
        <v>2.63E-2</v>
      </c>
      <c r="G78" s="757">
        <f>'TUoS (t)'!$K$47</f>
        <v>1.0999999999999999E-2</v>
      </c>
      <c r="H78" s="757">
        <f>'JSO (t)'!$K$47</f>
        <v>4.1000000000000003E-3</v>
      </c>
      <c r="I78" s="758">
        <f>SUM(F78:H78)</f>
        <v>4.1399999999999999E-2</v>
      </c>
      <c r="J78" s="576"/>
      <c r="K78" s="577"/>
      <c r="L78" s="577"/>
      <c r="M78" s="574">
        <f>SUM(J78:L78)</f>
        <v>0</v>
      </c>
      <c r="N78" s="576"/>
      <c r="O78" s="577"/>
      <c r="P78" s="577"/>
      <c r="Q78" s="574">
        <f>SUM(N78:P78)</f>
        <v>0</v>
      </c>
      <c r="R78" s="572">
        <f t="shared" si="8"/>
        <v>2.63E-2</v>
      </c>
      <c r="S78" s="573">
        <f t="shared" si="8"/>
        <v>1.0999999999999999E-2</v>
      </c>
      <c r="T78" s="573">
        <f t="shared" si="8"/>
        <v>4.1000000000000003E-3</v>
      </c>
      <c r="U78" s="574">
        <f>SUM(R78:T78)</f>
        <v>4.1399999999999999E-2</v>
      </c>
    </row>
    <row r="79" spans="1:21" outlineLevel="1" x14ac:dyDescent="0.25">
      <c r="F79" s="759"/>
      <c r="G79" s="759"/>
      <c r="H79" s="759"/>
      <c r="I79" s="759"/>
    </row>
    <row r="80" spans="1:21" outlineLevel="1" x14ac:dyDescent="0.25">
      <c r="A80" s="575" t="s">
        <v>594</v>
      </c>
      <c r="F80" s="760"/>
      <c r="G80" s="760"/>
      <c r="H80" s="760"/>
      <c r="I80" s="760"/>
      <c r="J80" s="764"/>
      <c r="K80" s="764"/>
      <c r="L80" s="764"/>
      <c r="M80" s="764"/>
      <c r="N80" s="764"/>
      <c r="O80" s="764"/>
      <c r="P80" s="764"/>
      <c r="Q80" s="764"/>
      <c r="R80" s="764"/>
      <c r="S80" s="764"/>
      <c r="T80" s="764"/>
      <c r="U80" s="764"/>
    </row>
    <row r="81" spans="1:21" outlineLevel="1" x14ac:dyDescent="0.25">
      <c r="B81" s="558"/>
      <c r="C81" s="559"/>
      <c r="D81" s="559"/>
      <c r="E81" s="559" t="s">
        <v>319</v>
      </c>
      <c r="F81" s="761"/>
      <c r="G81" s="762"/>
      <c r="H81" s="762"/>
      <c r="I81" s="763"/>
      <c r="J81" s="568"/>
      <c r="K81" s="569"/>
      <c r="L81" s="569"/>
      <c r="M81" s="570"/>
      <c r="N81" s="568"/>
      <c r="O81" s="569"/>
      <c r="P81" s="569"/>
      <c r="Q81" s="570"/>
      <c r="R81" s="568"/>
      <c r="S81" s="569"/>
      <c r="T81" s="569"/>
      <c r="U81" s="570"/>
    </row>
    <row r="82" spans="1:21" outlineLevel="1" x14ac:dyDescent="0.25">
      <c r="B82" s="560"/>
      <c r="C82" s="561" t="s">
        <v>382</v>
      </c>
      <c r="D82" s="561"/>
      <c r="E82" s="561" t="s">
        <v>291</v>
      </c>
      <c r="F82" s="753">
        <f>('DUoS (t)'!$G$47)*1</f>
        <v>6.8493000000000004</v>
      </c>
      <c r="G82" s="754">
        <f>('TUoS (t)'!$G$47)*1</f>
        <v>0</v>
      </c>
      <c r="H82" s="754">
        <f>('JSO (t)'!$G$47)*1</f>
        <v>0</v>
      </c>
      <c r="I82" s="755">
        <f>SUM(F82:H82)</f>
        <v>6.8493000000000004</v>
      </c>
      <c r="J82" s="752"/>
      <c r="K82" s="751"/>
      <c r="L82" s="751"/>
      <c r="M82" s="682">
        <f>SUM(J82:L82)</f>
        <v>0</v>
      </c>
      <c r="N82" s="752">
        <f>2*F82</f>
        <v>13.698600000000001</v>
      </c>
      <c r="O82" s="751"/>
      <c r="P82" s="751"/>
      <c r="Q82" s="682">
        <f>SUM(N82:P82)</f>
        <v>13.698600000000001</v>
      </c>
      <c r="R82" s="681">
        <f t="shared" ref="R82:T86" si="9">SUM(F82,J82,N82)</f>
        <v>20.547900000000002</v>
      </c>
      <c r="S82" s="571">
        <f t="shared" si="9"/>
        <v>0</v>
      </c>
      <c r="T82" s="571">
        <f t="shared" si="9"/>
        <v>0</v>
      </c>
      <c r="U82" s="682">
        <f>SUM(R82:T82)</f>
        <v>20.547900000000002</v>
      </c>
    </row>
    <row r="83" spans="1:21" outlineLevel="1" x14ac:dyDescent="0.25">
      <c r="B83" s="560"/>
      <c r="C83" s="561" t="s">
        <v>383</v>
      </c>
      <c r="D83" s="561">
        <v>4</v>
      </c>
      <c r="E83" s="561" t="s">
        <v>298</v>
      </c>
      <c r="F83" s="753">
        <f>'DUoS (t)'!$S$47</f>
        <v>0.14499999999999999</v>
      </c>
      <c r="G83" s="754">
        <f>'TUoS (t)'!$S$47</f>
        <v>0.10829999999999999</v>
      </c>
      <c r="H83" s="754">
        <f>'JSO (t)'!$S$47</f>
        <v>0</v>
      </c>
      <c r="I83" s="755">
        <f>SUM(F83:H83)</f>
        <v>0.25329999999999997</v>
      </c>
      <c r="J83" s="752"/>
      <c r="K83" s="751"/>
      <c r="L83" s="751"/>
      <c r="M83" s="682">
        <f>SUM(J83:L83)</f>
        <v>0</v>
      </c>
      <c r="N83" s="752"/>
      <c r="O83" s="751"/>
      <c r="P83" s="751"/>
      <c r="Q83" s="682">
        <f>SUM(N83:P83)</f>
        <v>0</v>
      </c>
      <c r="R83" s="681">
        <f t="shared" si="9"/>
        <v>0.14499999999999999</v>
      </c>
      <c r="S83" s="571">
        <f t="shared" si="9"/>
        <v>0.10829999999999999</v>
      </c>
      <c r="T83" s="571">
        <f t="shared" si="9"/>
        <v>0</v>
      </c>
      <c r="U83" s="682">
        <f>SUM(R83:T83)</f>
        <v>0.25329999999999997</v>
      </c>
    </row>
    <row r="84" spans="1:21" outlineLevel="1" x14ac:dyDescent="0.25">
      <c r="B84" s="560"/>
      <c r="C84" s="561" t="s">
        <v>384</v>
      </c>
      <c r="D84" s="561">
        <v>4</v>
      </c>
      <c r="E84" s="561" t="s">
        <v>298</v>
      </c>
      <c r="F84" s="753">
        <f>'DUoS (t)'!$T$47</f>
        <v>0.1036</v>
      </c>
      <c r="G84" s="754">
        <f>'TUoS (t)'!$T$47</f>
        <v>0</v>
      </c>
      <c r="H84" s="754">
        <f>'JSO (t)'!$T$47</f>
        <v>0</v>
      </c>
      <c r="I84" s="755">
        <f>SUM(F84:H84)</f>
        <v>0.1036</v>
      </c>
      <c r="J84" s="752"/>
      <c r="K84" s="751"/>
      <c r="L84" s="751"/>
      <c r="M84" s="682">
        <f>SUM(J84:L84)</f>
        <v>0</v>
      </c>
      <c r="N84" s="752"/>
      <c r="O84" s="751"/>
      <c r="P84" s="751"/>
      <c r="Q84" s="682">
        <f>SUM(N84:P84)</f>
        <v>0</v>
      </c>
      <c r="R84" s="681">
        <f t="shared" si="9"/>
        <v>0.1036</v>
      </c>
      <c r="S84" s="571">
        <f t="shared" si="9"/>
        <v>0</v>
      </c>
      <c r="T84" s="571">
        <f t="shared" si="9"/>
        <v>0</v>
      </c>
      <c r="U84" s="682">
        <f>SUM(R84:T84)</f>
        <v>0.1036</v>
      </c>
    </row>
    <row r="85" spans="1:21" outlineLevel="1" x14ac:dyDescent="0.25">
      <c r="B85" s="560"/>
      <c r="C85" s="561" t="s">
        <v>580</v>
      </c>
      <c r="D85" s="561"/>
      <c r="E85" s="561" t="s">
        <v>292</v>
      </c>
      <c r="F85" s="753">
        <f>'DUoS (t)'!$I$47</f>
        <v>4.2099999999999999E-2</v>
      </c>
      <c r="G85" s="754">
        <f>'TUoS (t)'!$I$47</f>
        <v>1.7600000000000001E-2</v>
      </c>
      <c r="H85" s="754">
        <f>'JSO (t)'!$I$47</f>
        <v>6.4999999999999997E-3</v>
      </c>
      <c r="I85" s="755">
        <f>SUM(F85:H85)</f>
        <v>6.6200000000000009E-2</v>
      </c>
      <c r="J85" s="752"/>
      <c r="K85" s="751"/>
      <c r="L85" s="751"/>
      <c r="M85" s="682">
        <f>SUM(J85:L85)</f>
        <v>0</v>
      </c>
      <c r="N85" s="752"/>
      <c r="O85" s="751"/>
      <c r="P85" s="751"/>
      <c r="Q85" s="682">
        <f>SUM(N85:P85)</f>
        <v>0</v>
      </c>
      <c r="R85" s="681">
        <f t="shared" si="9"/>
        <v>4.2099999999999999E-2</v>
      </c>
      <c r="S85" s="571">
        <f t="shared" si="9"/>
        <v>1.7600000000000001E-2</v>
      </c>
      <c r="T85" s="571">
        <f t="shared" si="9"/>
        <v>6.4999999999999997E-3</v>
      </c>
      <c r="U85" s="682">
        <f>SUM(R85:T85)</f>
        <v>6.6200000000000009E-2</v>
      </c>
    </row>
    <row r="86" spans="1:21" outlineLevel="1" x14ac:dyDescent="0.25">
      <c r="B86" s="562"/>
      <c r="C86" s="563" t="s">
        <v>581</v>
      </c>
      <c r="D86" s="563"/>
      <c r="E86" s="563" t="s">
        <v>292</v>
      </c>
      <c r="F86" s="756">
        <f>'DUoS (t)'!$K$47</f>
        <v>2.63E-2</v>
      </c>
      <c r="G86" s="757">
        <f>'TUoS (t)'!$K$47</f>
        <v>1.0999999999999999E-2</v>
      </c>
      <c r="H86" s="757">
        <f>'JSO (t)'!$K$47</f>
        <v>4.1000000000000003E-3</v>
      </c>
      <c r="I86" s="758">
        <f>SUM(F86:H86)</f>
        <v>4.1399999999999999E-2</v>
      </c>
      <c r="J86" s="576"/>
      <c r="K86" s="577"/>
      <c r="L86" s="577"/>
      <c r="M86" s="574">
        <f>SUM(J86:L86)</f>
        <v>0</v>
      </c>
      <c r="N86" s="576"/>
      <c r="O86" s="577"/>
      <c r="P86" s="577"/>
      <c r="Q86" s="574">
        <f>SUM(N86:P86)</f>
        <v>0</v>
      </c>
      <c r="R86" s="572">
        <f t="shared" si="9"/>
        <v>2.63E-2</v>
      </c>
      <c r="S86" s="573">
        <f t="shared" si="9"/>
        <v>1.0999999999999999E-2</v>
      </c>
      <c r="T86" s="573">
        <f t="shared" si="9"/>
        <v>4.1000000000000003E-3</v>
      </c>
      <c r="U86" s="574">
        <f>SUM(R86:T86)</f>
        <v>4.1399999999999999E-2</v>
      </c>
    </row>
    <row r="87" spans="1:21" outlineLevel="1" x14ac:dyDescent="0.25">
      <c r="F87" s="759"/>
      <c r="G87" s="759"/>
      <c r="H87" s="759"/>
      <c r="I87" s="759"/>
    </row>
    <row r="88" spans="1:21" outlineLevel="1" x14ac:dyDescent="0.25">
      <c r="A88" s="575" t="s">
        <v>595</v>
      </c>
      <c r="F88" s="760"/>
      <c r="G88" s="760"/>
      <c r="H88" s="760"/>
      <c r="I88" s="760"/>
      <c r="J88" s="764"/>
      <c r="K88" s="764"/>
      <c r="L88" s="764"/>
      <c r="M88" s="764"/>
      <c r="N88" s="764"/>
      <c r="O88" s="764"/>
      <c r="P88" s="764"/>
      <c r="Q88" s="764"/>
      <c r="R88" s="764"/>
      <c r="S88" s="764"/>
      <c r="T88" s="764"/>
      <c r="U88" s="764"/>
    </row>
    <row r="89" spans="1:21" outlineLevel="1" x14ac:dyDescent="0.25">
      <c r="B89" s="558"/>
      <c r="C89" s="559"/>
      <c r="D89" s="559"/>
      <c r="E89" s="559" t="s">
        <v>319</v>
      </c>
      <c r="F89" s="761"/>
      <c r="G89" s="762"/>
      <c r="H89" s="762"/>
      <c r="I89" s="763"/>
      <c r="J89" s="568"/>
      <c r="K89" s="569"/>
      <c r="L89" s="569"/>
      <c r="M89" s="570"/>
      <c r="N89" s="568"/>
      <c r="O89" s="569"/>
      <c r="P89" s="569"/>
      <c r="Q89" s="570"/>
      <c r="R89" s="568"/>
      <c r="S89" s="569"/>
      <c r="T89" s="569"/>
      <c r="U89" s="570"/>
    </row>
    <row r="90" spans="1:21" outlineLevel="1" x14ac:dyDescent="0.25">
      <c r="B90" s="560"/>
      <c r="C90" s="561" t="s">
        <v>382</v>
      </c>
      <c r="D90" s="561"/>
      <c r="E90" s="561" t="s">
        <v>291</v>
      </c>
      <c r="F90" s="753">
        <f>('DUoS (t)'!$G$47)*1</f>
        <v>6.8493000000000004</v>
      </c>
      <c r="G90" s="754">
        <f>('TUoS (t)'!$G$47)*1</f>
        <v>0</v>
      </c>
      <c r="H90" s="754">
        <f>('JSO (t)'!$G$47)*1</f>
        <v>0</v>
      </c>
      <c r="I90" s="755">
        <f>SUM(F90:H90)</f>
        <v>6.8493000000000004</v>
      </c>
      <c r="J90" s="752"/>
      <c r="K90" s="751"/>
      <c r="L90" s="751"/>
      <c r="M90" s="682">
        <f>SUM(J90:L90)</f>
        <v>0</v>
      </c>
      <c r="N90" s="752">
        <f>11*F90</f>
        <v>75.342300000000009</v>
      </c>
      <c r="O90" s="751"/>
      <c r="P90" s="751"/>
      <c r="Q90" s="682">
        <f>SUM(N90:P90)</f>
        <v>75.342300000000009</v>
      </c>
      <c r="R90" s="681">
        <f t="shared" ref="R90:T94" si="10">SUM(F90,J90,N90)</f>
        <v>82.191600000000008</v>
      </c>
      <c r="S90" s="571">
        <f t="shared" si="10"/>
        <v>0</v>
      </c>
      <c r="T90" s="571">
        <f t="shared" si="10"/>
        <v>0</v>
      </c>
      <c r="U90" s="682">
        <f>SUM(R90:T90)</f>
        <v>82.191600000000008</v>
      </c>
    </row>
    <row r="91" spans="1:21" outlineLevel="1" x14ac:dyDescent="0.25">
      <c r="B91" s="560"/>
      <c r="C91" s="561" t="s">
        <v>383</v>
      </c>
      <c r="D91" s="561">
        <v>4</v>
      </c>
      <c r="E91" s="561" t="s">
        <v>298</v>
      </c>
      <c r="F91" s="753">
        <f>'DUoS (t)'!$S$47</f>
        <v>0.14499999999999999</v>
      </c>
      <c r="G91" s="754">
        <f>'TUoS (t)'!$S$47</f>
        <v>0.10829999999999999</v>
      </c>
      <c r="H91" s="754">
        <f>'JSO (t)'!$S$47</f>
        <v>0</v>
      </c>
      <c r="I91" s="755">
        <f>SUM(F91:H91)</f>
        <v>0.25329999999999997</v>
      </c>
      <c r="J91" s="752"/>
      <c r="K91" s="751"/>
      <c r="L91" s="751"/>
      <c r="M91" s="682">
        <f>SUM(J91:L91)</f>
        <v>0</v>
      </c>
      <c r="N91" s="752"/>
      <c r="O91" s="751"/>
      <c r="P91" s="751"/>
      <c r="Q91" s="682">
        <f>SUM(N91:P91)</f>
        <v>0</v>
      </c>
      <c r="R91" s="681">
        <f t="shared" si="10"/>
        <v>0.14499999999999999</v>
      </c>
      <c r="S91" s="571">
        <f t="shared" si="10"/>
        <v>0.10829999999999999</v>
      </c>
      <c r="T91" s="571">
        <f t="shared" si="10"/>
        <v>0</v>
      </c>
      <c r="U91" s="682">
        <f>SUM(R91:T91)</f>
        <v>0.25329999999999997</v>
      </c>
    </row>
    <row r="92" spans="1:21" outlineLevel="1" x14ac:dyDescent="0.25">
      <c r="B92" s="560"/>
      <c r="C92" s="561" t="s">
        <v>384</v>
      </c>
      <c r="D92" s="561">
        <v>4</v>
      </c>
      <c r="E92" s="561" t="s">
        <v>298</v>
      </c>
      <c r="F92" s="753">
        <f>'DUoS (t)'!$T$47</f>
        <v>0.1036</v>
      </c>
      <c r="G92" s="754">
        <f>'TUoS (t)'!$T$47</f>
        <v>0</v>
      </c>
      <c r="H92" s="754">
        <f>'JSO (t)'!$T$47</f>
        <v>0</v>
      </c>
      <c r="I92" s="755">
        <f>SUM(F92:H92)</f>
        <v>0.1036</v>
      </c>
      <c r="J92" s="752"/>
      <c r="K92" s="751"/>
      <c r="L92" s="751"/>
      <c r="M92" s="682">
        <f>SUM(J92:L92)</f>
        <v>0</v>
      </c>
      <c r="N92" s="752"/>
      <c r="O92" s="751"/>
      <c r="P92" s="751"/>
      <c r="Q92" s="682">
        <f>SUM(N92:P92)</f>
        <v>0</v>
      </c>
      <c r="R92" s="681">
        <f t="shared" si="10"/>
        <v>0.1036</v>
      </c>
      <c r="S92" s="571">
        <f t="shared" si="10"/>
        <v>0</v>
      </c>
      <c r="T92" s="571">
        <f t="shared" si="10"/>
        <v>0</v>
      </c>
      <c r="U92" s="682">
        <f>SUM(R92:T92)</f>
        <v>0.1036</v>
      </c>
    </row>
    <row r="93" spans="1:21" outlineLevel="1" x14ac:dyDescent="0.25">
      <c r="B93" s="560"/>
      <c r="C93" s="561" t="s">
        <v>580</v>
      </c>
      <c r="D93" s="561"/>
      <c r="E93" s="561" t="s">
        <v>292</v>
      </c>
      <c r="F93" s="753">
        <f>'DUoS (t)'!$I$47</f>
        <v>4.2099999999999999E-2</v>
      </c>
      <c r="G93" s="754">
        <f>'TUoS (t)'!$I$47</f>
        <v>1.7600000000000001E-2</v>
      </c>
      <c r="H93" s="754">
        <f>'JSO (t)'!$I$47</f>
        <v>6.4999999999999997E-3</v>
      </c>
      <c r="I93" s="755">
        <f>SUM(F93:H93)</f>
        <v>6.6200000000000009E-2</v>
      </c>
      <c r="J93" s="752"/>
      <c r="K93" s="751"/>
      <c r="L93" s="751"/>
      <c r="M93" s="682">
        <f>SUM(J93:L93)</f>
        <v>0</v>
      </c>
      <c r="N93" s="752"/>
      <c r="O93" s="751"/>
      <c r="P93" s="751"/>
      <c r="Q93" s="682">
        <f>SUM(N93:P93)</f>
        <v>0</v>
      </c>
      <c r="R93" s="681">
        <f t="shared" si="10"/>
        <v>4.2099999999999999E-2</v>
      </c>
      <c r="S93" s="571">
        <f t="shared" si="10"/>
        <v>1.7600000000000001E-2</v>
      </c>
      <c r="T93" s="571">
        <f t="shared" si="10"/>
        <v>6.4999999999999997E-3</v>
      </c>
      <c r="U93" s="682">
        <f>SUM(R93:T93)</f>
        <v>6.6200000000000009E-2</v>
      </c>
    </row>
    <row r="94" spans="1:21" outlineLevel="1" x14ac:dyDescent="0.25">
      <c r="B94" s="562"/>
      <c r="C94" s="563" t="s">
        <v>581</v>
      </c>
      <c r="D94" s="563"/>
      <c r="E94" s="563" t="s">
        <v>292</v>
      </c>
      <c r="F94" s="756">
        <f>'DUoS (t)'!$K$47</f>
        <v>2.63E-2</v>
      </c>
      <c r="G94" s="757">
        <f>'TUoS (t)'!$K$47</f>
        <v>1.0999999999999999E-2</v>
      </c>
      <c r="H94" s="757">
        <f>'JSO (t)'!$K$47</f>
        <v>4.1000000000000003E-3</v>
      </c>
      <c r="I94" s="758">
        <f>SUM(F94:H94)</f>
        <v>4.1399999999999999E-2</v>
      </c>
      <c r="J94" s="576"/>
      <c r="K94" s="577"/>
      <c r="L94" s="577"/>
      <c r="M94" s="574">
        <f>SUM(J94:L94)</f>
        <v>0</v>
      </c>
      <c r="N94" s="576"/>
      <c r="O94" s="577"/>
      <c r="P94" s="577"/>
      <c r="Q94" s="574">
        <f>SUM(N94:P94)</f>
        <v>0</v>
      </c>
      <c r="R94" s="572">
        <f t="shared" si="10"/>
        <v>2.63E-2</v>
      </c>
      <c r="S94" s="573">
        <f t="shared" si="10"/>
        <v>1.0999999999999999E-2</v>
      </c>
      <c r="T94" s="573">
        <f t="shared" si="10"/>
        <v>4.1000000000000003E-3</v>
      </c>
      <c r="U94" s="574">
        <f>SUM(R94:T94)</f>
        <v>4.1399999999999999E-2</v>
      </c>
    </row>
    <row r="95" spans="1:21" outlineLevel="1" x14ac:dyDescent="0.25">
      <c r="F95" s="759"/>
      <c r="G95" s="759"/>
      <c r="H95" s="759"/>
      <c r="I95" s="759"/>
    </row>
    <row r="96" spans="1:21" outlineLevel="1" x14ac:dyDescent="0.25">
      <c r="A96" s="575" t="s">
        <v>660</v>
      </c>
      <c r="F96" s="760"/>
      <c r="G96" s="760"/>
      <c r="H96" s="760"/>
      <c r="I96" s="760"/>
      <c r="J96" s="764"/>
      <c r="K96" s="764"/>
      <c r="L96" s="764"/>
      <c r="M96" s="764"/>
      <c r="N96" s="764"/>
      <c r="O96" s="764"/>
      <c r="P96" s="764"/>
      <c r="Q96" s="764"/>
      <c r="R96" s="764"/>
      <c r="S96" s="764"/>
      <c r="T96" s="764"/>
      <c r="U96" s="764"/>
    </row>
    <row r="97" spans="1:21" outlineLevel="1" x14ac:dyDescent="0.25">
      <c r="B97" s="558"/>
      <c r="C97" s="559"/>
      <c r="D97" s="559"/>
      <c r="E97" s="559" t="s">
        <v>319</v>
      </c>
      <c r="F97" s="761"/>
      <c r="G97" s="762"/>
      <c r="H97" s="762"/>
      <c r="I97" s="763"/>
      <c r="J97" s="568"/>
      <c r="K97" s="569"/>
      <c r="L97" s="569"/>
      <c r="M97" s="570"/>
      <c r="N97" s="568"/>
      <c r="O97" s="569"/>
      <c r="P97" s="569"/>
      <c r="Q97" s="570"/>
      <c r="R97" s="568"/>
      <c r="S97" s="569"/>
      <c r="T97" s="569"/>
      <c r="U97" s="570"/>
    </row>
    <row r="98" spans="1:21" outlineLevel="1" x14ac:dyDescent="0.25">
      <c r="B98" s="560"/>
      <c r="C98" s="561" t="s">
        <v>382</v>
      </c>
      <c r="D98" s="561"/>
      <c r="E98" s="561" t="s">
        <v>291</v>
      </c>
      <c r="F98" s="753">
        <f>('DUoS (t)'!$G$48)*1</f>
        <v>6.8493000000000004</v>
      </c>
      <c r="G98" s="754">
        <f>('TUoS (t)'!$G$48)*1</f>
        <v>0</v>
      </c>
      <c r="H98" s="754">
        <f>('JSO (t)'!$G$48)*1</f>
        <v>0</v>
      </c>
      <c r="I98" s="755">
        <f>SUM(F98:H98)</f>
        <v>6.8493000000000004</v>
      </c>
      <c r="J98" s="752"/>
      <c r="K98" s="751"/>
      <c r="L98" s="751"/>
      <c r="M98" s="682">
        <f>SUM(J98:L98)</f>
        <v>0</v>
      </c>
      <c r="N98" s="752">
        <f>3*F98</f>
        <v>20.547900000000002</v>
      </c>
      <c r="O98" s="751"/>
      <c r="P98" s="751"/>
      <c r="Q98" s="682">
        <f>SUM(N98:P98)</f>
        <v>20.547900000000002</v>
      </c>
      <c r="R98" s="681">
        <f t="shared" ref="R98:T102" si="11">SUM(F98,J98,N98)</f>
        <v>27.397200000000002</v>
      </c>
      <c r="S98" s="571">
        <f t="shared" si="11"/>
        <v>0</v>
      </c>
      <c r="T98" s="571">
        <f t="shared" si="11"/>
        <v>0</v>
      </c>
      <c r="U98" s="682">
        <f>SUM(R98:T98)</f>
        <v>27.397200000000002</v>
      </c>
    </row>
    <row r="99" spans="1:21" outlineLevel="1" x14ac:dyDescent="0.25">
      <c r="B99" s="560"/>
      <c r="C99" s="561" t="s">
        <v>383</v>
      </c>
      <c r="D99" s="561">
        <v>4</v>
      </c>
      <c r="E99" s="561" t="s">
        <v>298</v>
      </c>
      <c r="F99" s="753">
        <f>'DUoS (t)'!$P$48</f>
        <v>0.52569999999999995</v>
      </c>
      <c r="G99" s="754">
        <f>'TUoS (t)'!$P$48</f>
        <v>0.3926</v>
      </c>
      <c r="H99" s="754">
        <f>'JSO (t)'!$P$48</f>
        <v>0</v>
      </c>
      <c r="I99" s="755">
        <f>SUM(F99:H99)</f>
        <v>0.91829999999999989</v>
      </c>
      <c r="J99" s="752"/>
      <c r="K99" s="751"/>
      <c r="L99" s="751"/>
      <c r="M99" s="682">
        <f>SUM(J99:L99)</f>
        <v>0</v>
      </c>
      <c r="N99" s="752"/>
      <c r="O99" s="751"/>
      <c r="P99" s="751"/>
      <c r="Q99" s="682">
        <f>SUM(N99:P99)</f>
        <v>0</v>
      </c>
      <c r="R99" s="681">
        <f t="shared" si="11"/>
        <v>0.52569999999999995</v>
      </c>
      <c r="S99" s="571">
        <f t="shared" si="11"/>
        <v>0.3926</v>
      </c>
      <c r="T99" s="571">
        <f t="shared" si="11"/>
        <v>0</v>
      </c>
      <c r="U99" s="682">
        <f>SUM(R99:T99)</f>
        <v>0.91829999999999989</v>
      </c>
    </row>
    <row r="100" spans="1:21" outlineLevel="1" x14ac:dyDescent="0.25">
      <c r="B100" s="560"/>
      <c r="C100" s="561" t="s">
        <v>384</v>
      </c>
      <c r="D100" s="561">
        <v>4</v>
      </c>
      <c r="E100" s="561" t="s">
        <v>298</v>
      </c>
      <c r="F100" s="753">
        <f>'DUoS (t)'!$T$48</f>
        <v>0.1036</v>
      </c>
      <c r="G100" s="754">
        <f>'TUoS (t)'!$T$48</f>
        <v>0</v>
      </c>
      <c r="H100" s="754">
        <f>'JSO (t)'!$T$48</f>
        <v>0</v>
      </c>
      <c r="I100" s="755">
        <f>SUM(F100:H100)</f>
        <v>0.1036</v>
      </c>
      <c r="J100" s="752"/>
      <c r="K100" s="751"/>
      <c r="L100" s="751"/>
      <c r="M100" s="682">
        <f>SUM(J100:L100)</f>
        <v>0</v>
      </c>
      <c r="N100" s="752"/>
      <c r="O100" s="751"/>
      <c r="P100" s="751"/>
      <c r="Q100" s="682">
        <f>SUM(N100:P100)</f>
        <v>0</v>
      </c>
      <c r="R100" s="681">
        <f t="shared" si="11"/>
        <v>0.1036</v>
      </c>
      <c r="S100" s="571">
        <f t="shared" si="11"/>
        <v>0</v>
      </c>
      <c r="T100" s="571">
        <f t="shared" si="11"/>
        <v>0</v>
      </c>
      <c r="U100" s="682">
        <f>SUM(R100:T100)</f>
        <v>0.1036</v>
      </c>
    </row>
    <row r="101" spans="1:21" outlineLevel="1" x14ac:dyDescent="0.25">
      <c r="B101" s="560"/>
      <c r="C101" s="561" t="s">
        <v>580</v>
      </c>
      <c r="D101" s="561"/>
      <c r="E101" s="561" t="s">
        <v>292</v>
      </c>
      <c r="F101" s="753">
        <f>'DUoS (t)'!$I$48</f>
        <v>4.2099999999999999E-2</v>
      </c>
      <c r="G101" s="754">
        <f>'TUoS (t)'!$I$48</f>
        <v>1.7600000000000001E-2</v>
      </c>
      <c r="H101" s="754">
        <f>'JSO (t)'!$I$48</f>
        <v>6.4999999999999997E-3</v>
      </c>
      <c r="I101" s="755">
        <f>SUM(F101:H101)</f>
        <v>6.6200000000000009E-2</v>
      </c>
      <c r="J101" s="752"/>
      <c r="K101" s="751"/>
      <c r="L101" s="751"/>
      <c r="M101" s="682">
        <f>SUM(J101:L101)</f>
        <v>0</v>
      </c>
      <c r="N101" s="752"/>
      <c r="O101" s="751"/>
      <c r="P101" s="751"/>
      <c r="Q101" s="682">
        <f>SUM(N101:P101)</f>
        <v>0</v>
      </c>
      <c r="R101" s="681">
        <f t="shared" si="11"/>
        <v>4.2099999999999999E-2</v>
      </c>
      <c r="S101" s="571">
        <f t="shared" si="11"/>
        <v>1.7600000000000001E-2</v>
      </c>
      <c r="T101" s="571">
        <f t="shared" si="11"/>
        <v>6.4999999999999997E-3</v>
      </c>
      <c r="U101" s="682">
        <f>SUM(R101:T101)</f>
        <v>6.6200000000000009E-2</v>
      </c>
    </row>
    <row r="102" spans="1:21" outlineLevel="1" x14ac:dyDescent="0.25">
      <c r="B102" s="562"/>
      <c r="C102" s="563" t="s">
        <v>581</v>
      </c>
      <c r="D102" s="563"/>
      <c r="E102" s="563" t="s">
        <v>292</v>
      </c>
      <c r="F102" s="756">
        <f>'DUoS (t)'!$K$48</f>
        <v>2.63E-2</v>
      </c>
      <c r="G102" s="757">
        <f>'TUoS (t)'!$K$48</f>
        <v>1.0999999999999999E-2</v>
      </c>
      <c r="H102" s="757">
        <f>'JSO (t)'!$K$48</f>
        <v>4.1000000000000003E-3</v>
      </c>
      <c r="I102" s="758">
        <f>SUM(F102:H102)</f>
        <v>4.1399999999999999E-2</v>
      </c>
      <c r="J102" s="576"/>
      <c r="K102" s="577"/>
      <c r="L102" s="577"/>
      <c r="M102" s="574">
        <f>SUM(J102:L102)</f>
        <v>0</v>
      </c>
      <c r="N102" s="576"/>
      <c r="O102" s="577"/>
      <c r="P102" s="577"/>
      <c r="Q102" s="574">
        <f>SUM(N102:P102)</f>
        <v>0</v>
      </c>
      <c r="R102" s="572">
        <f t="shared" si="11"/>
        <v>2.63E-2</v>
      </c>
      <c r="S102" s="573">
        <f t="shared" si="11"/>
        <v>1.0999999999999999E-2</v>
      </c>
      <c r="T102" s="573">
        <f t="shared" si="11"/>
        <v>4.1000000000000003E-3</v>
      </c>
      <c r="U102" s="574">
        <f>SUM(R102:T102)</f>
        <v>4.1399999999999999E-2</v>
      </c>
    </row>
    <row r="103" spans="1:21" outlineLevel="1" x14ac:dyDescent="0.25">
      <c r="B103" s="578"/>
      <c r="C103" s="578"/>
      <c r="D103" s="578"/>
      <c r="E103" s="578"/>
      <c r="F103" s="571"/>
      <c r="G103" s="571"/>
      <c r="H103" s="571"/>
      <c r="I103" s="571"/>
      <c r="J103" s="571"/>
      <c r="K103" s="571"/>
      <c r="L103" s="571"/>
      <c r="M103" s="571"/>
      <c r="N103" s="571"/>
      <c r="O103" s="571"/>
      <c r="P103" s="571"/>
      <c r="Q103" s="571"/>
      <c r="R103" s="571"/>
      <c r="S103" s="571"/>
      <c r="T103" s="571"/>
      <c r="U103" s="571"/>
    </row>
    <row r="104" spans="1:21" x14ac:dyDescent="0.25">
      <c r="A104" s="579" t="s">
        <v>391</v>
      </c>
      <c r="B104" s="578"/>
      <c r="C104" s="578"/>
      <c r="D104" s="578"/>
      <c r="E104" s="578"/>
      <c r="F104" s="571"/>
      <c r="G104" s="571"/>
      <c r="H104" s="571"/>
      <c r="I104" s="571"/>
      <c r="J104" s="571"/>
      <c r="K104" s="571"/>
      <c r="L104" s="571"/>
      <c r="M104" s="571"/>
      <c r="N104" s="571"/>
      <c r="O104" s="571"/>
      <c r="P104" s="571"/>
      <c r="Q104" s="571"/>
      <c r="R104" s="571"/>
      <c r="S104" s="571"/>
      <c r="T104" s="571"/>
      <c r="U104" s="571"/>
    </row>
    <row r="105" spans="1:21" ht="16.5" thickBot="1" x14ac:dyDescent="0.3">
      <c r="A105" s="451" t="s">
        <v>390</v>
      </c>
    </row>
    <row r="106" spans="1:21" outlineLevel="1" x14ac:dyDescent="0.25">
      <c r="F106" s="873" t="s">
        <v>385</v>
      </c>
      <c r="G106" s="874"/>
      <c r="H106" s="874"/>
      <c r="I106" s="875"/>
      <c r="J106" s="876" t="s">
        <v>387</v>
      </c>
      <c r="K106" s="877"/>
      <c r="L106" s="877"/>
      <c r="M106" s="878"/>
      <c r="N106" s="876" t="s">
        <v>388</v>
      </c>
      <c r="O106" s="877"/>
      <c r="P106" s="877"/>
      <c r="Q106" s="878"/>
      <c r="R106" s="876" t="s">
        <v>386</v>
      </c>
      <c r="S106" s="877"/>
      <c r="T106" s="877"/>
      <c r="U106" s="878"/>
    </row>
    <row r="107" spans="1:21" ht="15.75" outlineLevel="1" thickBot="1" x14ac:dyDescent="0.3">
      <c r="F107" s="564" t="s">
        <v>286</v>
      </c>
      <c r="G107" s="565" t="s">
        <v>287</v>
      </c>
      <c r="H107" s="565" t="s">
        <v>288</v>
      </c>
      <c r="I107" s="566" t="s">
        <v>289</v>
      </c>
      <c r="J107" s="766" t="s">
        <v>286</v>
      </c>
      <c r="K107" s="767" t="s">
        <v>287</v>
      </c>
      <c r="L107" s="767" t="s">
        <v>288</v>
      </c>
      <c r="M107" s="768" t="s">
        <v>289</v>
      </c>
      <c r="N107" s="766" t="s">
        <v>286</v>
      </c>
      <c r="O107" s="767" t="s">
        <v>287</v>
      </c>
      <c r="P107" s="767" t="s">
        <v>288</v>
      </c>
      <c r="Q107" s="768" t="s">
        <v>289</v>
      </c>
      <c r="R107" s="766" t="s">
        <v>286</v>
      </c>
      <c r="S107" s="767" t="s">
        <v>287</v>
      </c>
      <c r="T107" s="767" t="s">
        <v>288</v>
      </c>
      <c r="U107" s="768" t="s">
        <v>289</v>
      </c>
    </row>
    <row r="108" spans="1:21" outlineLevel="1" x14ac:dyDescent="0.25">
      <c r="A108" s="575" t="s">
        <v>571</v>
      </c>
      <c r="F108" s="567"/>
      <c r="G108" s="567"/>
      <c r="H108" s="567"/>
      <c r="I108" s="567"/>
      <c r="J108" s="764"/>
      <c r="K108" s="764"/>
      <c r="L108" s="764"/>
      <c r="M108" s="764"/>
      <c r="N108" s="764"/>
      <c r="O108" s="764"/>
      <c r="P108" s="764"/>
      <c r="Q108" s="764"/>
      <c r="R108" s="764"/>
      <c r="S108" s="764"/>
      <c r="T108" s="764"/>
      <c r="U108" s="764"/>
    </row>
    <row r="109" spans="1:21" outlineLevel="1" x14ac:dyDescent="0.25">
      <c r="B109" s="558"/>
      <c r="C109" s="559"/>
      <c r="D109" s="559"/>
      <c r="E109" s="559" t="s">
        <v>319</v>
      </c>
      <c r="F109" s="568"/>
      <c r="G109" s="569"/>
      <c r="H109" s="569"/>
      <c r="I109" s="570"/>
      <c r="J109" s="568"/>
      <c r="K109" s="569"/>
      <c r="L109" s="569"/>
      <c r="M109" s="570"/>
      <c r="N109" s="568"/>
      <c r="O109" s="569"/>
      <c r="P109" s="569"/>
      <c r="Q109" s="570"/>
      <c r="R109" s="568"/>
      <c r="S109" s="569"/>
      <c r="T109" s="569"/>
      <c r="U109" s="570"/>
    </row>
    <row r="110" spans="1:21" outlineLevel="1" x14ac:dyDescent="0.25">
      <c r="B110" s="560"/>
      <c r="C110" s="561" t="s">
        <v>382</v>
      </c>
      <c r="D110" s="561"/>
      <c r="E110" s="561" t="s">
        <v>291</v>
      </c>
      <c r="F110" s="753">
        <f>'DUoS (t)'!$G$70*1</f>
        <v>41.0959</v>
      </c>
      <c r="G110" s="754">
        <f>'TUoS (t)'!$G$70*1</f>
        <v>0</v>
      </c>
      <c r="H110" s="754">
        <f>'JSO (t)'!$G$70*1</f>
        <v>0</v>
      </c>
      <c r="I110" s="755">
        <f>SUM(F110:H110)</f>
        <v>41.0959</v>
      </c>
      <c r="J110" s="752"/>
      <c r="K110" s="751">
        <f>-G110</f>
        <v>0</v>
      </c>
      <c r="L110" s="751"/>
      <c r="M110" s="682">
        <f>SUM(J110:L110)</f>
        <v>0</v>
      </c>
      <c r="N110" s="752"/>
      <c r="O110" s="751">
        <v>1341.1</v>
      </c>
      <c r="P110" s="751"/>
      <c r="Q110" s="682">
        <f>SUM(N110:P110)</f>
        <v>1341.1</v>
      </c>
      <c r="R110" s="681">
        <f t="shared" ref="R110:T114" si="12">SUM(F110,J110,N110)</f>
        <v>41.0959</v>
      </c>
      <c r="S110" s="571">
        <f t="shared" si="12"/>
        <v>1341.1</v>
      </c>
      <c r="T110" s="571">
        <f t="shared" si="12"/>
        <v>0</v>
      </c>
      <c r="U110" s="682">
        <f>SUM(R110:T110)</f>
        <v>1382.1958999999999</v>
      </c>
    </row>
    <row r="111" spans="1:21" outlineLevel="1" x14ac:dyDescent="0.25">
      <c r="B111" s="560"/>
      <c r="C111" s="561" t="s">
        <v>383</v>
      </c>
      <c r="D111" s="561">
        <v>4</v>
      </c>
      <c r="E111" s="561" t="s">
        <v>298</v>
      </c>
      <c r="F111" s="753">
        <f>'DUoS (t)'!$S$70</f>
        <v>0.1065</v>
      </c>
      <c r="G111" s="754">
        <f>'TUoS (t)'!$S$70</f>
        <v>0.10829999999999999</v>
      </c>
      <c r="H111" s="754">
        <f>'JSO (t)'!$S$70</f>
        <v>0</v>
      </c>
      <c r="I111" s="755">
        <f>SUM(F111:H111)</f>
        <v>0.21479999999999999</v>
      </c>
      <c r="J111" s="752"/>
      <c r="K111" s="751">
        <f>-G111</f>
        <v>-0.10829999999999999</v>
      </c>
      <c r="L111" s="751"/>
      <c r="M111" s="682">
        <f>SUM(J111:L111)</f>
        <v>-0.10829999999999999</v>
      </c>
      <c r="N111" s="752"/>
      <c r="O111" s="751"/>
      <c r="P111" s="751"/>
      <c r="Q111" s="682">
        <f>SUM(N111:P111)</f>
        <v>0</v>
      </c>
      <c r="R111" s="681">
        <f t="shared" si="12"/>
        <v>0.1065</v>
      </c>
      <c r="S111" s="571">
        <f t="shared" si="12"/>
        <v>0</v>
      </c>
      <c r="T111" s="571">
        <f t="shared" si="12"/>
        <v>0</v>
      </c>
      <c r="U111" s="682">
        <f>SUM(R111:T111)</f>
        <v>0.1065</v>
      </c>
    </row>
    <row r="112" spans="1:21" outlineLevel="1" x14ac:dyDescent="0.25">
      <c r="B112" s="560"/>
      <c r="C112" s="561" t="s">
        <v>384</v>
      </c>
      <c r="D112" s="561">
        <v>4</v>
      </c>
      <c r="E112" s="561" t="s">
        <v>298</v>
      </c>
      <c r="F112" s="753">
        <f>'DUoS (t)'!$T$70</f>
        <v>0.1036</v>
      </c>
      <c r="G112" s="754">
        <f>'TUoS (t)'!$T$70</f>
        <v>0</v>
      </c>
      <c r="H112" s="754">
        <f>'JSO (t)'!$T$70</f>
        <v>0</v>
      </c>
      <c r="I112" s="755">
        <f>SUM(F112:H112)</f>
        <v>0.1036</v>
      </c>
      <c r="J112" s="752"/>
      <c r="K112" s="751">
        <f>-G112</f>
        <v>0</v>
      </c>
      <c r="L112" s="751"/>
      <c r="M112" s="682">
        <f>SUM(J112:L112)</f>
        <v>0</v>
      </c>
      <c r="N112" s="752"/>
      <c r="O112" s="751"/>
      <c r="P112" s="751"/>
      <c r="Q112" s="682">
        <f>SUM(N112:P112)</f>
        <v>0</v>
      </c>
      <c r="R112" s="681">
        <f t="shared" si="12"/>
        <v>0.1036</v>
      </c>
      <c r="S112" s="571">
        <f t="shared" si="12"/>
        <v>0</v>
      </c>
      <c r="T112" s="571">
        <f t="shared" si="12"/>
        <v>0</v>
      </c>
      <c r="U112" s="682">
        <f>SUM(R112:T112)</f>
        <v>0.1036</v>
      </c>
    </row>
    <row r="113" spans="1:21" outlineLevel="1" x14ac:dyDescent="0.25">
      <c r="B113" s="560"/>
      <c r="C113" s="561" t="s">
        <v>580</v>
      </c>
      <c r="D113" s="561"/>
      <c r="E113" s="561" t="s">
        <v>292</v>
      </c>
      <c r="F113" s="753">
        <f>'DUoS (t)'!$I$70</f>
        <v>2.3900000000000001E-2</v>
      </c>
      <c r="G113" s="754">
        <f>'TUoS (t)'!$I$70</f>
        <v>1.3100000000000001E-2</v>
      </c>
      <c r="H113" s="754">
        <f>'JSO (t)'!$I$70</f>
        <v>4.4000000000000003E-3</v>
      </c>
      <c r="I113" s="755">
        <f>SUM(F113:H113)</f>
        <v>4.1400000000000006E-2</v>
      </c>
      <c r="J113" s="752"/>
      <c r="K113" s="751">
        <f>-G113</f>
        <v>-1.3100000000000001E-2</v>
      </c>
      <c r="L113" s="751"/>
      <c r="M113" s="682">
        <f>SUM(J113:L113)</f>
        <v>-1.3100000000000001E-2</v>
      </c>
      <c r="N113" s="752"/>
      <c r="O113" s="751"/>
      <c r="P113" s="751"/>
      <c r="Q113" s="682">
        <f>SUM(N113:P113)</f>
        <v>0</v>
      </c>
      <c r="R113" s="681">
        <f t="shared" si="12"/>
        <v>2.3900000000000001E-2</v>
      </c>
      <c r="S113" s="571">
        <f t="shared" si="12"/>
        <v>0</v>
      </c>
      <c r="T113" s="571">
        <f t="shared" si="12"/>
        <v>4.4000000000000003E-3</v>
      </c>
      <c r="U113" s="682">
        <f>SUM(R113:T113)</f>
        <v>2.8300000000000002E-2</v>
      </c>
    </row>
    <row r="114" spans="1:21" outlineLevel="1" x14ac:dyDescent="0.25">
      <c r="B114" s="562"/>
      <c r="C114" s="563" t="s">
        <v>581</v>
      </c>
      <c r="D114" s="563"/>
      <c r="E114" s="563" t="s">
        <v>292</v>
      </c>
      <c r="F114" s="756">
        <f>'DUoS (t)'!$K$70</f>
        <v>1.49E-2</v>
      </c>
      <c r="G114" s="757">
        <f>'TUoS (t)'!$K$70</f>
        <v>8.2000000000000007E-3</v>
      </c>
      <c r="H114" s="757">
        <f>'JSO (t)'!$K$70</f>
        <v>2.8E-3</v>
      </c>
      <c r="I114" s="758">
        <f>SUM(F114:H114)</f>
        <v>2.5900000000000003E-2</v>
      </c>
      <c r="J114" s="576"/>
      <c r="K114" s="577">
        <f>-G114</f>
        <v>-8.2000000000000007E-3</v>
      </c>
      <c r="L114" s="577"/>
      <c r="M114" s="574">
        <f>SUM(J114:L114)</f>
        <v>-8.2000000000000007E-3</v>
      </c>
      <c r="N114" s="576"/>
      <c r="O114" s="577"/>
      <c r="P114" s="577"/>
      <c r="Q114" s="574">
        <f>SUM(N114:P114)</f>
        <v>0</v>
      </c>
      <c r="R114" s="572">
        <f t="shared" si="12"/>
        <v>1.49E-2</v>
      </c>
      <c r="S114" s="573">
        <f t="shared" si="12"/>
        <v>0</v>
      </c>
      <c r="T114" s="573">
        <f t="shared" si="12"/>
        <v>2.8E-3</v>
      </c>
      <c r="U114" s="574">
        <f>SUM(R114:T114)</f>
        <v>1.77E-2</v>
      </c>
    </row>
    <row r="115" spans="1:21" outlineLevel="1" x14ac:dyDescent="0.25">
      <c r="F115" s="759"/>
      <c r="G115" s="759"/>
      <c r="H115" s="759"/>
      <c r="I115" s="759"/>
    </row>
    <row r="116" spans="1:21" outlineLevel="1" x14ac:dyDescent="0.25">
      <c r="A116" s="575" t="s">
        <v>572</v>
      </c>
      <c r="F116" s="760"/>
      <c r="G116" s="760"/>
      <c r="H116" s="760"/>
      <c r="I116" s="760"/>
      <c r="J116" s="764"/>
      <c r="K116" s="764"/>
      <c r="L116" s="764"/>
      <c r="M116" s="764"/>
      <c r="N116" s="764"/>
      <c r="O116" s="764"/>
      <c r="P116" s="764"/>
      <c r="Q116" s="764"/>
      <c r="R116" s="764"/>
      <c r="S116" s="764"/>
      <c r="T116" s="764"/>
      <c r="U116" s="764"/>
    </row>
    <row r="117" spans="1:21" outlineLevel="1" x14ac:dyDescent="0.25">
      <c r="B117" s="558"/>
      <c r="C117" s="559"/>
      <c r="D117" s="559"/>
      <c r="E117" s="559" t="s">
        <v>319</v>
      </c>
      <c r="F117" s="761"/>
      <c r="G117" s="762"/>
      <c r="H117" s="762"/>
      <c r="I117" s="763"/>
      <c r="J117" s="568"/>
      <c r="K117" s="569"/>
      <c r="L117" s="569"/>
      <c r="M117" s="570"/>
      <c r="N117" s="568"/>
      <c r="O117" s="569"/>
      <c r="P117" s="569"/>
      <c r="Q117" s="570"/>
      <c r="R117" s="568"/>
      <c r="S117" s="569"/>
      <c r="T117" s="569"/>
      <c r="U117" s="570"/>
    </row>
    <row r="118" spans="1:21" outlineLevel="1" x14ac:dyDescent="0.25">
      <c r="B118" s="560"/>
      <c r="C118" s="561" t="s">
        <v>382</v>
      </c>
      <c r="D118" s="561"/>
      <c r="E118" s="561" t="s">
        <v>291</v>
      </c>
      <c r="F118" s="753">
        <f>'DUoS (t)'!$G$70*1</f>
        <v>41.0959</v>
      </c>
      <c r="G118" s="754">
        <f>'TUoS (t)'!$G$70*1</f>
        <v>0</v>
      </c>
      <c r="H118" s="754">
        <f>'JSO (t)'!$G$70*1</f>
        <v>0</v>
      </c>
      <c r="I118" s="755">
        <f>SUM(F118:H118)</f>
        <v>41.0959</v>
      </c>
      <c r="J118" s="752"/>
      <c r="K118" s="751">
        <f>-G118</f>
        <v>0</v>
      </c>
      <c r="L118" s="751"/>
      <c r="M118" s="682">
        <f>SUM(J118:L118)</f>
        <v>0</v>
      </c>
      <c r="N118" s="752"/>
      <c r="O118" s="751">
        <v>970.45</v>
      </c>
      <c r="P118" s="751"/>
      <c r="Q118" s="682">
        <f>SUM(N118:P118)</f>
        <v>970.45</v>
      </c>
      <c r="R118" s="681">
        <f t="shared" ref="R118:T122" si="13">SUM(F118,J118,N118)</f>
        <v>41.0959</v>
      </c>
      <c r="S118" s="571">
        <f t="shared" si="13"/>
        <v>970.45</v>
      </c>
      <c r="T118" s="571">
        <f t="shared" si="13"/>
        <v>0</v>
      </c>
      <c r="U118" s="682">
        <f>SUM(R118:T118)</f>
        <v>1011.5459000000001</v>
      </c>
    </row>
    <row r="119" spans="1:21" outlineLevel="1" x14ac:dyDescent="0.25">
      <c r="B119" s="560"/>
      <c r="C119" s="561" t="s">
        <v>383</v>
      </c>
      <c r="D119" s="561">
        <v>4</v>
      </c>
      <c r="E119" s="561" t="s">
        <v>298</v>
      </c>
      <c r="F119" s="753">
        <f>'DUoS (t)'!$S$70</f>
        <v>0.1065</v>
      </c>
      <c r="G119" s="754">
        <f>'TUoS (t)'!$S$70</f>
        <v>0.10829999999999999</v>
      </c>
      <c r="H119" s="754">
        <f>'JSO (t)'!$S$70</f>
        <v>0</v>
      </c>
      <c r="I119" s="755">
        <f>SUM(F119:H119)</f>
        <v>0.21479999999999999</v>
      </c>
      <c r="J119" s="752"/>
      <c r="K119" s="751">
        <f>-G119</f>
        <v>-0.10829999999999999</v>
      </c>
      <c r="L119" s="751"/>
      <c r="M119" s="682">
        <f>SUM(J119:L119)</f>
        <v>-0.10829999999999999</v>
      </c>
      <c r="N119" s="752"/>
      <c r="O119" s="751"/>
      <c r="P119" s="751"/>
      <c r="Q119" s="682">
        <f>SUM(N119:P119)</f>
        <v>0</v>
      </c>
      <c r="R119" s="681">
        <f t="shared" si="13"/>
        <v>0.1065</v>
      </c>
      <c r="S119" s="571">
        <f t="shared" si="13"/>
        <v>0</v>
      </c>
      <c r="T119" s="571">
        <f t="shared" si="13"/>
        <v>0</v>
      </c>
      <c r="U119" s="682">
        <f>SUM(R119:T119)</f>
        <v>0.1065</v>
      </c>
    </row>
    <row r="120" spans="1:21" outlineLevel="1" x14ac:dyDescent="0.25">
      <c r="B120" s="560"/>
      <c r="C120" s="561" t="s">
        <v>384</v>
      </c>
      <c r="D120" s="561">
        <v>4</v>
      </c>
      <c r="E120" s="561" t="s">
        <v>298</v>
      </c>
      <c r="F120" s="753">
        <f>'DUoS (t)'!$T$70</f>
        <v>0.1036</v>
      </c>
      <c r="G120" s="754">
        <f>'TUoS (t)'!$T$70</f>
        <v>0</v>
      </c>
      <c r="H120" s="754">
        <f>'JSO (t)'!$T$70</f>
        <v>0</v>
      </c>
      <c r="I120" s="755">
        <f>SUM(F120:H120)</f>
        <v>0.1036</v>
      </c>
      <c r="J120" s="752"/>
      <c r="K120" s="751">
        <f>-G120</f>
        <v>0</v>
      </c>
      <c r="L120" s="751"/>
      <c r="M120" s="682">
        <f>SUM(J120:L120)</f>
        <v>0</v>
      </c>
      <c r="N120" s="752"/>
      <c r="O120" s="751"/>
      <c r="P120" s="751"/>
      <c r="Q120" s="682">
        <f>SUM(N120:P120)</f>
        <v>0</v>
      </c>
      <c r="R120" s="681">
        <f t="shared" si="13"/>
        <v>0.1036</v>
      </c>
      <c r="S120" s="571">
        <f t="shared" si="13"/>
        <v>0</v>
      </c>
      <c r="T120" s="571">
        <f t="shared" si="13"/>
        <v>0</v>
      </c>
      <c r="U120" s="682">
        <f>SUM(R120:T120)</f>
        <v>0.1036</v>
      </c>
    </row>
    <row r="121" spans="1:21" outlineLevel="1" x14ac:dyDescent="0.25">
      <c r="B121" s="560"/>
      <c r="C121" s="561" t="s">
        <v>580</v>
      </c>
      <c r="D121" s="561"/>
      <c r="E121" s="561" t="s">
        <v>292</v>
      </c>
      <c r="F121" s="753">
        <f>'DUoS (t)'!$I$70</f>
        <v>2.3900000000000001E-2</v>
      </c>
      <c r="G121" s="754">
        <f>'TUoS (t)'!$I$70</f>
        <v>1.3100000000000001E-2</v>
      </c>
      <c r="H121" s="754">
        <f>'JSO (t)'!$I$70</f>
        <v>4.4000000000000003E-3</v>
      </c>
      <c r="I121" s="755">
        <f>SUM(F121:H121)</f>
        <v>4.1400000000000006E-2</v>
      </c>
      <c r="J121" s="752"/>
      <c r="K121" s="751">
        <f>-G121</f>
        <v>-1.3100000000000001E-2</v>
      </c>
      <c r="L121" s="751"/>
      <c r="M121" s="682">
        <f>SUM(J121:L121)</f>
        <v>-1.3100000000000001E-2</v>
      </c>
      <c r="N121" s="752"/>
      <c r="O121" s="751"/>
      <c r="P121" s="751"/>
      <c r="Q121" s="682">
        <f>SUM(N121:P121)</f>
        <v>0</v>
      </c>
      <c r="R121" s="681">
        <f t="shared" si="13"/>
        <v>2.3900000000000001E-2</v>
      </c>
      <c r="S121" s="571">
        <f t="shared" si="13"/>
        <v>0</v>
      </c>
      <c r="T121" s="571">
        <f t="shared" si="13"/>
        <v>4.4000000000000003E-3</v>
      </c>
      <c r="U121" s="682">
        <f>SUM(R121:T121)</f>
        <v>2.8300000000000002E-2</v>
      </c>
    </row>
    <row r="122" spans="1:21" outlineLevel="1" x14ac:dyDescent="0.25">
      <c r="B122" s="562"/>
      <c r="C122" s="563" t="s">
        <v>581</v>
      </c>
      <c r="D122" s="563"/>
      <c r="E122" s="563" t="s">
        <v>292</v>
      </c>
      <c r="F122" s="756">
        <f>'DUoS (t)'!$K$70</f>
        <v>1.49E-2</v>
      </c>
      <c r="G122" s="757">
        <f>'TUoS (t)'!$K$70</f>
        <v>8.2000000000000007E-3</v>
      </c>
      <c r="H122" s="757">
        <f>'JSO (t)'!$K$70</f>
        <v>2.8E-3</v>
      </c>
      <c r="I122" s="758">
        <f>SUM(F122:H122)</f>
        <v>2.5900000000000003E-2</v>
      </c>
      <c r="J122" s="576"/>
      <c r="K122" s="577">
        <f>-G122</f>
        <v>-8.2000000000000007E-3</v>
      </c>
      <c r="L122" s="577"/>
      <c r="M122" s="574">
        <f>SUM(J122:L122)</f>
        <v>-8.2000000000000007E-3</v>
      </c>
      <c r="N122" s="576"/>
      <c r="O122" s="577"/>
      <c r="P122" s="577"/>
      <c r="Q122" s="574">
        <f>SUM(N122:P122)</f>
        <v>0</v>
      </c>
      <c r="R122" s="572">
        <f t="shared" si="13"/>
        <v>1.49E-2</v>
      </c>
      <c r="S122" s="573">
        <f t="shared" si="13"/>
        <v>0</v>
      </c>
      <c r="T122" s="573">
        <f t="shared" si="13"/>
        <v>2.8E-3</v>
      </c>
      <c r="U122" s="574">
        <f>SUM(R122:T122)</f>
        <v>1.77E-2</v>
      </c>
    </row>
    <row r="123" spans="1:21" outlineLevel="1" x14ac:dyDescent="0.25">
      <c r="F123" s="759"/>
      <c r="G123" s="759"/>
      <c r="H123" s="759"/>
      <c r="I123" s="759"/>
    </row>
    <row r="124" spans="1:21" outlineLevel="1" x14ac:dyDescent="0.25">
      <c r="A124" s="575" t="s">
        <v>584</v>
      </c>
      <c r="F124" s="760"/>
      <c r="G124" s="760"/>
      <c r="H124" s="760"/>
      <c r="I124" s="760"/>
      <c r="J124" s="764"/>
      <c r="K124" s="764"/>
      <c r="L124" s="764"/>
      <c r="M124" s="764"/>
      <c r="N124" s="764"/>
      <c r="O124" s="764"/>
      <c r="P124" s="764"/>
      <c r="Q124" s="764"/>
      <c r="R124" s="764"/>
      <c r="S124" s="764"/>
      <c r="T124" s="764"/>
      <c r="U124" s="764"/>
    </row>
    <row r="125" spans="1:21" outlineLevel="1" x14ac:dyDescent="0.25">
      <c r="B125" s="558"/>
      <c r="C125" s="559"/>
      <c r="D125" s="559"/>
      <c r="E125" s="559" t="s">
        <v>319</v>
      </c>
      <c r="F125" s="761"/>
      <c r="G125" s="762"/>
      <c r="H125" s="762"/>
      <c r="I125" s="763"/>
      <c r="J125" s="568"/>
      <c r="K125" s="569"/>
      <c r="L125" s="569"/>
      <c r="M125" s="570"/>
      <c r="N125" s="568"/>
      <c r="O125" s="569"/>
      <c r="P125" s="569"/>
      <c r="Q125" s="570"/>
      <c r="R125" s="568"/>
      <c r="S125" s="569"/>
      <c r="T125" s="569"/>
      <c r="U125" s="570"/>
    </row>
    <row r="126" spans="1:21" outlineLevel="1" x14ac:dyDescent="0.25">
      <c r="B126" s="560"/>
      <c r="C126" s="561" t="s">
        <v>382</v>
      </c>
      <c r="D126" s="561"/>
      <c r="E126" s="561" t="s">
        <v>291</v>
      </c>
      <c r="F126" s="753">
        <f>'DUoS (t)'!$G$70*1</f>
        <v>41.0959</v>
      </c>
      <c r="G126" s="754">
        <f>'TUoS (t)'!$G$70*1</f>
        <v>0</v>
      </c>
      <c r="H126" s="754">
        <f>'JSO (t)'!$G$70*1</f>
        <v>0</v>
      </c>
      <c r="I126" s="755">
        <f>SUM(F126:H126)</f>
        <v>41.0959</v>
      </c>
      <c r="J126" s="752"/>
      <c r="K126" s="751"/>
      <c r="L126" s="751"/>
      <c r="M126" s="682">
        <f>SUM(J126:L126)</f>
        <v>0</v>
      </c>
      <c r="N126" s="752">
        <f>2*F126</f>
        <v>82.191800000000001</v>
      </c>
      <c r="O126" s="751"/>
      <c r="P126" s="751"/>
      <c r="Q126" s="682">
        <f>SUM(N126:P126)</f>
        <v>82.191800000000001</v>
      </c>
      <c r="R126" s="681">
        <f t="shared" ref="R126:T130" si="14">SUM(F126,J126,N126)</f>
        <v>123.2877</v>
      </c>
      <c r="S126" s="571">
        <f t="shared" si="14"/>
        <v>0</v>
      </c>
      <c r="T126" s="571">
        <f t="shared" si="14"/>
        <v>0</v>
      </c>
      <c r="U126" s="682">
        <f>SUM(R126:T126)</f>
        <v>123.2877</v>
      </c>
    </row>
    <row r="127" spans="1:21" outlineLevel="1" x14ac:dyDescent="0.25">
      <c r="B127" s="560"/>
      <c r="C127" s="561" t="s">
        <v>383</v>
      </c>
      <c r="D127" s="561">
        <v>4</v>
      </c>
      <c r="E127" s="561" t="s">
        <v>298</v>
      </c>
      <c r="F127" s="753">
        <f>'DUoS (t)'!$S$70</f>
        <v>0.1065</v>
      </c>
      <c r="G127" s="754">
        <f>'TUoS (t)'!$S$70</f>
        <v>0.10829999999999999</v>
      </c>
      <c r="H127" s="754">
        <f>'JSO (t)'!$S$70</f>
        <v>0</v>
      </c>
      <c r="I127" s="755">
        <f>SUM(F127:H127)</f>
        <v>0.21479999999999999</v>
      </c>
      <c r="J127" s="752"/>
      <c r="K127" s="751"/>
      <c r="L127" s="751"/>
      <c r="M127" s="682">
        <f>SUM(J127:L127)</f>
        <v>0</v>
      </c>
      <c r="N127" s="752"/>
      <c r="O127" s="751"/>
      <c r="P127" s="751"/>
      <c r="Q127" s="682">
        <f>SUM(N127:P127)</f>
        <v>0</v>
      </c>
      <c r="R127" s="681">
        <f t="shared" si="14"/>
        <v>0.1065</v>
      </c>
      <c r="S127" s="571">
        <f t="shared" si="14"/>
        <v>0.10829999999999999</v>
      </c>
      <c r="T127" s="571">
        <f t="shared" si="14"/>
        <v>0</v>
      </c>
      <c r="U127" s="682">
        <f>SUM(R127:T127)</f>
        <v>0.21479999999999999</v>
      </c>
    </row>
    <row r="128" spans="1:21" outlineLevel="1" x14ac:dyDescent="0.25">
      <c r="B128" s="560"/>
      <c r="C128" s="561" t="s">
        <v>384</v>
      </c>
      <c r="D128" s="561">
        <v>4</v>
      </c>
      <c r="E128" s="561" t="s">
        <v>298</v>
      </c>
      <c r="F128" s="753">
        <f>'DUoS (t)'!$T$70</f>
        <v>0.1036</v>
      </c>
      <c r="G128" s="754">
        <f>'TUoS (t)'!$T$70</f>
        <v>0</v>
      </c>
      <c r="H128" s="754">
        <f>'JSO (t)'!$T$70</f>
        <v>0</v>
      </c>
      <c r="I128" s="755">
        <f>SUM(F128:H128)</f>
        <v>0.1036</v>
      </c>
      <c r="J128" s="752"/>
      <c r="K128" s="751"/>
      <c r="L128" s="751"/>
      <c r="M128" s="682">
        <f>SUM(J128:L128)</f>
        <v>0</v>
      </c>
      <c r="N128" s="752"/>
      <c r="O128" s="751"/>
      <c r="P128" s="751"/>
      <c r="Q128" s="682">
        <f>SUM(N128:P128)</f>
        <v>0</v>
      </c>
      <c r="R128" s="681">
        <f t="shared" si="14"/>
        <v>0.1036</v>
      </c>
      <c r="S128" s="571">
        <f t="shared" si="14"/>
        <v>0</v>
      </c>
      <c r="T128" s="571">
        <f t="shared" si="14"/>
        <v>0</v>
      </c>
      <c r="U128" s="682">
        <f>SUM(R128:T128)</f>
        <v>0.1036</v>
      </c>
    </row>
    <row r="129" spans="1:21" outlineLevel="1" x14ac:dyDescent="0.25">
      <c r="B129" s="560"/>
      <c r="C129" s="561" t="s">
        <v>580</v>
      </c>
      <c r="D129" s="561"/>
      <c r="E129" s="561" t="s">
        <v>292</v>
      </c>
      <c r="F129" s="753">
        <f>'DUoS (t)'!$I$70</f>
        <v>2.3900000000000001E-2</v>
      </c>
      <c r="G129" s="754">
        <f>'TUoS (t)'!$I$70</f>
        <v>1.3100000000000001E-2</v>
      </c>
      <c r="H129" s="754">
        <f>'JSO (t)'!$I$70</f>
        <v>4.4000000000000003E-3</v>
      </c>
      <c r="I129" s="755">
        <f>SUM(F129:H129)</f>
        <v>4.1400000000000006E-2</v>
      </c>
      <c r="J129" s="752"/>
      <c r="K129" s="751"/>
      <c r="L129" s="751"/>
      <c r="M129" s="682">
        <f>SUM(J129:L129)</f>
        <v>0</v>
      </c>
      <c r="N129" s="752"/>
      <c r="O129" s="751"/>
      <c r="P129" s="751"/>
      <c r="Q129" s="682">
        <f>SUM(N129:P129)</f>
        <v>0</v>
      </c>
      <c r="R129" s="681">
        <f t="shared" si="14"/>
        <v>2.3900000000000001E-2</v>
      </c>
      <c r="S129" s="571">
        <f t="shared" si="14"/>
        <v>1.3100000000000001E-2</v>
      </c>
      <c r="T129" s="571">
        <f t="shared" si="14"/>
        <v>4.4000000000000003E-3</v>
      </c>
      <c r="U129" s="682">
        <f>SUM(R129:T129)</f>
        <v>4.1400000000000006E-2</v>
      </c>
    </row>
    <row r="130" spans="1:21" outlineLevel="1" x14ac:dyDescent="0.25">
      <c r="B130" s="562"/>
      <c r="C130" s="563" t="s">
        <v>581</v>
      </c>
      <c r="D130" s="563"/>
      <c r="E130" s="563" t="s">
        <v>292</v>
      </c>
      <c r="F130" s="756">
        <f>'DUoS (t)'!$K$70</f>
        <v>1.49E-2</v>
      </c>
      <c r="G130" s="757">
        <f>'TUoS (t)'!$K$70</f>
        <v>8.2000000000000007E-3</v>
      </c>
      <c r="H130" s="757">
        <f>'JSO (t)'!$K$70</f>
        <v>2.8E-3</v>
      </c>
      <c r="I130" s="758">
        <f>SUM(F130:H130)</f>
        <v>2.5900000000000003E-2</v>
      </c>
      <c r="J130" s="576"/>
      <c r="K130" s="577"/>
      <c r="L130" s="577"/>
      <c r="M130" s="574">
        <f>SUM(J130:L130)</f>
        <v>0</v>
      </c>
      <c r="N130" s="576"/>
      <c r="O130" s="577"/>
      <c r="P130" s="577"/>
      <c r="Q130" s="574">
        <f>SUM(N130:P130)</f>
        <v>0</v>
      </c>
      <c r="R130" s="572">
        <f t="shared" si="14"/>
        <v>1.49E-2</v>
      </c>
      <c r="S130" s="573">
        <f t="shared" si="14"/>
        <v>8.2000000000000007E-3</v>
      </c>
      <c r="T130" s="573">
        <f t="shared" si="14"/>
        <v>2.8E-3</v>
      </c>
      <c r="U130" s="574">
        <f>SUM(R130:T130)</f>
        <v>2.5900000000000003E-2</v>
      </c>
    </row>
    <row r="131" spans="1:21" outlineLevel="1" x14ac:dyDescent="0.25">
      <c r="B131" s="578"/>
      <c r="C131" s="578"/>
      <c r="D131" s="578"/>
      <c r="E131" s="578"/>
      <c r="F131" s="754"/>
      <c r="G131" s="754"/>
      <c r="H131" s="754"/>
      <c r="I131" s="754"/>
      <c r="J131" s="571"/>
      <c r="K131" s="571"/>
      <c r="L131" s="571"/>
      <c r="M131" s="571"/>
      <c r="N131" s="571"/>
      <c r="O131" s="571"/>
      <c r="P131" s="571"/>
      <c r="Q131" s="571"/>
      <c r="R131" s="571"/>
      <c r="S131" s="571"/>
      <c r="T131" s="571"/>
      <c r="U131" s="571"/>
    </row>
    <row r="132" spans="1:21" outlineLevel="1" x14ac:dyDescent="0.25">
      <c r="A132" s="575" t="s">
        <v>573</v>
      </c>
      <c r="F132" s="760"/>
      <c r="G132" s="760"/>
      <c r="H132" s="760"/>
      <c r="I132" s="760"/>
      <c r="J132" s="764"/>
      <c r="K132" s="764"/>
      <c r="L132" s="764"/>
      <c r="M132" s="764"/>
      <c r="N132" s="764"/>
      <c r="O132" s="764"/>
      <c r="P132" s="764"/>
      <c r="Q132" s="764"/>
      <c r="R132" s="764"/>
      <c r="S132" s="764"/>
      <c r="T132" s="764"/>
      <c r="U132" s="764"/>
    </row>
    <row r="133" spans="1:21" outlineLevel="1" x14ac:dyDescent="0.25">
      <c r="B133" s="558"/>
      <c r="C133" s="559"/>
      <c r="D133" s="559"/>
      <c r="E133" s="559" t="s">
        <v>319</v>
      </c>
      <c r="F133" s="761"/>
      <c r="G133" s="762"/>
      <c r="H133" s="762"/>
      <c r="I133" s="763"/>
      <c r="J133" s="568"/>
      <c r="K133" s="569"/>
      <c r="L133" s="569"/>
      <c r="M133" s="570"/>
      <c r="N133" s="568"/>
      <c r="O133" s="569"/>
      <c r="P133" s="569"/>
      <c r="Q133" s="570"/>
      <c r="R133" s="568"/>
      <c r="S133" s="569"/>
      <c r="T133" s="569"/>
      <c r="U133" s="570"/>
    </row>
    <row r="134" spans="1:21" outlineLevel="1" x14ac:dyDescent="0.25">
      <c r="B134" s="560"/>
      <c r="C134" s="561" t="s">
        <v>382</v>
      </c>
      <c r="D134" s="561"/>
      <c r="E134" s="561" t="s">
        <v>291</v>
      </c>
      <c r="F134" s="753">
        <f>'DUoS (t)'!$G$70*1</f>
        <v>41.0959</v>
      </c>
      <c r="G134" s="754">
        <f>'TUoS (t)'!$G$70*1</f>
        <v>0</v>
      </c>
      <c r="H134" s="754">
        <f>'JSO (t)'!$G$70*1</f>
        <v>0</v>
      </c>
      <c r="I134" s="755">
        <f>SUM(F134:H134)</f>
        <v>41.0959</v>
      </c>
      <c r="J134" s="752"/>
      <c r="K134" s="751">
        <f>-G134</f>
        <v>0</v>
      </c>
      <c r="L134" s="751"/>
      <c r="M134" s="682">
        <f>SUM(J134:L134)</f>
        <v>0</v>
      </c>
      <c r="N134" s="752"/>
      <c r="O134" s="751">
        <v>1157.05</v>
      </c>
      <c r="P134" s="751"/>
      <c r="Q134" s="682">
        <f>SUM(N134:P134)</f>
        <v>1157.05</v>
      </c>
      <c r="R134" s="681">
        <f t="shared" ref="R134:T138" si="15">SUM(F134,J134,N134)</f>
        <v>41.0959</v>
      </c>
      <c r="S134" s="571">
        <f t="shared" si="15"/>
        <v>1157.05</v>
      </c>
      <c r="T134" s="571">
        <f t="shared" si="15"/>
        <v>0</v>
      </c>
      <c r="U134" s="682">
        <f>SUM(R134:T134)</f>
        <v>1198.1459</v>
      </c>
    </row>
    <row r="135" spans="1:21" outlineLevel="1" x14ac:dyDescent="0.25">
      <c r="B135" s="560"/>
      <c r="C135" s="561" t="s">
        <v>383</v>
      </c>
      <c r="D135" s="561">
        <v>4</v>
      </c>
      <c r="E135" s="561" t="s">
        <v>298</v>
      </c>
      <c r="F135" s="753">
        <f>'DUoS (t)'!$S$70</f>
        <v>0.1065</v>
      </c>
      <c r="G135" s="754">
        <f>'TUoS (t)'!$S$70</f>
        <v>0.10829999999999999</v>
      </c>
      <c r="H135" s="754">
        <f>'JSO (t)'!$S$70</f>
        <v>0</v>
      </c>
      <c r="I135" s="755">
        <f>SUM(F135:H135)</f>
        <v>0.21479999999999999</v>
      </c>
      <c r="J135" s="752"/>
      <c r="K135" s="751">
        <f>-G135</f>
        <v>-0.10829999999999999</v>
      </c>
      <c r="L135" s="751"/>
      <c r="M135" s="682">
        <f>SUM(J135:L135)</f>
        <v>-0.10829999999999999</v>
      </c>
      <c r="N135" s="752"/>
      <c r="O135" s="751"/>
      <c r="P135" s="751"/>
      <c r="Q135" s="682">
        <f>SUM(N135:P135)</f>
        <v>0</v>
      </c>
      <c r="R135" s="681">
        <f t="shared" si="15"/>
        <v>0.1065</v>
      </c>
      <c r="S135" s="571">
        <f t="shared" si="15"/>
        <v>0</v>
      </c>
      <c r="T135" s="571">
        <f t="shared" si="15"/>
        <v>0</v>
      </c>
      <c r="U135" s="682">
        <f>SUM(R135:T135)</f>
        <v>0.1065</v>
      </c>
    </row>
    <row r="136" spans="1:21" outlineLevel="1" x14ac:dyDescent="0.25">
      <c r="B136" s="560"/>
      <c r="C136" s="561" t="s">
        <v>384</v>
      </c>
      <c r="D136" s="561">
        <v>4</v>
      </c>
      <c r="E136" s="561" t="s">
        <v>298</v>
      </c>
      <c r="F136" s="753">
        <f>'DUoS (t)'!$T$70</f>
        <v>0.1036</v>
      </c>
      <c r="G136" s="754">
        <f>'TUoS (t)'!$T$70</f>
        <v>0</v>
      </c>
      <c r="H136" s="754">
        <f>'JSO (t)'!$T$70</f>
        <v>0</v>
      </c>
      <c r="I136" s="755">
        <f>SUM(F136:H136)</f>
        <v>0.1036</v>
      </c>
      <c r="J136" s="752"/>
      <c r="K136" s="751">
        <f>-G136</f>
        <v>0</v>
      </c>
      <c r="L136" s="751"/>
      <c r="M136" s="682">
        <f>SUM(J136:L136)</f>
        <v>0</v>
      </c>
      <c r="N136" s="752"/>
      <c r="O136" s="751"/>
      <c r="P136" s="751"/>
      <c r="Q136" s="682">
        <f>SUM(N136:P136)</f>
        <v>0</v>
      </c>
      <c r="R136" s="681">
        <f t="shared" si="15"/>
        <v>0.1036</v>
      </c>
      <c r="S136" s="571">
        <f t="shared" si="15"/>
        <v>0</v>
      </c>
      <c r="T136" s="571">
        <f t="shared" si="15"/>
        <v>0</v>
      </c>
      <c r="U136" s="682">
        <f>SUM(R136:T136)</f>
        <v>0.1036</v>
      </c>
    </row>
    <row r="137" spans="1:21" outlineLevel="1" x14ac:dyDescent="0.25">
      <c r="B137" s="560"/>
      <c r="C137" s="561" t="s">
        <v>580</v>
      </c>
      <c r="D137" s="561"/>
      <c r="E137" s="561" t="s">
        <v>292</v>
      </c>
      <c r="F137" s="753">
        <f>'DUoS (t)'!$I$70</f>
        <v>2.3900000000000001E-2</v>
      </c>
      <c r="G137" s="754">
        <f>'TUoS (t)'!$I$70</f>
        <v>1.3100000000000001E-2</v>
      </c>
      <c r="H137" s="754">
        <f>'JSO (t)'!$I$70</f>
        <v>4.4000000000000003E-3</v>
      </c>
      <c r="I137" s="755">
        <f>SUM(F137:H137)</f>
        <v>4.1400000000000006E-2</v>
      </c>
      <c r="J137" s="752"/>
      <c r="K137" s="751">
        <f>-G137</f>
        <v>-1.3100000000000001E-2</v>
      </c>
      <c r="L137" s="751"/>
      <c r="M137" s="682">
        <f>SUM(J137:L137)</f>
        <v>-1.3100000000000001E-2</v>
      </c>
      <c r="N137" s="752"/>
      <c r="O137" s="751"/>
      <c r="P137" s="751"/>
      <c r="Q137" s="682">
        <f>SUM(N137:P137)</f>
        <v>0</v>
      </c>
      <c r="R137" s="681">
        <f t="shared" si="15"/>
        <v>2.3900000000000001E-2</v>
      </c>
      <c r="S137" s="571">
        <f t="shared" si="15"/>
        <v>0</v>
      </c>
      <c r="T137" s="571">
        <f t="shared" si="15"/>
        <v>4.4000000000000003E-3</v>
      </c>
      <c r="U137" s="682">
        <f>SUM(R137:T137)</f>
        <v>2.8300000000000002E-2</v>
      </c>
    </row>
    <row r="138" spans="1:21" outlineLevel="1" x14ac:dyDescent="0.25">
      <c r="B138" s="562"/>
      <c r="C138" s="563" t="s">
        <v>581</v>
      </c>
      <c r="D138" s="563"/>
      <c r="E138" s="563" t="s">
        <v>292</v>
      </c>
      <c r="F138" s="756">
        <f>'DUoS (t)'!$K$70</f>
        <v>1.49E-2</v>
      </c>
      <c r="G138" s="757">
        <f>'TUoS (t)'!$K$70</f>
        <v>8.2000000000000007E-3</v>
      </c>
      <c r="H138" s="757">
        <f>'JSO (t)'!$K$70</f>
        <v>2.8E-3</v>
      </c>
      <c r="I138" s="758">
        <f>SUM(F138:H138)</f>
        <v>2.5900000000000003E-2</v>
      </c>
      <c r="J138" s="576"/>
      <c r="K138" s="577">
        <f>-G138</f>
        <v>-8.2000000000000007E-3</v>
      </c>
      <c r="L138" s="577"/>
      <c r="M138" s="574">
        <f>SUM(J138:L138)</f>
        <v>-8.2000000000000007E-3</v>
      </c>
      <c r="N138" s="576"/>
      <c r="O138" s="577"/>
      <c r="P138" s="577"/>
      <c r="Q138" s="574">
        <f>SUM(N138:P138)</f>
        <v>0</v>
      </c>
      <c r="R138" s="572">
        <f t="shared" si="15"/>
        <v>1.49E-2</v>
      </c>
      <c r="S138" s="573">
        <f t="shared" si="15"/>
        <v>0</v>
      </c>
      <c r="T138" s="573">
        <f t="shared" si="15"/>
        <v>2.8E-3</v>
      </c>
      <c r="U138" s="574">
        <f>SUM(R138:T138)</f>
        <v>1.77E-2</v>
      </c>
    </row>
    <row r="139" spans="1:21" outlineLevel="1" x14ac:dyDescent="0.25">
      <c r="B139" s="578"/>
      <c r="C139" s="578"/>
      <c r="D139" s="578"/>
      <c r="E139" s="578"/>
      <c r="F139" s="754"/>
      <c r="G139" s="754"/>
      <c r="H139" s="754"/>
      <c r="I139" s="754"/>
      <c r="J139" s="571"/>
      <c r="K139" s="571"/>
      <c r="L139" s="571"/>
      <c r="M139" s="571"/>
      <c r="N139" s="571"/>
      <c r="O139" s="571"/>
      <c r="P139" s="571"/>
      <c r="Q139" s="571"/>
      <c r="R139" s="571"/>
      <c r="S139" s="571"/>
      <c r="T139" s="571"/>
      <c r="U139" s="571"/>
    </row>
    <row r="140" spans="1:21" outlineLevel="1" x14ac:dyDescent="0.25">
      <c r="A140" s="575" t="s">
        <v>574</v>
      </c>
      <c r="F140" s="760"/>
      <c r="G140" s="760"/>
      <c r="H140" s="760"/>
      <c r="I140" s="760"/>
      <c r="J140" s="764"/>
      <c r="K140" s="764"/>
      <c r="L140" s="764"/>
      <c r="M140" s="764"/>
      <c r="N140" s="764"/>
      <c r="O140" s="764"/>
      <c r="P140" s="764"/>
      <c r="Q140" s="764"/>
      <c r="R140" s="764"/>
      <c r="S140" s="764"/>
      <c r="T140" s="764"/>
      <c r="U140" s="764"/>
    </row>
    <row r="141" spans="1:21" outlineLevel="1" x14ac:dyDescent="0.25">
      <c r="B141" s="558"/>
      <c r="C141" s="559"/>
      <c r="D141" s="559"/>
      <c r="E141" s="559" t="s">
        <v>319</v>
      </c>
      <c r="F141" s="761"/>
      <c r="G141" s="762"/>
      <c r="H141" s="762"/>
      <c r="I141" s="763"/>
      <c r="J141" s="568"/>
      <c r="K141" s="569"/>
      <c r="L141" s="569"/>
      <c r="M141" s="570"/>
      <c r="N141" s="568"/>
      <c r="O141" s="569"/>
      <c r="P141" s="569"/>
      <c r="Q141" s="570"/>
      <c r="R141" s="568"/>
      <c r="S141" s="569"/>
      <c r="T141" s="569"/>
      <c r="U141" s="570"/>
    </row>
    <row r="142" spans="1:21" outlineLevel="1" x14ac:dyDescent="0.25">
      <c r="B142" s="560"/>
      <c r="C142" s="561" t="s">
        <v>382</v>
      </c>
      <c r="D142" s="561"/>
      <c r="E142" s="561" t="s">
        <v>291</v>
      </c>
      <c r="F142" s="753">
        <f>'DUoS (t)'!$G$70*1</f>
        <v>41.0959</v>
      </c>
      <c r="G142" s="754">
        <f>'TUoS (t)'!$G$70*1</f>
        <v>0</v>
      </c>
      <c r="H142" s="754">
        <f>'JSO (t)'!$G$70*1</f>
        <v>0</v>
      </c>
      <c r="I142" s="755">
        <f>SUM(F142:H142)</f>
        <v>41.0959</v>
      </c>
      <c r="J142" s="752"/>
      <c r="K142" s="751">
        <f>-G142</f>
        <v>0</v>
      </c>
      <c r="L142" s="751"/>
      <c r="M142" s="682">
        <f>SUM(J142:L142)</f>
        <v>0</v>
      </c>
      <c r="N142" s="752"/>
      <c r="O142" s="751">
        <v>856.86</v>
      </c>
      <c r="P142" s="751"/>
      <c r="Q142" s="682">
        <f>SUM(N142:P142)</f>
        <v>856.86</v>
      </c>
      <c r="R142" s="681">
        <f t="shared" ref="R142:T146" si="16">SUM(F142,J142,N142)</f>
        <v>41.0959</v>
      </c>
      <c r="S142" s="571">
        <f t="shared" si="16"/>
        <v>856.86</v>
      </c>
      <c r="T142" s="571">
        <f t="shared" si="16"/>
        <v>0</v>
      </c>
      <c r="U142" s="682">
        <f>SUM(R142:T142)</f>
        <v>897.95590000000004</v>
      </c>
    </row>
    <row r="143" spans="1:21" outlineLevel="1" x14ac:dyDescent="0.25">
      <c r="B143" s="560"/>
      <c r="C143" s="561" t="s">
        <v>383</v>
      </c>
      <c r="D143" s="561">
        <v>4</v>
      </c>
      <c r="E143" s="561" t="s">
        <v>298</v>
      </c>
      <c r="F143" s="753">
        <f>'DUoS (t)'!$S$70</f>
        <v>0.1065</v>
      </c>
      <c r="G143" s="754">
        <f>'TUoS (t)'!$S$70</f>
        <v>0.10829999999999999</v>
      </c>
      <c r="H143" s="754">
        <f>'JSO (t)'!$S$70</f>
        <v>0</v>
      </c>
      <c r="I143" s="755">
        <f>SUM(F143:H143)</f>
        <v>0.21479999999999999</v>
      </c>
      <c r="J143" s="752"/>
      <c r="K143" s="751">
        <f>-G143</f>
        <v>-0.10829999999999999</v>
      </c>
      <c r="L143" s="751"/>
      <c r="M143" s="682">
        <f>SUM(J143:L143)</f>
        <v>-0.10829999999999999</v>
      </c>
      <c r="N143" s="752"/>
      <c r="O143" s="751"/>
      <c r="P143" s="751"/>
      <c r="Q143" s="682">
        <f>SUM(N143:P143)</f>
        <v>0</v>
      </c>
      <c r="R143" s="681">
        <f t="shared" si="16"/>
        <v>0.1065</v>
      </c>
      <c r="S143" s="571">
        <f t="shared" si="16"/>
        <v>0</v>
      </c>
      <c r="T143" s="571">
        <f t="shared" si="16"/>
        <v>0</v>
      </c>
      <c r="U143" s="682">
        <f>SUM(R143:T143)</f>
        <v>0.1065</v>
      </c>
    </row>
    <row r="144" spans="1:21" outlineLevel="1" x14ac:dyDescent="0.25">
      <c r="B144" s="560"/>
      <c r="C144" s="561" t="s">
        <v>384</v>
      </c>
      <c r="D144" s="561">
        <v>4</v>
      </c>
      <c r="E144" s="561" t="s">
        <v>298</v>
      </c>
      <c r="F144" s="753">
        <f>'DUoS (t)'!$T$70</f>
        <v>0.1036</v>
      </c>
      <c r="G144" s="754">
        <f>'TUoS (t)'!$T$70</f>
        <v>0</v>
      </c>
      <c r="H144" s="754">
        <f>'JSO (t)'!$T$70</f>
        <v>0</v>
      </c>
      <c r="I144" s="755">
        <f>SUM(F144:H144)</f>
        <v>0.1036</v>
      </c>
      <c r="J144" s="752"/>
      <c r="K144" s="751">
        <f>-G144</f>
        <v>0</v>
      </c>
      <c r="L144" s="751"/>
      <c r="M144" s="682">
        <f>SUM(J144:L144)</f>
        <v>0</v>
      </c>
      <c r="N144" s="752"/>
      <c r="O144" s="751"/>
      <c r="P144" s="751"/>
      <c r="Q144" s="682">
        <f>SUM(N144:P144)</f>
        <v>0</v>
      </c>
      <c r="R144" s="681">
        <f t="shared" si="16"/>
        <v>0.1036</v>
      </c>
      <c r="S144" s="571">
        <f t="shared" si="16"/>
        <v>0</v>
      </c>
      <c r="T144" s="571">
        <f t="shared" si="16"/>
        <v>0</v>
      </c>
      <c r="U144" s="682">
        <f>SUM(R144:T144)</f>
        <v>0.1036</v>
      </c>
    </row>
    <row r="145" spans="1:21" outlineLevel="1" x14ac:dyDescent="0.25">
      <c r="B145" s="560"/>
      <c r="C145" s="561" t="s">
        <v>580</v>
      </c>
      <c r="D145" s="561"/>
      <c r="E145" s="561" t="s">
        <v>292</v>
      </c>
      <c r="F145" s="753">
        <f>'DUoS (t)'!$I$70</f>
        <v>2.3900000000000001E-2</v>
      </c>
      <c r="G145" s="754">
        <f>'TUoS (t)'!$I$70</f>
        <v>1.3100000000000001E-2</v>
      </c>
      <c r="H145" s="754">
        <f>'JSO (t)'!$I$70</f>
        <v>4.4000000000000003E-3</v>
      </c>
      <c r="I145" s="755">
        <f>SUM(F145:H145)</f>
        <v>4.1400000000000006E-2</v>
      </c>
      <c r="J145" s="752"/>
      <c r="K145" s="751">
        <f>-G145</f>
        <v>-1.3100000000000001E-2</v>
      </c>
      <c r="L145" s="751"/>
      <c r="M145" s="682">
        <f>SUM(J145:L145)</f>
        <v>-1.3100000000000001E-2</v>
      </c>
      <c r="N145" s="752"/>
      <c r="O145" s="751"/>
      <c r="P145" s="751"/>
      <c r="Q145" s="682">
        <f>SUM(N145:P145)</f>
        <v>0</v>
      </c>
      <c r="R145" s="681">
        <f t="shared" si="16"/>
        <v>2.3900000000000001E-2</v>
      </c>
      <c r="S145" s="571">
        <f t="shared" si="16"/>
        <v>0</v>
      </c>
      <c r="T145" s="571">
        <f t="shared" si="16"/>
        <v>4.4000000000000003E-3</v>
      </c>
      <c r="U145" s="682">
        <f>SUM(R145:T145)</f>
        <v>2.8300000000000002E-2</v>
      </c>
    </row>
    <row r="146" spans="1:21" outlineLevel="1" x14ac:dyDescent="0.25">
      <c r="B146" s="562"/>
      <c r="C146" s="563" t="s">
        <v>581</v>
      </c>
      <c r="D146" s="563"/>
      <c r="E146" s="563" t="s">
        <v>292</v>
      </c>
      <c r="F146" s="756">
        <f>'DUoS (t)'!$K$70</f>
        <v>1.49E-2</v>
      </c>
      <c r="G146" s="757">
        <f>'TUoS (t)'!$K$70</f>
        <v>8.2000000000000007E-3</v>
      </c>
      <c r="H146" s="757">
        <f>'JSO (t)'!$K$70</f>
        <v>2.8E-3</v>
      </c>
      <c r="I146" s="758">
        <f>SUM(F146:H146)</f>
        <v>2.5900000000000003E-2</v>
      </c>
      <c r="J146" s="576"/>
      <c r="K146" s="577">
        <f>-G146</f>
        <v>-8.2000000000000007E-3</v>
      </c>
      <c r="L146" s="577"/>
      <c r="M146" s="574">
        <f>SUM(J146:L146)</f>
        <v>-8.2000000000000007E-3</v>
      </c>
      <c r="N146" s="576"/>
      <c r="O146" s="577"/>
      <c r="P146" s="577"/>
      <c r="Q146" s="574">
        <f>SUM(N146:P146)</f>
        <v>0</v>
      </c>
      <c r="R146" s="572">
        <f t="shared" si="16"/>
        <v>1.49E-2</v>
      </c>
      <c r="S146" s="573">
        <f t="shared" si="16"/>
        <v>0</v>
      </c>
      <c r="T146" s="573">
        <f t="shared" si="16"/>
        <v>2.8E-3</v>
      </c>
      <c r="U146" s="574">
        <f>SUM(R146:T146)</f>
        <v>1.77E-2</v>
      </c>
    </row>
    <row r="147" spans="1:21" outlineLevel="1" x14ac:dyDescent="0.25">
      <c r="F147" s="759"/>
      <c r="G147" s="759"/>
      <c r="H147" s="759"/>
      <c r="I147" s="759"/>
    </row>
    <row r="148" spans="1:21" outlineLevel="1" x14ac:dyDescent="0.25">
      <c r="A148" s="575" t="s">
        <v>575</v>
      </c>
      <c r="F148" s="760"/>
      <c r="G148" s="760"/>
      <c r="H148" s="760"/>
      <c r="I148" s="760"/>
      <c r="J148" s="764"/>
      <c r="K148" s="764"/>
      <c r="L148" s="764"/>
      <c r="M148" s="764"/>
      <c r="N148" s="764"/>
      <c r="O148" s="764"/>
      <c r="P148" s="764"/>
      <c r="Q148" s="764"/>
      <c r="R148" s="764"/>
      <c r="S148" s="764"/>
      <c r="T148" s="764"/>
      <c r="U148" s="764"/>
    </row>
    <row r="149" spans="1:21" outlineLevel="1" x14ac:dyDescent="0.25">
      <c r="B149" s="558"/>
      <c r="C149" s="559"/>
      <c r="D149" s="559"/>
      <c r="E149" s="559" t="s">
        <v>319</v>
      </c>
      <c r="F149" s="761"/>
      <c r="G149" s="762"/>
      <c r="H149" s="762"/>
      <c r="I149" s="763"/>
      <c r="J149" s="568"/>
      <c r="K149" s="569"/>
      <c r="L149" s="569"/>
      <c r="M149" s="570"/>
      <c r="N149" s="568"/>
      <c r="O149" s="569"/>
      <c r="P149" s="569"/>
      <c r="Q149" s="570"/>
      <c r="R149" s="568"/>
      <c r="S149" s="569"/>
      <c r="T149" s="569"/>
      <c r="U149" s="570"/>
    </row>
    <row r="150" spans="1:21" outlineLevel="1" x14ac:dyDescent="0.25">
      <c r="B150" s="560"/>
      <c r="C150" s="561" t="s">
        <v>382</v>
      </c>
      <c r="D150" s="561"/>
      <c r="E150" s="561" t="s">
        <v>291</v>
      </c>
      <c r="F150" s="753">
        <f>'DUoS (t)'!$G$70*1</f>
        <v>41.0959</v>
      </c>
      <c r="G150" s="754">
        <f>'TUoS (t)'!$G$70*1</f>
        <v>0</v>
      </c>
      <c r="H150" s="754">
        <f>'JSO (t)'!$G$70*1</f>
        <v>0</v>
      </c>
      <c r="I150" s="755">
        <f>SUM(F150:H150)</f>
        <v>41.0959</v>
      </c>
      <c r="J150" s="752"/>
      <c r="K150" s="751">
        <f>-G150</f>
        <v>0</v>
      </c>
      <c r="L150" s="751"/>
      <c r="M150" s="682">
        <f>SUM(J150:L150)</f>
        <v>0</v>
      </c>
      <c r="N150" s="752"/>
      <c r="O150" s="751">
        <v>788.44</v>
      </c>
      <c r="P150" s="751"/>
      <c r="Q150" s="682">
        <f>SUM(N150:P150)</f>
        <v>788.44</v>
      </c>
      <c r="R150" s="681">
        <f t="shared" ref="R150:T154" si="17">SUM(F150,J150,N150)</f>
        <v>41.0959</v>
      </c>
      <c r="S150" s="571">
        <f t="shared" si="17"/>
        <v>788.44</v>
      </c>
      <c r="T150" s="571">
        <f t="shared" si="17"/>
        <v>0</v>
      </c>
      <c r="U150" s="682">
        <f>SUM(R150:T150)</f>
        <v>829.53590000000008</v>
      </c>
    </row>
    <row r="151" spans="1:21" outlineLevel="1" x14ac:dyDescent="0.25">
      <c r="B151" s="560"/>
      <c r="C151" s="561" t="s">
        <v>383</v>
      </c>
      <c r="D151" s="561">
        <v>4</v>
      </c>
      <c r="E151" s="561" t="s">
        <v>298</v>
      </c>
      <c r="F151" s="753">
        <f>'DUoS (t)'!$S$70</f>
        <v>0.1065</v>
      </c>
      <c r="G151" s="754">
        <f>'TUoS (t)'!$S$70</f>
        <v>0.10829999999999999</v>
      </c>
      <c r="H151" s="754">
        <f>'JSO (t)'!$S$70</f>
        <v>0</v>
      </c>
      <c r="I151" s="755">
        <f>SUM(F151:H151)</f>
        <v>0.21479999999999999</v>
      </c>
      <c r="J151" s="752"/>
      <c r="K151" s="751">
        <f>-G151</f>
        <v>-0.10829999999999999</v>
      </c>
      <c r="L151" s="751"/>
      <c r="M151" s="682">
        <f>SUM(J151:L151)</f>
        <v>-0.10829999999999999</v>
      </c>
      <c r="N151" s="752"/>
      <c r="O151" s="751"/>
      <c r="P151" s="751"/>
      <c r="Q151" s="682">
        <f>SUM(N151:P151)</f>
        <v>0</v>
      </c>
      <c r="R151" s="681">
        <f t="shared" si="17"/>
        <v>0.1065</v>
      </c>
      <c r="S151" s="571">
        <f t="shared" si="17"/>
        <v>0</v>
      </c>
      <c r="T151" s="571">
        <f t="shared" si="17"/>
        <v>0</v>
      </c>
      <c r="U151" s="682">
        <f>SUM(R151:T151)</f>
        <v>0.1065</v>
      </c>
    </row>
    <row r="152" spans="1:21" outlineLevel="1" x14ac:dyDescent="0.25">
      <c r="B152" s="560"/>
      <c r="C152" s="561" t="s">
        <v>384</v>
      </c>
      <c r="D152" s="561">
        <v>4</v>
      </c>
      <c r="E152" s="561" t="s">
        <v>298</v>
      </c>
      <c r="F152" s="753">
        <f>'DUoS (t)'!$T$70</f>
        <v>0.1036</v>
      </c>
      <c r="G152" s="754">
        <f>'TUoS (t)'!$T$70</f>
        <v>0</v>
      </c>
      <c r="H152" s="754">
        <f>'JSO (t)'!$T$70</f>
        <v>0</v>
      </c>
      <c r="I152" s="755">
        <f>SUM(F152:H152)</f>
        <v>0.1036</v>
      </c>
      <c r="J152" s="752"/>
      <c r="K152" s="751">
        <f>-G152</f>
        <v>0</v>
      </c>
      <c r="L152" s="751"/>
      <c r="M152" s="682">
        <f>SUM(J152:L152)</f>
        <v>0</v>
      </c>
      <c r="N152" s="752"/>
      <c r="O152" s="751"/>
      <c r="P152" s="751"/>
      <c r="Q152" s="682">
        <f>SUM(N152:P152)</f>
        <v>0</v>
      </c>
      <c r="R152" s="681">
        <f t="shared" si="17"/>
        <v>0.1036</v>
      </c>
      <c r="S152" s="571">
        <f t="shared" si="17"/>
        <v>0</v>
      </c>
      <c r="T152" s="571">
        <f t="shared" si="17"/>
        <v>0</v>
      </c>
      <c r="U152" s="682">
        <f>SUM(R152:T152)</f>
        <v>0.1036</v>
      </c>
    </row>
    <row r="153" spans="1:21" outlineLevel="1" x14ac:dyDescent="0.25">
      <c r="B153" s="560"/>
      <c r="C153" s="561" t="s">
        <v>580</v>
      </c>
      <c r="D153" s="561"/>
      <c r="E153" s="561" t="s">
        <v>292</v>
      </c>
      <c r="F153" s="753">
        <f>'DUoS (t)'!$I$70</f>
        <v>2.3900000000000001E-2</v>
      </c>
      <c r="G153" s="754">
        <f>'TUoS (t)'!$I$70</f>
        <v>1.3100000000000001E-2</v>
      </c>
      <c r="H153" s="754">
        <f>'JSO (t)'!$I$70</f>
        <v>4.4000000000000003E-3</v>
      </c>
      <c r="I153" s="755">
        <f>SUM(F153:H153)</f>
        <v>4.1400000000000006E-2</v>
      </c>
      <c r="J153" s="752"/>
      <c r="K153" s="751">
        <f>-G153</f>
        <v>-1.3100000000000001E-2</v>
      </c>
      <c r="L153" s="751"/>
      <c r="M153" s="682">
        <f>SUM(J153:L153)</f>
        <v>-1.3100000000000001E-2</v>
      </c>
      <c r="N153" s="752"/>
      <c r="O153" s="751"/>
      <c r="P153" s="751"/>
      <c r="Q153" s="682">
        <f>SUM(N153:P153)</f>
        <v>0</v>
      </c>
      <c r="R153" s="681">
        <f t="shared" si="17"/>
        <v>2.3900000000000001E-2</v>
      </c>
      <c r="S153" s="571">
        <f t="shared" si="17"/>
        <v>0</v>
      </c>
      <c r="T153" s="571">
        <f t="shared" si="17"/>
        <v>4.4000000000000003E-3</v>
      </c>
      <c r="U153" s="682">
        <f>SUM(R153:T153)</f>
        <v>2.8300000000000002E-2</v>
      </c>
    </row>
    <row r="154" spans="1:21" outlineLevel="1" x14ac:dyDescent="0.25">
      <c r="B154" s="562"/>
      <c r="C154" s="563" t="s">
        <v>581</v>
      </c>
      <c r="D154" s="563"/>
      <c r="E154" s="563" t="s">
        <v>292</v>
      </c>
      <c r="F154" s="756">
        <f>'DUoS (t)'!$K$70</f>
        <v>1.49E-2</v>
      </c>
      <c r="G154" s="757">
        <f>'TUoS (t)'!$K$70</f>
        <v>8.2000000000000007E-3</v>
      </c>
      <c r="H154" s="757">
        <f>'JSO (t)'!$K$70</f>
        <v>2.8E-3</v>
      </c>
      <c r="I154" s="758">
        <f>SUM(F154:H154)</f>
        <v>2.5900000000000003E-2</v>
      </c>
      <c r="J154" s="576"/>
      <c r="K154" s="577">
        <f>-G154</f>
        <v>-8.2000000000000007E-3</v>
      </c>
      <c r="L154" s="577"/>
      <c r="M154" s="574">
        <f>SUM(J154:L154)</f>
        <v>-8.2000000000000007E-3</v>
      </c>
      <c r="N154" s="576"/>
      <c r="O154" s="577"/>
      <c r="P154" s="577"/>
      <c r="Q154" s="574">
        <f>SUM(N154:P154)</f>
        <v>0</v>
      </c>
      <c r="R154" s="572">
        <f t="shared" si="17"/>
        <v>1.49E-2</v>
      </c>
      <c r="S154" s="573">
        <f t="shared" si="17"/>
        <v>0</v>
      </c>
      <c r="T154" s="573">
        <f t="shared" si="17"/>
        <v>2.8E-3</v>
      </c>
      <c r="U154" s="574">
        <f>SUM(R154:T154)</f>
        <v>1.77E-2</v>
      </c>
    </row>
    <row r="155" spans="1:21" outlineLevel="1" x14ac:dyDescent="0.25">
      <c r="F155" s="759"/>
      <c r="G155" s="759"/>
      <c r="H155" s="759"/>
      <c r="I155" s="759"/>
    </row>
    <row r="156" spans="1:21" outlineLevel="1" x14ac:dyDescent="0.25">
      <c r="A156" s="575" t="s">
        <v>576</v>
      </c>
      <c r="F156" s="760"/>
      <c r="G156" s="760"/>
      <c r="H156" s="760"/>
      <c r="I156" s="760"/>
      <c r="J156" s="764"/>
      <c r="K156" s="764"/>
      <c r="L156" s="764"/>
      <c r="M156" s="764"/>
      <c r="N156" s="764"/>
      <c r="O156" s="764"/>
      <c r="P156" s="764"/>
      <c r="Q156" s="764"/>
      <c r="R156" s="764"/>
      <c r="S156" s="764"/>
      <c r="T156" s="764"/>
      <c r="U156" s="764"/>
    </row>
    <row r="157" spans="1:21" outlineLevel="1" x14ac:dyDescent="0.25">
      <c r="B157" s="558"/>
      <c r="C157" s="559"/>
      <c r="D157" s="559"/>
      <c r="E157" s="559" t="s">
        <v>319</v>
      </c>
      <c r="F157" s="761"/>
      <c r="G157" s="762"/>
      <c r="H157" s="762"/>
      <c r="I157" s="763"/>
      <c r="J157" s="568"/>
      <c r="K157" s="569"/>
      <c r="L157" s="569"/>
      <c r="M157" s="570"/>
      <c r="N157" s="568"/>
      <c r="O157" s="569"/>
      <c r="P157" s="569"/>
      <c r="Q157" s="570"/>
      <c r="R157" s="568"/>
      <c r="S157" s="569"/>
      <c r="T157" s="569"/>
      <c r="U157" s="570"/>
    </row>
    <row r="158" spans="1:21" outlineLevel="1" x14ac:dyDescent="0.25">
      <c r="B158" s="560"/>
      <c r="C158" s="561" t="s">
        <v>382</v>
      </c>
      <c r="D158" s="561"/>
      <c r="E158" s="561" t="s">
        <v>291</v>
      </c>
      <c r="F158" s="753">
        <f>'DUoS (t)'!$G$70*1</f>
        <v>41.0959</v>
      </c>
      <c r="G158" s="754">
        <f>'TUoS (t)'!$G$70*1</f>
        <v>0</v>
      </c>
      <c r="H158" s="754">
        <f>'JSO (t)'!$G$70*1</f>
        <v>0</v>
      </c>
      <c r="I158" s="755">
        <f>SUM(F158:H158)</f>
        <v>41.0959</v>
      </c>
      <c r="J158" s="752"/>
      <c r="K158" s="751">
        <f>-G158</f>
        <v>0</v>
      </c>
      <c r="L158" s="751"/>
      <c r="M158" s="682">
        <f>SUM(J158:L158)</f>
        <v>0</v>
      </c>
      <c r="N158" s="752"/>
      <c r="O158" s="751">
        <v>900.7</v>
      </c>
      <c r="P158" s="751"/>
      <c r="Q158" s="682">
        <f>SUM(N158:P158)</f>
        <v>900.7</v>
      </c>
      <c r="R158" s="681">
        <f t="shared" ref="R158:T162" si="18">SUM(F158,J158,N158)</f>
        <v>41.0959</v>
      </c>
      <c r="S158" s="571">
        <f t="shared" si="18"/>
        <v>900.7</v>
      </c>
      <c r="T158" s="571">
        <f t="shared" si="18"/>
        <v>0</v>
      </c>
      <c r="U158" s="682">
        <f>SUM(R158:T158)</f>
        <v>941.79590000000007</v>
      </c>
    </row>
    <row r="159" spans="1:21" outlineLevel="1" x14ac:dyDescent="0.25">
      <c r="B159" s="560"/>
      <c r="C159" s="561" t="s">
        <v>383</v>
      </c>
      <c r="D159" s="561">
        <v>4</v>
      </c>
      <c r="E159" s="561" t="s">
        <v>298</v>
      </c>
      <c r="F159" s="753">
        <f>'DUoS (t)'!$S$70</f>
        <v>0.1065</v>
      </c>
      <c r="G159" s="754">
        <f>'TUoS (t)'!$S$70</f>
        <v>0.10829999999999999</v>
      </c>
      <c r="H159" s="754">
        <f>'JSO (t)'!$S$70</f>
        <v>0</v>
      </c>
      <c r="I159" s="755">
        <f>SUM(F159:H159)</f>
        <v>0.21479999999999999</v>
      </c>
      <c r="J159" s="752"/>
      <c r="K159" s="751">
        <f>-G159</f>
        <v>-0.10829999999999999</v>
      </c>
      <c r="L159" s="751"/>
      <c r="M159" s="682">
        <f>SUM(J159:L159)</f>
        <v>-0.10829999999999999</v>
      </c>
      <c r="N159" s="752"/>
      <c r="O159" s="751"/>
      <c r="P159" s="751"/>
      <c r="Q159" s="682">
        <f>SUM(N159:P159)</f>
        <v>0</v>
      </c>
      <c r="R159" s="681">
        <f t="shared" si="18"/>
        <v>0.1065</v>
      </c>
      <c r="S159" s="571">
        <f t="shared" si="18"/>
        <v>0</v>
      </c>
      <c r="T159" s="571">
        <f t="shared" si="18"/>
        <v>0</v>
      </c>
      <c r="U159" s="682">
        <f>SUM(R159:T159)</f>
        <v>0.1065</v>
      </c>
    </row>
    <row r="160" spans="1:21" outlineLevel="1" x14ac:dyDescent="0.25">
      <c r="B160" s="560"/>
      <c r="C160" s="561" t="s">
        <v>384</v>
      </c>
      <c r="D160" s="561">
        <v>4</v>
      </c>
      <c r="E160" s="561" t="s">
        <v>298</v>
      </c>
      <c r="F160" s="753">
        <f>'DUoS (t)'!$T$70</f>
        <v>0.1036</v>
      </c>
      <c r="G160" s="754">
        <f>'TUoS (t)'!$T$70</f>
        <v>0</v>
      </c>
      <c r="H160" s="754">
        <f>'JSO (t)'!$T$70</f>
        <v>0</v>
      </c>
      <c r="I160" s="755">
        <f>SUM(F160:H160)</f>
        <v>0.1036</v>
      </c>
      <c r="J160" s="752"/>
      <c r="K160" s="751">
        <f>-G160</f>
        <v>0</v>
      </c>
      <c r="L160" s="751"/>
      <c r="M160" s="682">
        <f>SUM(J160:L160)</f>
        <v>0</v>
      </c>
      <c r="N160" s="752"/>
      <c r="O160" s="751"/>
      <c r="P160" s="751"/>
      <c r="Q160" s="682">
        <f>SUM(N160:P160)</f>
        <v>0</v>
      </c>
      <c r="R160" s="681">
        <f t="shared" si="18"/>
        <v>0.1036</v>
      </c>
      <c r="S160" s="571">
        <f t="shared" si="18"/>
        <v>0</v>
      </c>
      <c r="T160" s="571">
        <f t="shared" si="18"/>
        <v>0</v>
      </c>
      <c r="U160" s="682">
        <f>SUM(R160:T160)</f>
        <v>0.1036</v>
      </c>
    </row>
    <row r="161" spans="1:21" outlineLevel="1" x14ac:dyDescent="0.25">
      <c r="B161" s="560"/>
      <c r="C161" s="561" t="s">
        <v>580</v>
      </c>
      <c r="D161" s="561"/>
      <c r="E161" s="561" t="s">
        <v>292</v>
      </c>
      <c r="F161" s="753">
        <f>'DUoS (t)'!$I$70</f>
        <v>2.3900000000000001E-2</v>
      </c>
      <c r="G161" s="754">
        <f>'TUoS (t)'!$I$70</f>
        <v>1.3100000000000001E-2</v>
      </c>
      <c r="H161" s="754">
        <f>'JSO (t)'!$I$70</f>
        <v>4.4000000000000003E-3</v>
      </c>
      <c r="I161" s="755">
        <f>SUM(F161:H161)</f>
        <v>4.1400000000000006E-2</v>
      </c>
      <c r="J161" s="752"/>
      <c r="K161" s="751">
        <f>-G161</f>
        <v>-1.3100000000000001E-2</v>
      </c>
      <c r="L161" s="751"/>
      <c r="M161" s="682">
        <f>SUM(J161:L161)</f>
        <v>-1.3100000000000001E-2</v>
      </c>
      <c r="N161" s="752"/>
      <c r="O161" s="751"/>
      <c r="P161" s="751"/>
      <c r="Q161" s="682">
        <f>SUM(N161:P161)</f>
        <v>0</v>
      </c>
      <c r="R161" s="681">
        <f t="shared" si="18"/>
        <v>2.3900000000000001E-2</v>
      </c>
      <c r="S161" s="571">
        <f t="shared" si="18"/>
        <v>0</v>
      </c>
      <c r="T161" s="571">
        <f t="shared" si="18"/>
        <v>4.4000000000000003E-3</v>
      </c>
      <c r="U161" s="682">
        <f>SUM(R161:T161)</f>
        <v>2.8300000000000002E-2</v>
      </c>
    </row>
    <row r="162" spans="1:21" outlineLevel="1" x14ac:dyDescent="0.25">
      <c r="B162" s="562"/>
      <c r="C162" s="563" t="s">
        <v>581</v>
      </c>
      <c r="D162" s="563"/>
      <c r="E162" s="563" t="s">
        <v>292</v>
      </c>
      <c r="F162" s="756">
        <f>'DUoS (t)'!$K$70</f>
        <v>1.49E-2</v>
      </c>
      <c r="G162" s="757">
        <f>'TUoS (t)'!$K$70</f>
        <v>8.2000000000000007E-3</v>
      </c>
      <c r="H162" s="757">
        <f>'JSO (t)'!$K$70</f>
        <v>2.8E-3</v>
      </c>
      <c r="I162" s="758">
        <f>SUM(F162:H162)</f>
        <v>2.5900000000000003E-2</v>
      </c>
      <c r="J162" s="576"/>
      <c r="K162" s="577">
        <f>-G162</f>
        <v>-8.2000000000000007E-3</v>
      </c>
      <c r="L162" s="577"/>
      <c r="M162" s="574">
        <f>SUM(J162:L162)</f>
        <v>-8.2000000000000007E-3</v>
      </c>
      <c r="N162" s="576"/>
      <c r="O162" s="577"/>
      <c r="P162" s="577"/>
      <c r="Q162" s="574">
        <f>SUM(N162:P162)</f>
        <v>0</v>
      </c>
      <c r="R162" s="572">
        <f t="shared" si="18"/>
        <v>1.49E-2</v>
      </c>
      <c r="S162" s="573">
        <f t="shared" si="18"/>
        <v>0</v>
      </c>
      <c r="T162" s="573">
        <f t="shared" si="18"/>
        <v>2.8E-3</v>
      </c>
      <c r="U162" s="574">
        <f>SUM(R162:T162)</f>
        <v>1.77E-2</v>
      </c>
    </row>
    <row r="163" spans="1:21" outlineLevel="1" x14ac:dyDescent="0.25">
      <c r="B163" s="578"/>
      <c r="C163" s="578"/>
      <c r="D163" s="578"/>
      <c r="E163" s="578"/>
      <c r="F163" s="754"/>
      <c r="G163" s="754"/>
      <c r="H163" s="754"/>
      <c r="I163" s="754"/>
      <c r="J163" s="571"/>
      <c r="K163" s="571"/>
      <c r="L163" s="571"/>
      <c r="M163" s="571"/>
      <c r="N163" s="571"/>
      <c r="O163" s="571"/>
      <c r="P163" s="571"/>
      <c r="Q163" s="571"/>
      <c r="R163" s="571"/>
      <c r="S163" s="571"/>
      <c r="T163" s="571"/>
      <c r="U163" s="571"/>
    </row>
    <row r="164" spans="1:21" outlineLevel="1" x14ac:dyDescent="0.25">
      <c r="A164" s="575" t="s">
        <v>659</v>
      </c>
      <c r="F164" s="760"/>
      <c r="G164" s="760"/>
      <c r="H164" s="760"/>
      <c r="I164" s="760"/>
      <c r="J164" s="764"/>
      <c r="K164" s="764"/>
      <c r="L164" s="764"/>
      <c r="M164" s="764"/>
      <c r="N164" s="764"/>
      <c r="O164" s="764"/>
      <c r="P164" s="764"/>
      <c r="Q164" s="764"/>
      <c r="R164" s="764"/>
      <c r="S164" s="764"/>
      <c r="T164" s="764"/>
      <c r="U164" s="764"/>
    </row>
    <row r="165" spans="1:21" outlineLevel="1" x14ac:dyDescent="0.25">
      <c r="B165" s="558"/>
      <c r="C165" s="559"/>
      <c r="D165" s="559"/>
      <c r="E165" s="559" t="s">
        <v>319</v>
      </c>
      <c r="F165" s="761"/>
      <c r="G165" s="762"/>
      <c r="H165" s="762"/>
      <c r="I165" s="763"/>
      <c r="J165" s="568"/>
      <c r="K165" s="569"/>
      <c r="L165" s="569"/>
      <c r="M165" s="570"/>
      <c r="N165" s="568"/>
      <c r="O165" s="569"/>
      <c r="P165" s="569"/>
      <c r="Q165" s="570"/>
      <c r="R165" s="568"/>
      <c r="S165" s="569"/>
      <c r="T165" s="569"/>
      <c r="U165" s="570"/>
    </row>
    <row r="166" spans="1:21" outlineLevel="1" x14ac:dyDescent="0.25">
      <c r="B166" s="560"/>
      <c r="C166" s="561" t="s">
        <v>382</v>
      </c>
      <c r="D166" s="561"/>
      <c r="E166" s="561" t="s">
        <v>291</v>
      </c>
      <c r="F166" s="753">
        <f>'DUoS (t)'!$G$70*1</f>
        <v>41.0959</v>
      </c>
      <c r="G166" s="754">
        <f>'TUoS (t)'!$G$70*1</f>
        <v>0</v>
      </c>
      <c r="H166" s="754">
        <f>'JSO (t)'!$G$70*1</f>
        <v>0</v>
      </c>
      <c r="I166" s="755">
        <f>SUM(F166:H166)</f>
        <v>41.0959</v>
      </c>
      <c r="J166" s="752"/>
      <c r="K166" s="751"/>
      <c r="L166" s="751"/>
      <c r="M166" s="682">
        <f>SUM(J166:L166)</f>
        <v>0</v>
      </c>
      <c r="N166" s="752">
        <v>350.23</v>
      </c>
      <c r="O166" s="751"/>
      <c r="P166" s="751"/>
      <c r="Q166" s="682">
        <f>SUM(N166:P166)</f>
        <v>350.23</v>
      </c>
      <c r="R166" s="681">
        <f t="shared" ref="R166:T170" si="19">SUM(F166,J166,N166)</f>
        <v>391.32590000000005</v>
      </c>
      <c r="S166" s="571">
        <f t="shared" si="19"/>
        <v>0</v>
      </c>
      <c r="T166" s="571">
        <f t="shared" si="19"/>
        <v>0</v>
      </c>
      <c r="U166" s="682">
        <f>SUM(R166:T166)</f>
        <v>391.32590000000005</v>
      </c>
    </row>
    <row r="167" spans="1:21" outlineLevel="1" x14ac:dyDescent="0.25">
      <c r="B167" s="560"/>
      <c r="C167" s="561" t="s">
        <v>383</v>
      </c>
      <c r="D167" s="561">
        <v>4</v>
      </c>
      <c r="E167" s="561" t="s">
        <v>298</v>
      </c>
      <c r="F167" s="753">
        <f>'DUoS (t)'!$S$70</f>
        <v>0.1065</v>
      </c>
      <c r="G167" s="754">
        <f>'TUoS (t)'!$S$70</f>
        <v>0.10829999999999999</v>
      </c>
      <c r="H167" s="754">
        <f>'JSO (t)'!$S$70</f>
        <v>0</v>
      </c>
      <c r="I167" s="755">
        <f>SUM(F167:H167)</f>
        <v>0.21479999999999999</v>
      </c>
      <c r="J167" s="752"/>
      <c r="K167" s="751"/>
      <c r="L167" s="751"/>
      <c r="M167" s="682">
        <f>SUM(J167:L167)</f>
        <v>0</v>
      </c>
      <c r="N167" s="752"/>
      <c r="O167" s="751"/>
      <c r="P167" s="751"/>
      <c r="Q167" s="682">
        <f>SUM(N167:P167)</f>
        <v>0</v>
      </c>
      <c r="R167" s="681">
        <f t="shared" si="19"/>
        <v>0.1065</v>
      </c>
      <c r="S167" s="571">
        <f t="shared" si="19"/>
        <v>0.10829999999999999</v>
      </c>
      <c r="T167" s="571">
        <f t="shared" si="19"/>
        <v>0</v>
      </c>
      <c r="U167" s="682">
        <f>SUM(R167:T167)</f>
        <v>0.21479999999999999</v>
      </c>
    </row>
    <row r="168" spans="1:21" outlineLevel="1" x14ac:dyDescent="0.25">
      <c r="B168" s="560"/>
      <c r="C168" s="561" t="s">
        <v>384</v>
      </c>
      <c r="D168" s="561">
        <v>4</v>
      </c>
      <c r="E168" s="561" t="s">
        <v>298</v>
      </c>
      <c r="F168" s="753">
        <f>'DUoS (t)'!$T$70</f>
        <v>0.1036</v>
      </c>
      <c r="G168" s="754">
        <f>'TUoS (t)'!$T$70</f>
        <v>0</v>
      </c>
      <c r="H168" s="754">
        <f>'JSO (t)'!$T$70</f>
        <v>0</v>
      </c>
      <c r="I168" s="755">
        <f>SUM(F168:H168)</f>
        <v>0.1036</v>
      </c>
      <c r="J168" s="752"/>
      <c r="K168" s="751"/>
      <c r="L168" s="751"/>
      <c r="M168" s="682">
        <f>SUM(J168:L168)</f>
        <v>0</v>
      </c>
      <c r="N168" s="752"/>
      <c r="O168" s="751"/>
      <c r="P168" s="751"/>
      <c r="Q168" s="682">
        <f>SUM(N168:P168)</f>
        <v>0</v>
      </c>
      <c r="R168" s="681">
        <f t="shared" si="19"/>
        <v>0.1036</v>
      </c>
      <c r="S168" s="571">
        <f t="shared" si="19"/>
        <v>0</v>
      </c>
      <c r="T168" s="571">
        <f t="shared" si="19"/>
        <v>0</v>
      </c>
      <c r="U168" s="682">
        <f>SUM(R168:T168)</f>
        <v>0.1036</v>
      </c>
    </row>
    <row r="169" spans="1:21" outlineLevel="1" x14ac:dyDescent="0.25">
      <c r="B169" s="560"/>
      <c r="C169" s="561" t="s">
        <v>580</v>
      </c>
      <c r="D169" s="561"/>
      <c r="E169" s="561" t="s">
        <v>292</v>
      </c>
      <c r="F169" s="753">
        <f>'DUoS (t)'!$I$70</f>
        <v>2.3900000000000001E-2</v>
      </c>
      <c r="G169" s="754">
        <f>'TUoS (t)'!$I$70</f>
        <v>1.3100000000000001E-2</v>
      </c>
      <c r="H169" s="754">
        <f>'JSO (t)'!$I$70</f>
        <v>4.4000000000000003E-3</v>
      </c>
      <c r="I169" s="755">
        <f>SUM(F169:H169)</f>
        <v>4.1400000000000006E-2</v>
      </c>
      <c r="J169" s="752"/>
      <c r="K169" s="751"/>
      <c r="L169" s="751"/>
      <c r="M169" s="682">
        <f>SUM(J169:L169)</f>
        <v>0</v>
      </c>
      <c r="N169" s="752"/>
      <c r="O169" s="751"/>
      <c r="P169" s="751"/>
      <c r="Q169" s="682">
        <f>SUM(N169:P169)</f>
        <v>0</v>
      </c>
      <c r="R169" s="681">
        <f t="shared" si="19"/>
        <v>2.3900000000000001E-2</v>
      </c>
      <c r="S169" s="571">
        <f t="shared" si="19"/>
        <v>1.3100000000000001E-2</v>
      </c>
      <c r="T169" s="571">
        <f t="shared" si="19"/>
        <v>4.4000000000000003E-3</v>
      </c>
      <c r="U169" s="682">
        <f>SUM(R169:T169)</f>
        <v>4.1400000000000006E-2</v>
      </c>
    </row>
    <row r="170" spans="1:21" outlineLevel="1" x14ac:dyDescent="0.25">
      <c r="B170" s="562"/>
      <c r="C170" s="563" t="s">
        <v>581</v>
      </c>
      <c r="D170" s="563"/>
      <c r="E170" s="563" t="s">
        <v>292</v>
      </c>
      <c r="F170" s="756">
        <f>'DUoS (t)'!$K$70</f>
        <v>1.49E-2</v>
      </c>
      <c r="G170" s="757">
        <f>'TUoS (t)'!$K$70</f>
        <v>8.2000000000000007E-3</v>
      </c>
      <c r="H170" s="757">
        <f>'JSO (t)'!$K$70</f>
        <v>2.8E-3</v>
      </c>
      <c r="I170" s="758">
        <f>SUM(F170:H170)</f>
        <v>2.5900000000000003E-2</v>
      </c>
      <c r="J170" s="576"/>
      <c r="K170" s="577"/>
      <c r="L170" s="577"/>
      <c r="M170" s="574">
        <f>SUM(J170:L170)</f>
        <v>0</v>
      </c>
      <c r="N170" s="576"/>
      <c r="O170" s="577"/>
      <c r="P170" s="577"/>
      <c r="Q170" s="574">
        <f>SUM(N170:P170)</f>
        <v>0</v>
      </c>
      <c r="R170" s="572">
        <f t="shared" si="19"/>
        <v>1.49E-2</v>
      </c>
      <c r="S170" s="573">
        <f t="shared" si="19"/>
        <v>8.2000000000000007E-3</v>
      </c>
      <c r="T170" s="573">
        <f t="shared" si="19"/>
        <v>2.8E-3</v>
      </c>
      <c r="U170" s="574">
        <f>SUM(R170:T170)</f>
        <v>2.5900000000000003E-2</v>
      </c>
    </row>
    <row r="171" spans="1:21" outlineLevel="1" x14ac:dyDescent="0.25">
      <c r="B171" s="578"/>
      <c r="C171" s="578"/>
      <c r="D171" s="578"/>
      <c r="E171" s="578"/>
      <c r="F171" s="754"/>
      <c r="G171" s="754"/>
      <c r="H171" s="754"/>
      <c r="I171" s="754"/>
      <c r="J171" s="571"/>
      <c r="K171" s="571"/>
      <c r="L171" s="571"/>
      <c r="M171" s="571"/>
      <c r="N171" s="571"/>
      <c r="O171" s="571"/>
      <c r="P171" s="571"/>
      <c r="Q171" s="571"/>
      <c r="R171" s="571"/>
      <c r="S171" s="571"/>
      <c r="T171" s="571"/>
      <c r="U171" s="571"/>
    </row>
    <row r="172" spans="1:21" outlineLevel="1" x14ac:dyDescent="0.25">
      <c r="A172" s="575" t="s">
        <v>577</v>
      </c>
      <c r="F172" s="760"/>
      <c r="G172" s="760"/>
      <c r="H172" s="760"/>
      <c r="I172" s="760"/>
      <c r="J172" s="764"/>
      <c r="K172" s="764"/>
      <c r="L172" s="764"/>
      <c r="M172" s="764"/>
      <c r="N172" s="764"/>
      <c r="O172" s="764"/>
      <c r="P172" s="764"/>
      <c r="Q172" s="764"/>
      <c r="R172" s="764"/>
      <c r="S172" s="764"/>
      <c r="T172" s="764"/>
      <c r="U172" s="764"/>
    </row>
    <row r="173" spans="1:21" outlineLevel="1" x14ac:dyDescent="0.25">
      <c r="B173" s="558"/>
      <c r="C173" s="559"/>
      <c r="D173" s="559"/>
      <c r="E173" s="559" t="s">
        <v>319</v>
      </c>
      <c r="F173" s="761"/>
      <c r="G173" s="762"/>
      <c r="H173" s="762"/>
      <c r="I173" s="763"/>
      <c r="J173" s="568"/>
      <c r="K173" s="569"/>
      <c r="L173" s="569"/>
      <c r="M173" s="570"/>
      <c r="N173" s="568"/>
      <c r="O173" s="569"/>
      <c r="P173" s="569"/>
      <c r="Q173" s="570"/>
      <c r="R173" s="568"/>
      <c r="S173" s="569"/>
      <c r="T173" s="569"/>
      <c r="U173" s="570"/>
    </row>
    <row r="174" spans="1:21" outlineLevel="1" x14ac:dyDescent="0.25">
      <c r="B174" s="560"/>
      <c r="C174" s="561" t="s">
        <v>382</v>
      </c>
      <c r="D174" s="561"/>
      <c r="E174" s="561" t="s">
        <v>291</v>
      </c>
      <c r="F174" s="753">
        <f>'DUoS (t)'!$G$70*1</f>
        <v>41.0959</v>
      </c>
      <c r="G174" s="754">
        <f>'TUoS (t)'!$G$70*1</f>
        <v>0</v>
      </c>
      <c r="H174" s="754">
        <f>'JSO (t)'!$G$70*1</f>
        <v>0</v>
      </c>
      <c r="I174" s="755">
        <f>SUM(F174:H174)</f>
        <v>41.0959</v>
      </c>
      <c r="J174" s="752"/>
      <c r="K174" s="751">
        <f>-G174</f>
        <v>0</v>
      </c>
      <c r="L174" s="751"/>
      <c r="M174" s="682">
        <f>SUM(J174:L174)</f>
        <v>0</v>
      </c>
      <c r="N174" s="752"/>
      <c r="O174" s="751">
        <v>593.62</v>
      </c>
      <c r="P174" s="751"/>
      <c r="Q174" s="682">
        <f>SUM(N174:P174)</f>
        <v>593.62</v>
      </c>
      <c r="R174" s="681">
        <f t="shared" ref="R174:T178" si="20">SUM(F174,J174,N174)</f>
        <v>41.0959</v>
      </c>
      <c r="S174" s="571">
        <f t="shared" si="20"/>
        <v>593.62</v>
      </c>
      <c r="T174" s="571">
        <f t="shared" si="20"/>
        <v>0</v>
      </c>
      <c r="U174" s="682">
        <f>SUM(R174:T174)</f>
        <v>634.71590000000003</v>
      </c>
    </row>
    <row r="175" spans="1:21" outlineLevel="1" x14ac:dyDescent="0.25">
      <c r="B175" s="560"/>
      <c r="C175" s="561" t="s">
        <v>383</v>
      </c>
      <c r="D175" s="561">
        <v>4</v>
      </c>
      <c r="E175" s="561" t="s">
        <v>298</v>
      </c>
      <c r="F175" s="753">
        <f>'DUoS (t)'!$S$70</f>
        <v>0.1065</v>
      </c>
      <c r="G175" s="754">
        <f>'TUoS (t)'!$S$70</f>
        <v>0.10829999999999999</v>
      </c>
      <c r="H175" s="754">
        <f>'JSO (t)'!$S$70</f>
        <v>0</v>
      </c>
      <c r="I175" s="755">
        <f>SUM(F175:H175)</f>
        <v>0.21479999999999999</v>
      </c>
      <c r="J175" s="752"/>
      <c r="K175" s="751">
        <f>-G175</f>
        <v>-0.10829999999999999</v>
      </c>
      <c r="L175" s="751"/>
      <c r="M175" s="682">
        <f>SUM(J175:L175)</f>
        <v>-0.10829999999999999</v>
      </c>
      <c r="N175" s="752"/>
      <c r="O175" s="751"/>
      <c r="P175" s="751"/>
      <c r="Q175" s="682">
        <f>SUM(N175:P175)</f>
        <v>0</v>
      </c>
      <c r="R175" s="681">
        <f t="shared" si="20"/>
        <v>0.1065</v>
      </c>
      <c r="S175" s="571">
        <f t="shared" si="20"/>
        <v>0</v>
      </c>
      <c r="T175" s="571">
        <f t="shared" si="20"/>
        <v>0</v>
      </c>
      <c r="U175" s="682">
        <f>SUM(R175:T175)</f>
        <v>0.1065</v>
      </c>
    </row>
    <row r="176" spans="1:21" outlineLevel="1" x14ac:dyDescent="0.25">
      <c r="B176" s="560"/>
      <c r="C176" s="561" t="s">
        <v>384</v>
      </c>
      <c r="D176" s="561">
        <v>4</v>
      </c>
      <c r="E176" s="561" t="s">
        <v>298</v>
      </c>
      <c r="F176" s="753">
        <f>'DUoS (t)'!$T$70</f>
        <v>0.1036</v>
      </c>
      <c r="G176" s="754">
        <f>'TUoS (t)'!$T$70</f>
        <v>0</v>
      </c>
      <c r="H176" s="754">
        <f>'JSO (t)'!$T$70</f>
        <v>0</v>
      </c>
      <c r="I176" s="755">
        <f>SUM(F176:H176)</f>
        <v>0.1036</v>
      </c>
      <c r="J176" s="752"/>
      <c r="K176" s="751">
        <f>-G176</f>
        <v>0</v>
      </c>
      <c r="L176" s="751"/>
      <c r="M176" s="682">
        <f>SUM(J176:L176)</f>
        <v>0</v>
      </c>
      <c r="N176" s="752"/>
      <c r="O176" s="751"/>
      <c r="P176" s="751"/>
      <c r="Q176" s="682">
        <f>SUM(N176:P176)</f>
        <v>0</v>
      </c>
      <c r="R176" s="681">
        <f t="shared" si="20"/>
        <v>0.1036</v>
      </c>
      <c r="S176" s="571">
        <f t="shared" si="20"/>
        <v>0</v>
      </c>
      <c r="T176" s="571">
        <f t="shared" si="20"/>
        <v>0</v>
      </c>
      <c r="U176" s="682">
        <f>SUM(R176:T176)</f>
        <v>0.1036</v>
      </c>
    </row>
    <row r="177" spans="1:21" outlineLevel="1" x14ac:dyDescent="0.25">
      <c r="B177" s="560"/>
      <c r="C177" s="561" t="s">
        <v>580</v>
      </c>
      <c r="D177" s="561"/>
      <c r="E177" s="561" t="s">
        <v>292</v>
      </c>
      <c r="F177" s="753">
        <f>'DUoS (t)'!$I$70</f>
        <v>2.3900000000000001E-2</v>
      </c>
      <c r="G177" s="754">
        <f>'TUoS (t)'!$I$70</f>
        <v>1.3100000000000001E-2</v>
      </c>
      <c r="H177" s="754">
        <f>'JSO (t)'!$I$70</f>
        <v>4.4000000000000003E-3</v>
      </c>
      <c r="I177" s="755">
        <f>SUM(F177:H177)</f>
        <v>4.1400000000000006E-2</v>
      </c>
      <c r="J177" s="752"/>
      <c r="K177" s="751">
        <f>-G177</f>
        <v>-1.3100000000000001E-2</v>
      </c>
      <c r="L177" s="751"/>
      <c r="M177" s="682">
        <f>SUM(J177:L177)</f>
        <v>-1.3100000000000001E-2</v>
      </c>
      <c r="N177" s="752"/>
      <c r="O177" s="751"/>
      <c r="P177" s="751"/>
      <c r="Q177" s="682">
        <f>SUM(N177:P177)</f>
        <v>0</v>
      </c>
      <c r="R177" s="681">
        <f t="shared" si="20"/>
        <v>2.3900000000000001E-2</v>
      </c>
      <c r="S177" s="571">
        <f t="shared" si="20"/>
        <v>0</v>
      </c>
      <c r="T177" s="571">
        <f t="shared" si="20"/>
        <v>4.4000000000000003E-3</v>
      </c>
      <c r="U177" s="682">
        <f>SUM(R177:T177)</f>
        <v>2.8300000000000002E-2</v>
      </c>
    </row>
    <row r="178" spans="1:21" outlineLevel="1" x14ac:dyDescent="0.25">
      <c r="B178" s="562"/>
      <c r="C178" s="563" t="s">
        <v>581</v>
      </c>
      <c r="D178" s="563"/>
      <c r="E178" s="563" t="s">
        <v>292</v>
      </c>
      <c r="F178" s="756">
        <f>'DUoS (t)'!$K$70</f>
        <v>1.49E-2</v>
      </c>
      <c r="G178" s="757">
        <f>'TUoS (t)'!$K$70</f>
        <v>8.2000000000000007E-3</v>
      </c>
      <c r="H178" s="757">
        <f>'JSO (t)'!$K$70</f>
        <v>2.8E-3</v>
      </c>
      <c r="I178" s="758">
        <f>SUM(F178:H178)</f>
        <v>2.5900000000000003E-2</v>
      </c>
      <c r="J178" s="576"/>
      <c r="K178" s="577">
        <f>-G178</f>
        <v>-8.2000000000000007E-3</v>
      </c>
      <c r="L178" s="577"/>
      <c r="M178" s="574">
        <f>SUM(J178:L178)</f>
        <v>-8.2000000000000007E-3</v>
      </c>
      <c r="N178" s="576"/>
      <c r="O178" s="577"/>
      <c r="P178" s="577"/>
      <c r="Q178" s="574">
        <f>SUM(N178:P178)</f>
        <v>0</v>
      </c>
      <c r="R178" s="572">
        <f t="shared" si="20"/>
        <v>1.49E-2</v>
      </c>
      <c r="S178" s="573">
        <f t="shared" si="20"/>
        <v>0</v>
      </c>
      <c r="T178" s="573">
        <f t="shared" si="20"/>
        <v>2.8E-3</v>
      </c>
      <c r="U178" s="574">
        <f>SUM(R178:T178)</f>
        <v>1.77E-2</v>
      </c>
    </row>
    <row r="179" spans="1:21" outlineLevel="1" x14ac:dyDescent="0.25">
      <c r="B179" s="578"/>
      <c r="C179" s="578"/>
      <c r="D179" s="578"/>
      <c r="E179" s="578"/>
      <c r="F179" s="571"/>
      <c r="G179" s="571"/>
      <c r="H179" s="571"/>
      <c r="I179" s="571"/>
      <c r="J179" s="571"/>
      <c r="K179" s="571"/>
      <c r="L179" s="571"/>
      <c r="M179" s="571"/>
      <c r="N179" s="571"/>
      <c r="O179" s="571"/>
      <c r="P179" s="571"/>
      <c r="Q179" s="571"/>
      <c r="R179" s="571"/>
      <c r="S179" s="571"/>
      <c r="T179" s="571"/>
      <c r="U179" s="571"/>
    </row>
    <row r="180" spans="1:21" x14ac:dyDescent="0.25">
      <c r="A180" s="579" t="s">
        <v>391</v>
      </c>
    </row>
    <row r="181" spans="1:21" ht="16.5" thickBot="1" x14ac:dyDescent="0.3">
      <c r="A181" s="451" t="s">
        <v>114</v>
      </c>
    </row>
    <row r="182" spans="1:21" outlineLevel="1" x14ac:dyDescent="0.25">
      <c r="F182" s="873" t="s">
        <v>385</v>
      </c>
      <c r="G182" s="874"/>
      <c r="H182" s="874"/>
      <c r="I182" s="875"/>
      <c r="J182" s="876" t="s">
        <v>387</v>
      </c>
      <c r="K182" s="877"/>
      <c r="L182" s="877"/>
      <c r="M182" s="878"/>
      <c r="N182" s="876" t="s">
        <v>388</v>
      </c>
      <c r="O182" s="877"/>
      <c r="P182" s="877"/>
      <c r="Q182" s="878"/>
      <c r="R182" s="876" t="s">
        <v>386</v>
      </c>
      <c r="S182" s="877"/>
      <c r="T182" s="877"/>
      <c r="U182" s="878"/>
    </row>
    <row r="183" spans="1:21" ht="15.75" outlineLevel="1" thickBot="1" x14ac:dyDescent="0.3">
      <c r="F183" s="564" t="s">
        <v>286</v>
      </c>
      <c r="G183" s="565" t="s">
        <v>287</v>
      </c>
      <c r="H183" s="565" t="s">
        <v>288</v>
      </c>
      <c r="I183" s="566" t="s">
        <v>289</v>
      </c>
      <c r="J183" s="766" t="s">
        <v>286</v>
      </c>
      <c r="K183" s="767" t="s">
        <v>287</v>
      </c>
      <c r="L183" s="767" t="s">
        <v>288</v>
      </c>
      <c r="M183" s="768" t="s">
        <v>289</v>
      </c>
      <c r="N183" s="766" t="s">
        <v>286</v>
      </c>
      <c r="O183" s="767" t="s">
        <v>287</v>
      </c>
      <c r="P183" s="767" t="s">
        <v>288</v>
      </c>
      <c r="Q183" s="768" t="s">
        <v>289</v>
      </c>
      <c r="R183" s="766" t="s">
        <v>286</v>
      </c>
      <c r="S183" s="767" t="s">
        <v>287</v>
      </c>
      <c r="T183" s="767" t="s">
        <v>288</v>
      </c>
      <c r="U183" s="768" t="s">
        <v>289</v>
      </c>
    </row>
    <row r="184" spans="1:21" outlineLevel="1" x14ac:dyDescent="0.25">
      <c r="A184" s="575" t="s">
        <v>117</v>
      </c>
      <c r="F184" s="567"/>
      <c r="G184" s="567"/>
      <c r="H184" s="567"/>
      <c r="I184" s="567"/>
      <c r="J184" s="764"/>
      <c r="K184" s="764"/>
      <c r="L184" s="764"/>
      <c r="M184" s="764"/>
      <c r="N184" s="764"/>
      <c r="O184" s="764"/>
      <c r="P184" s="764"/>
      <c r="Q184" s="764"/>
      <c r="R184" s="764"/>
      <c r="S184" s="764"/>
      <c r="T184" s="764"/>
      <c r="U184" s="764"/>
    </row>
    <row r="185" spans="1:21" outlineLevel="1" x14ac:dyDescent="0.25">
      <c r="B185" s="558"/>
      <c r="C185" s="559"/>
      <c r="D185" s="559"/>
      <c r="E185" s="559" t="s">
        <v>319</v>
      </c>
      <c r="F185" s="568"/>
      <c r="G185" s="569"/>
      <c r="H185" s="569"/>
      <c r="I185" s="570"/>
      <c r="J185" s="568"/>
      <c r="K185" s="569"/>
      <c r="L185" s="569"/>
      <c r="M185" s="570"/>
      <c r="N185" s="568"/>
      <c r="O185" s="569"/>
      <c r="P185" s="569"/>
      <c r="Q185" s="570"/>
      <c r="R185" s="568"/>
      <c r="S185" s="569"/>
      <c r="T185" s="569"/>
      <c r="U185" s="570"/>
    </row>
    <row r="186" spans="1:21" outlineLevel="1" x14ac:dyDescent="0.25">
      <c r="B186" s="560"/>
      <c r="C186" s="561" t="s">
        <v>382</v>
      </c>
      <c r="D186" s="561"/>
      <c r="E186" s="561" t="s">
        <v>291</v>
      </c>
      <c r="F186" s="753">
        <f>'DUoS (t)'!$G$94*1</f>
        <v>0</v>
      </c>
      <c r="G186" s="754">
        <f>'TUoS (t)'!$G$94*1</f>
        <v>0</v>
      </c>
      <c r="H186" s="754">
        <f>'JSO (t)'!$G$94*1</f>
        <v>0</v>
      </c>
      <c r="I186" s="755">
        <f>SUM(F186:H186)</f>
        <v>0</v>
      </c>
      <c r="J186" s="752"/>
      <c r="K186" s="751"/>
      <c r="L186" s="751"/>
      <c r="M186" s="682">
        <f>SUM(J186:L186)</f>
        <v>0</v>
      </c>
      <c r="N186" s="752"/>
      <c r="O186" s="751"/>
      <c r="P186" s="751"/>
      <c r="Q186" s="682">
        <f>SUM(N186:P186)</f>
        <v>0</v>
      </c>
      <c r="R186" s="681">
        <f t="shared" ref="R186:T189" si="21">SUM(F186,J186,N186)</f>
        <v>0</v>
      </c>
      <c r="S186" s="571">
        <f t="shared" si="21"/>
        <v>0</v>
      </c>
      <c r="T186" s="571">
        <f t="shared" si="21"/>
        <v>0</v>
      </c>
      <c r="U186" s="682">
        <f>SUM(R186:T186)</f>
        <v>0</v>
      </c>
    </row>
    <row r="187" spans="1:21" outlineLevel="1" x14ac:dyDescent="0.25">
      <c r="B187" s="560"/>
      <c r="C187" s="561" t="s">
        <v>383</v>
      </c>
      <c r="D187" s="561">
        <v>4</v>
      </c>
      <c r="E187" s="561" t="s">
        <v>298</v>
      </c>
      <c r="F187" s="753">
        <f>'DUoS (t)'!$S$94</f>
        <v>4.1399999999999999E-2</v>
      </c>
      <c r="G187" s="754">
        <f>'TUoS (t)'!$S$94</f>
        <v>0.10829999999999999</v>
      </c>
      <c r="H187" s="754">
        <f>'JSO (t)'!$S$94</f>
        <v>0</v>
      </c>
      <c r="I187" s="755">
        <f>SUM(F187:H187)</f>
        <v>0.1497</v>
      </c>
      <c r="J187" s="752"/>
      <c r="K187" s="751"/>
      <c r="L187" s="751"/>
      <c r="M187" s="682">
        <f>SUM(J187:L187)</f>
        <v>0</v>
      </c>
      <c r="N187" s="752"/>
      <c r="O187" s="751"/>
      <c r="P187" s="751"/>
      <c r="Q187" s="682">
        <f>SUM(N187:P187)</f>
        <v>0</v>
      </c>
      <c r="R187" s="681">
        <f t="shared" si="21"/>
        <v>4.1399999999999999E-2</v>
      </c>
      <c r="S187" s="571">
        <f t="shared" si="21"/>
        <v>0.10829999999999999</v>
      </c>
      <c r="T187" s="571">
        <f t="shared" si="21"/>
        <v>0</v>
      </c>
      <c r="U187" s="682">
        <f>SUM(R187:T187)</f>
        <v>0.1497</v>
      </c>
    </row>
    <row r="188" spans="1:21" outlineLevel="1" x14ac:dyDescent="0.25">
      <c r="B188" s="560"/>
      <c r="C188" s="561" t="s">
        <v>384</v>
      </c>
      <c r="D188" s="561">
        <v>4</v>
      </c>
      <c r="E188" s="561" t="s">
        <v>298</v>
      </c>
      <c r="F188" s="753">
        <f>'DUoS (t)'!$T$94</f>
        <v>7.3999999999999996E-2</v>
      </c>
      <c r="G188" s="754">
        <f>'TUoS (t)'!$T$94</f>
        <v>0</v>
      </c>
      <c r="H188" s="754">
        <f>'JSO (t)'!$T$94</f>
        <v>0</v>
      </c>
      <c r="I188" s="755">
        <f>SUM(F188:H188)</f>
        <v>7.3999999999999996E-2</v>
      </c>
      <c r="J188" s="752"/>
      <c r="K188" s="751"/>
      <c r="L188" s="751"/>
      <c r="M188" s="682">
        <f>SUM(J188:L188)</f>
        <v>0</v>
      </c>
      <c r="N188" s="752"/>
      <c r="O188" s="751"/>
      <c r="P188" s="751"/>
      <c r="Q188" s="682">
        <f>SUM(N188:P188)</f>
        <v>0</v>
      </c>
      <c r="R188" s="681">
        <f t="shared" si="21"/>
        <v>7.3999999999999996E-2</v>
      </c>
      <c r="S188" s="571">
        <f t="shared" si="21"/>
        <v>0</v>
      </c>
      <c r="T188" s="571">
        <f t="shared" si="21"/>
        <v>0</v>
      </c>
      <c r="U188" s="682">
        <f>SUM(R188:T188)</f>
        <v>7.3999999999999996E-2</v>
      </c>
    </row>
    <row r="189" spans="1:21" outlineLevel="1" x14ac:dyDescent="0.25">
      <c r="B189" s="562"/>
      <c r="C189" s="563" t="s">
        <v>297</v>
      </c>
      <c r="D189" s="563"/>
      <c r="E189" s="563" t="s">
        <v>292</v>
      </c>
      <c r="F189" s="756">
        <f>'DUoS (t)'!$H$94</f>
        <v>4.4000000000000003E-3</v>
      </c>
      <c r="G189" s="757">
        <f>'TUoS (t)'!$H$94</f>
        <v>8.2000000000000007E-3</v>
      </c>
      <c r="H189" s="757">
        <f>'JSO (t)'!$H$94</f>
        <v>8.9999999999999998E-4</v>
      </c>
      <c r="I189" s="758">
        <f>SUM(F189:H189)</f>
        <v>1.35E-2</v>
      </c>
      <c r="J189" s="576"/>
      <c r="K189" s="577"/>
      <c r="L189" s="577"/>
      <c r="M189" s="574">
        <f>SUM(J189:L189)</f>
        <v>0</v>
      </c>
      <c r="N189" s="576"/>
      <c r="O189" s="577"/>
      <c r="P189" s="577"/>
      <c r="Q189" s="574">
        <f>SUM(N189:P189)</f>
        <v>0</v>
      </c>
      <c r="R189" s="572">
        <f t="shared" si="21"/>
        <v>4.4000000000000003E-3</v>
      </c>
      <c r="S189" s="573">
        <f t="shared" si="21"/>
        <v>8.2000000000000007E-3</v>
      </c>
      <c r="T189" s="573">
        <f t="shared" si="21"/>
        <v>8.9999999999999998E-4</v>
      </c>
      <c r="U189" s="574">
        <f>SUM(R189:T189)</f>
        <v>1.35E-2</v>
      </c>
    </row>
    <row r="190" spans="1:21" outlineLevel="1" x14ac:dyDescent="0.25">
      <c r="F190" s="759"/>
      <c r="G190" s="759"/>
      <c r="H190" s="759"/>
      <c r="I190" s="759"/>
    </row>
    <row r="191" spans="1:21" outlineLevel="1" x14ac:dyDescent="0.25">
      <c r="A191" s="575" t="s">
        <v>122</v>
      </c>
      <c r="F191" s="760"/>
      <c r="G191" s="760"/>
      <c r="H191" s="760"/>
      <c r="I191" s="760"/>
      <c r="J191" s="764"/>
      <c r="K191" s="764"/>
      <c r="L191" s="764"/>
      <c r="M191" s="764"/>
      <c r="N191" s="764"/>
      <c r="O191" s="764"/>
      <c r="P191" s="764"/>
      <c r="Q191" s="764"/>
      <c r="R191" s="764"/>
      <c r="S191" s="764"/>
      <c r="T191" s="764"/>
      <c r="U191" s="764"/>
    </row>
    <row r="192" spans="1:21" outlineLevel="1" x14ac:dyDescent="0.25">
      <c r="B192" s="558"/>
      <c r="C192" s="559"/>
      <c r="D192" s="559"/>
      <c r="E192" s="559" t="s">
        <v>319</v>
      </c>
      <c r="F192" s="761"/>
      <c r="G192" s="762"/>
      <c r="H192" s="762"/>
      <c r="I192" s="763"/>
      <c r="J192" s="568"/>
      <c r="K192" s="569"/>
      <c r="L192" s="569"/>
      <c r="M192" s="570"/>
      <c r="N192" s="568"/>
      <c r="O192" s="569"/>
      <c r="P192" s="569"/>
      <c r="Q192" s="570"/>
      <c r="R192" s="568"/>
      <c r="S192" s="569"/>
      <c r="T192" s="569"/>
      <c r="U192" s="570"/>
    </row>
    <row r="193" spans="1:21" outlineLevel="1" x14ac:dyDescent="0.25">
      <c r="B193" s="560"/>
      <c r="C193" s="561" t="s">
        <v>382</v>
      </c>
      <c r="D193" s="561"/>
      <c r="E193" s="561" t="s">
        <v>291</v>
      </c>
      <c r="F193" s="753">
        <f>'DUoS (t)'!$G$94*1</f>
        <v>0</v>
      </c>
      <c r="G193" s="754">
        <f>'TUoS (t)'!$G$94*1</f>
        <v>0</v>
      </c>
      <c r="H193" s="754">
        <f>'JSO (t)'!$G$94*1</f>
        <v>0</v>
      </c>
      <c r="I193" s="755">
        <f>SUM(F193:H193)</f>
        <v>0</v>
      </c>
      <c r="J193" s="752"/>
      <c r="K193" s="751"/>
      <c r="L193" s="751"/>
      <c r="M193" s="682">
        <f>SUM(J193:L193)</f>
        <v>0</v>
      </c>
      <c r="N193" s="752">
        <v>590.96</v>
      </c>
      <c r="O193" s="751"/>
      <c r="P193" s="751"/>
      <c r="Q193" s="682">
        <f>SUM(N193:P193)</f>
        <v>590.96</v>
      </c>
      <c r="R193" s="681">
        <f t="shared" ref="R193:T196" si="22">SUM(F193,J193,N193)</f>
        <v>590.96</v>
      </c>
      <c r="S193" s="571">
        <f t="shared" si="22"/>
        <v>0</v>
      </c>
      <c r="T193" s="571">
        <f t="shared" si="22"/>
        <v>0</v>
      </c>
      <c r="U193" s="682">
        <f>SUM(R193:T193)</f>
        <v>590.96</v>
      </c>
    </row>
    <row r="194" spans="1:21" outlineLevel="1" x14ac:dyDescent="0.25">
      <c r="B194" s="560"/>
      <c r="C194" s="561" t="s">
        <v>383</v>
      </c>
      <c r="D194" s="561">
        <v>4</v>
      </c>
      <c r="E194" s="561" t="s">
        <v>298</v>
      </c>
      <c r="F194" s="753">
        <f>'DUoS (t)'!$S$94</f>
        <v>4.1399999999999999E-2</v>
      </c>
      <c r="G194" s="754">
        <f>'TUoS (t)'!$S$94</f>
        <v>0.10829999999999999</v>
      </c>
      <c r="H194" s="754">
        <f>'JSO (t)'!$S$94</f>
        <v>0</v>
      </c>
      <c r="I194" s="755">
        <f>SUM(F194:H194)</f>
        <v>0.1497</v>
      </c>
      <c r="J194" s="752"/>
      <c r="K194" s="751"/>
      <c r="L194" s="751"/>
      <c r="M194" s="682">
        <f>SUM(J194:L194)</f>
        <v>0</v>
      </c>
      <c r="N194" s="752"/>
      <c r="O194" s="751"/>
      <c r="P194" s="751"/>
      <c r="Q194" s="682">
        <f>SUM(N194:P194)</f>
        <v>0</v>
      </c>
      <c r="R194" s="681">
        <f t="shared" si="22"/>
        <v>4.1399999999999999E-2</v>
      </c>
      <c r="S194" s="571">
        <f t="shared" si="22"/>
        <v>0.10829999999999999</v>
      </c>
      <c r="T194" s="571">
        <f t="shared" si="22"/>
        <v>0</v>
      </c>
      <c r="U194" s="682">
        <f>SUM(R194:T194)</f>
        <v>0.1497</v>
      </c>
    </row>
    <row r="195" spans="1:21" outlineLevel="1" x14ac:dyDescent="0.25">
      <c r="B195" s="560"/>
      <c r="C195" s="561" t="s">
        <v>384</v>
      </c>
      <c r="D195" s="561">
        <v>4</v>
      </c>
      <c r="E195" s="561" t="s">
        <v>298</v>
      </c>
      <c r="F195" s="753">
        <f>'DUoS (t)'!$T$94</f>
        <v>7.3999999999999996E-2</v>
      </c>
      <c r="G195" s="754">
        <f>'TUoS (t)'!$T$94</f>
        <v>0</v>
      </c>
      <c r="H195" s="754">
        <f>'JSO (t)'!$T$94</f>
        <v>0</v>
      </c>
      <c r="I195" s="755">
        <f>SUM(F195:H195)</f>
        <v>7.3999999999999996E-2</v>
      </c>
      <c r="J195" s="752"/>
      <c r="K195" s="751"/>
      <c r="L195" s="751"/>
      <c r="M195" s="682">
        <f>SUM(J195:L195)</f>
        <v>0</v>
      </c>
      <c r="N195" s="752"/>
      <c r="O195" s="751"/>
      <c r="P195" s="751"/>
      <c r="Q195" s="682">
        <f>SUM(N195:P195)</f>
        <v>0</v>
      </c>
      <c r="R195" s="681">
        <f t="shared" si="22"/>
        <v>7.3999999999999996E-2</v>
      </c>
      <c r="S195" s="571">
        <f t="shared" si="22"/>
        <v>0</v>
      </c>
      <c r="T195" s="571">
        <f t="shared" si="22"/>
        <v>0</v>
      </c>
      <c r="U195" s="682">
        <f>SUM(R195:T195)</f>
        <v>7.3999999999999996E-2</v>
      </c>
    </row>
    <row r="196" spans="1:21" outlineLevel="1" x14ac:dyDescent="0.25">
      <c r="B196" s="562"/>
      <c r="C196" s="563" t="s">
        <v>297</v>
      </c>
      <c r="D196" s="563"/>
      <c r="E196" s="563" t="s">
        <v>292</v>
      </c>
      <c r="F196" s="756">
        <f>'DUoS (t)'!$H$94</f>
        <v>4.4000000000000003E-3</v>
      </c>
      <c r="G196" s="757">
        <f>'TUoS (t)'!$H$94</f>
        <v>8.2000000000000007E-3</v>
      </c>
      <c r="H196" s="757">
        <f>'JSO (t)'!$H$94</f>
        <v>8.9999999999999998E-4</v>
      </c>
      <c r="I196" s="758">
        <f>SUM(F196:H196)</f>
        <v>1.35E-2</v>
      </c>
      <c r="J196" s="576"/>
      <c r="K196" s="577"/>
      <c r="L196" s="577"/>
      <c r="M196" s="574">
        <f>SUM(J196:L196)</f>
        <v>0</v>
      </c>
      <c r="N196" s="576"/>
      <c r="O196" s="577"/>
      <c r="P196" s="577"/>
      <c r="Q196" s="574">
        <f>SUM(N196:P196)</f>
        <v>0</v>
      </c>
      <c r="R196" s="572">
        <f t="shared" si="22"/>
        <v>4.4000000000000003E-3</v>
      </c>
      <c r="S196" s="573">
        <f t="shared" si="22"/>
        <v>8.2000000000000007E-3</v>
      </c>
      <c r="T196" s="573">
        <f t="shared" si="22"/>
        <v>8.9999999999999998E-4</v>
      </c>
      <c r="U196" s="574">
        <f>SUM(R196:T196)</f>
        <v>1.35E-2</v>
      </c>
    </row>
    <row r="197" spans="1:21" outlineLevel="1" x14ac:dyDescent="0.25">
      <c r="F197" s="759"/>
      <c r="G197" s="759"/>
      <c r="H197" s="759"/>
      <c r="I197" s="759"/>
    </row>
    <row r="198" spans="1:21" outlineLevel="1" x14ac:dyDescent="0.25">
      <c r="A198" s="575" t="s">
        <v>123</v>
      </c>
      <c r="F198" s="760"/>
      <c r="G198" s="760"/>
      <c r="H198" s="760"/>
      <c r="I198" s="760"/>
      <c r="J198" s="764"/>
      <c r="K198" s="764"/>
      <c r="L198" s="764"/>
      <c r="M198" s="764"/>
      <c r="N198" s="764"/>
      <c r="O198" s="764"/>
      <c r="P198" s="764"/>
      <c r="Q198" s="764"/>
      <c r="R198" s="764"/>
      <c r="S198" s="764"/>
      <c r="T198" s="764"/>
      <c r="U198" s="764"/>
    </row>
    <row r="199" spans="1:21" outlineLevel="1" x14ac:dyDescent="0.25">
      <c r="B199" s="558"/>
      <c r="C199" s="559"/>
      <c r="D199" s="559"/>
      <c r="E199" s="559" t="s">
        <v>319</v>
      </c>
      <c r="F199" s="761"/>
      <c r="G199" s="762"/>
      <c r="H199" s="762"/>
      <c r="I199" s="763"/>
      <c r="J199" s="568"/>
      <c r="K199" s="569"/>
      <c r="L199" s="569"/>
      <c r="M199" s="570"/>
      <c r="N199" s="568"/>
      <c r="O199" s="569"/>
      <c r="P199" s="569"/>
      <c r="Q199" s="570"/>
      <c r="R199" s="568"/>
      <c r="S199" s="569"/>
      <c r="T199" s="569"/>
      <c r="U199" s="570"/>
    </row>
    <row r="200" spans="1:21" outlineLevel="1" x14ac:dyDescent="0.25">
      <c r="B200" s="560"/>
      <c r="C200" s="561" t="s">
        <v>382</v>
      </c>
      <c r="D200" s="561"/>
      <c r="E200" s="561" t="s">
        <v>291</v>
      </c>
      <c r="F200" s="753">
        <f>'DUoS (t)'!$G$94*1</f>
        <v>0</v>
      </c>
      <c r="G200" s="754">
        <f>'TUoS (t)'!$G$94*1</f>
        <v>0</v>
      </c>
      <c r="H200" s="754">
        <f>'JSO (t)'!$G$94*1</f>
        <v>0</v>
      </c>
      <c r="I200" s="755">
        <f>SUM(F200:H200)</f>
        <v>0</v>
      </c>
      <c r="J200" s="752"/>
      <c r="K200" s="751">
        <f>-G200</f>
        <v>0</v>
      </c>
      <c r="L200" s="751"/>
      <c r="M200" s="682">
        <f>SUM(J200:L200)</f>
        <v>0</v>
      </c>
      <c r="N200" s="752"/>
      <c r="O200" s="751">
        <v>559.94000000000005</v>
      </c>
      <c r="P200" s="751"/>
      <c r="Q200" s="682">
        <f>SUM(N200:P200)</f>
        <v>559.94000000000005</v>
      </c>
      <c r="R200" s="681">
        <f t="shared" ref="R200:T203" si="23">SUM(F200,J200,N200)</f>
        <v>0</v>
      </c>
      <c r="S200" s="571">
        <f t="shared" si="23"/>
        <v>559.94000000000005</v>
      </c>
      <c r="T200" s="571">
        <f t="shared" si="23"/>
        <v>0</v>
      </c>
      <c r="U200" s="682">
        <f>SUM(R200:T200)</f>
        <v>559.94000000000005</v>
      </c>
    </row>
    <row r="201" spans="1:21" outlineLevel="1" x14ac:dyDescent="0.25">
      <c r="B201" s="560"/>
      <c r="C201" s="561" t="s">
        <v>383</v>
      </c>
      <c r="D201" s="561">
        <v>4</v>
      </c>
      <c r="E201" s="561" t="s">
        <v>298</v>
      </c>
      <c r="F201" s="753">
        <f>'DUoS (t)'!$S$94</f>
        <v>4.1399999999999999E-2</v>
      </c>
      <c r="G201" s="754">
        <f>'TUoS (t)'!$S$94</f>
        <v>0.10829999999999999</v>
      </c>
      <c r="H201" s="754">
        <f>'JSO (t)'!$S$94</f>
        <v>0</v>
      </c>
      <c r="I201" s="755">
        <f>SUM(F201:H201)</f>
        <v>0.1497</v>
      </c>
      <c r="J201" s="752"/>
      <c r="K201" s="751">
        <f>-G201</f>
        <v>-0.10829999999999999</v>
      </c>
      <c r="L201" s="751"/>
      <c r="M201" s="682">
        <f>SUM(J201:L201)</f>
        <v>-0.10829999999999999</v>
      </c>
      <c r="N201" s="752"/>
      <c r="O201" s="751"/>
      <c r="P201" s="751"/>
      <c r="Q201" s="682">
        <f>SUM(N201:P201)</f>
        <v>0</v>
      </c>
      <c r="R201" s="681">
        <f t="shared" si="23"/>
        <v>4.1399999999999999E-2</v>
      </c>
      <c r="S201" s="571">
        <f t="shared" si="23"/>
        <v>0</v>
      </c>
      <c r="T201" s="571">
        <f t="shared" si="23"/>
        <v>0</v>
      </c>
      <c r="U201" s="682">
        <f>SUM(R201:T201)</f>
        <v>4.1399999999999999E-2</v>
      </c>
    </row>
    <row r="202" spans="1:21" outlineLevel="1" x14ac:dyDescent="0.25">
      <c r="B202" s="560"/>
      <c r="C202" s="561" t="s">
        <v>384</v>
      </c>
      <c r="D202" s="561">
        <v>4</v>
      </c>
      <c r="E202" s="561" t="s">
        <v>298</v>
      </c>
      <c r="F202" s="753">
        <f>'DUoS (t)'!$T$94</f>
        <v>7.3999999999999996E-2</v>
      </c>
      <c r="G202" s="754">
        <f>'TUoS (t)'!$T$94</f>
        <v>0</v>
      </c>
      <c r="H202" s="754">
        <f>'JSO (t)'!$T$94</f>
        <v>0</v>
      </c>
      <c r="I202" s="755">
        <f>SUM(F202:H202)</f>
        <v>7.3999999999999996E-2</v>
      </c>
      <c r="J202" s="752"/>
      <c r="K202" s="751">
        <f>-G202</f>
        <v>0</v>
      </c>
      <c r="L202" s="751"/>
      <c r="M202" s="682">
        <f>SUM(J202:L202)</f>
        <v>0</v>
      </c>
      <c r="N202" s="752"/>
      <c r="O202" s="751"/>
      <c r="P202" s="751"/>
      <c r="Q202" s="682">
        <f>SUM(N202:P202)</f>
        <v>0</v>
      </c>
      <c r="R202" s="681">
        <f t="shared" si="23"/>
        <v>7.3999999999999996E-2</v>
      </c>
      <c r="S202" s="571">
        <f t="shared" si="23"/>
        <v>0</v>
      </c>
      <c r="T202" s="571">
        <f t="shared" si="23"/>
        <v>0</v>
      </c>
      <c r="U202" s="682">
        <f>SUM(R202:T202)</f>
        <v>7.3999999999999996E-2</v>
      </c>
    </row>
    <row r="203" spans="1:21" outlineLevel="1" x14ac:dyDescent="0.25">
      <c r="B203" s="562"/>
      <c r="C203" s="563" t="s">
        <v>297</v>
      </c>
      <c r="D203" s="563"/>
      <c r="E203" s="563" t="s">
        <v>292</v>
      </c>
      <c r="F203" s="756">
        <f>'DUoS (t)'!$H$94</f>
        <v>4.4000000000000003E-3</v>
      </c>
      <c r="G203" s="757">
        <f>'TUoS (t)'!$H$94</f>
        <v>8.2000000000000007E-3</v>
      </c>
      <c r="H203" s="757">
        <f>'JSO (t)'!$H$94</f>
        <v>8.9999999999999998E-4</v>
      </c>
      <c r="I203" s="758">
        <f>SUM(F203:H203)</f>
        <v>1.35E-2</v>
      </c>
      <c r="J203" s="576"/>
      <c r="K203" s="577">
        <f>-G203</f>
        <v>-8.2000000000000007E-3</v>
      </c>
      <c r="L203" s="577"/>
      <c r="M203" s="574">
        <f>SUM(J203:L203)</f>
        <v>-8.2000000000000007E-3</v>
      </c>
      <c r="N203" s="576"/>
      <c r="O203" s="577"/>
      <c r="P203" s="577"/>
      <c r="Q203" s="574">
        <f>SUM(N203:P203)</f>
        <v>0</v>
      </c>
      <c r="R203" s="572">
        <f t="shared" si="23"/>
        <v>4.4000000000000003E-3</v>
      </c>
      <c r="S203" s="573">
        <f t="shared" si="23"/>
        <v>0</v>
      </c>
      <c r="T203" s="573">
        <f t="shared" si="23"/>
        <v>8.9999999999999998E-4</v>
      </c>
      <c r="U203" s="574">
        <f>SUM(R203:T203)</f>
        <v>5.3E-3</v>
      </c>
    </row>
    <row r="204" spans="1:21" outlineLevel="1" x14ac:dyDescent="0.25">
      <c r="F204" s="759"/>
      <c r="G204" s="759"/>
      <c r="H204" s="759"/>
      <c r="I204" s="759"/>
    </row>
    <row r="205" spans="1:21" outlineLevel="1" x14ac:dyDescent="0.25">
      <c r="A205" s="575" t="s">
        <v>119</v>
      </c>
      <c r="F205" s="760"/>
      <c r="G205" s="760"/>
      <c r="H205" s="760"/>
      <c r="I205" s="760"/>
      <c r="J205" s="764"/>
      <c r="K205" s="764"/>
      <c r="L205" s="764"/>
      <c r="M205" s="764"/>
      <c r="N205" s="764"/>
      <c r="O205" s="764"/>
      <c r="P205" s="764"/>
      <c r="Q205" s="764"/>
      <c r="R205" s="764"/>
      <c r="S205" s="764"/>
      <c r="T205" s="764"/>
      <c r="U205" s="764"/>
    </row>
    <row r="206" spans="1:21" outlineLevel="1" x14ac:dyDescent="0.25">
      <c r="B206" s="558"/>
      <c r="C206" s="559"/>
      <c r="D206" s="559"/>
      <c r="E206" s="559" t="s">
        <v>319</v>
      </c>
      <c r="F206" s="761"/>
      <c r="G206" s="762"/>
      <c r="H206" s="762"/>
      <c r="I206" s="763"/>
      <c r="J206" s="568"/>
      <c r="K206" s="569"/>
      <c r="L206" s="569"/>
      <c r="M206" s="570"/>
      <c r="N206" s="568"/>
      <c r="O206" s="569"/>
      <c r="P206" s="569"/>
      <c r="Q206" s="570"/>
      <c r="R206" s="568"/>
      <c r="S206" s="569"/>
      <c r="T206" s="569"/>
      <c r="U206" s="570"/>
    </row>
    <row r="207" spans="1:21" outlineLevel="1" x14ac:dyDescent="0.25">
      <c r="B207" s="560"/>
      <c r="C207" s="561" t="s">
        <v>382</v>
      </c>
      <c r="D207" s="561"/>
      <c r="E207" s="561" t="s">
        <v>291</v>
      </c>
      <c r="F207" s="753">
        <f>'DUoS (t)'!$G$94*1</f>
        <v>0</v>
      </c>
      <c r="G207" s="754">
        <f>'TUoS (t)'!$G$94*1</f>
        <v>0</v>
      </c>
      <c r="H207" s="754">
        <f>'JSO (t)'!$G$94*1</f>
        <v>0</v>
      </c>
      <c r="I207" s="755">
        <f>SUM(F207:H207)</f>
        <v>0</v>
      </c>
      <c r="J207" s="752"/>
      <c r="K207" s="751"/>
      <c r="L207" s="751"/>
      <c r="M207" s="682">
        <f>SUM(J207:L207)</f>
        <v>0</v>
      </c>
      <c r="N207" s="752">
        <v>835.62</v>
      </c>
      <c r="O207" s="751"/>
      <c r="P207" s="751"/>
      <c r="Q207" s="682">
        <f>SUM(N207:P207)</f>
        <v>835.62</v>
      </c>
      <c r="R207" s="681">
        <f t="shared" ref="R207:T210" si="24">SUM(F207,J207,N207)</f>
        <v>835.62</v>
      </c>
      <c r="S207" s="571">
        <f t="shared" si="24"/>
        <v>0</v>
      </c>
      <c r="T207" s="571">
        <f t="shared" si="24"/>
        <v>0</v>
      </c>
      <c r="U207" s="682">
        <f>SUM(R207:T207)</f>
        <v>835.62</v>
      </c>
    </row>
    <row r="208" spans="1:21" outlineLevel="1" x14ac:dyDescent="0.25">
      <c r="B208" s="560"/>
      <c r="C208" s="561" t="s">
        <v>383</v>
      </c>
      <c r="D208" s="561">
        <v>4</v>
      </c>
      <c r="E208" s="561" t="s">
        <v>298</v>
      </c>
      <c r="F208" s="753">
        <f>'DUoS (t)'!$S$94</f>
        <v>4.1399999999999999E-2</v>
      </c>
      <c r="G208" s="754">
        <f>'TUoS (t)'!$S$94</f>
        <v>0.10829999999999999</v>
      </c>
      <c r="H208" s="754">
        <f>'JSO (t)'!$S$94</f>
        <v>0</v>
      </c>
      <c r="I208" s="755">
        <f>SUM(F208:H208)</f>
        <v>0.1497</v>
      </c>
      <c r="J208" s="752"/>
      <c r="K208" s="751"/>
      <c r="L208" s="751"/>
      <c r="M208" s="682">
        <f>SUM(J208:L208)</f>
        <v>0</v>
      </c>
      <c r="N208" s="752"/>
      <c r="O208" s="751"/>
      <c r="P208" s="751"/>
      <c r="Q208" s="682">
        <f>SUM(N208:P208)</f>
        <v>0</v>
      </c>
      <c r="R208" s="681">
        <f t="shared" si="24"/>
        <v>4.1399999999999999E-2</v>
      </c>
      <c r="S208" s="571">
        <f t="shared" si="24"/>
        <v>0.10829999999999999</v>
      </c>
      <c r="T208" s="571">
        <f t="shared" si="24"/>
        <v>0</v>
      </c>
      <c r="U208" s="682">
        <f>SUM(R208:T208)</f>
        <v>0.1497</v>
      </c>
    </row>
    <row r="209" spans="1:21" outlineLevel="1" x14ac:dyDescent="0.25">
      <c r="B209" s="560"/>
      <c r="C209" s="561" t="s">
        <v>384</v>
      </c>
      <c r="D209" s="561">
        <v>4</v>
      </c>
      <c r="E209" s="561" t="s">
        <v>298</v>
      </c>
      <c r="F209" s="753">
        <f>'DUoS (t)'!$T$94</f>
        <v>7.3999999999999996E-2</v>
      </c>
      <c r="G209" s="754">
        <f>'TUoS (t)'!$T$94</f>
        <v>0</v>
      </c>
      <c r="H209" s="754">
        <f>'JSO (t)'!$T$94</f>
        <v>0</v>
      </c>
      <c r="I209" s="755">
        <f>SUM(F209:H209)</f>
        <v>7.3999999999999996E-2</v>
      </c>
      <c r="J209" s="752"/>
      <c r="K209" s="751"/>
      <c r="L209" s="751"/>
      <c r="M209" s="682">
        <f>SUM(J209:L209)</f>
        <v>0</v>
      </c>
      <c r="N209" s="752"/>
      <c r="O209" s="751"/>
      <c r="P209" s="751"/>
      <c r="Q209" s="682">
        <f>SUM(N209:P209)</f>
        <v>0</v>
      </c>
      <c r="R209" s="681">
        <f t="shared" si="24"/>
        <v>7.3999999999999996E-2</v>
      </c>
      <c r="S209" s="571">
        <f t="shared" si="24"/>
        <v>0</v>
      </c>
      <c r="T209" s="571">
        <f t="shared" si="24"/>
        <v>0</v>
      </c>
      <c r="U209" s="682">
        <f>SUM(R209:T209)</f>
        <v>7.3999999999999996E-2</v>
      </c>
    </row>
    <row r="210" spans="1:21" outlineLevel="1" x14ac:dyDescent="0.25">
      <c r="B210" s="562"/>
      <c r="C210" s="563" t="s">
        <v>297</v>
      </c>
      <c r="D210" s="563"/>
      <c r="E210" s="563" t="s">
        <v>292</v>
      </c>
      <c r="F210" s="756">
        <f>'DUoS (t)'!$H$94</f>
        <v>4.4000000000000003E-3</v>
      </c>
      <c r="G210" s="757">
        <f>'TUoS (t)'!$H$94</f>
        <v>8.2000000000000007E-3</v>
      </c>
      <c r="H210" s="757">
        <f>'JSO (t)'!$H$94</f>
        <v>8.9999999999999998E-4</v>
      </c>
      <c r="I210" s="758">
        <f>SUM(F210:H210)</f>
        <v>1.35E-2</v>
      </c>
      <c r="J210" s="576"/>
      <c r="K210" s="577"/>
      <c r="L210" s="577"/>
      <c r="M210" s="574">
        <f>SUM(J210:L210)</f>
        <v>0</v>
      </c>
      <c r="N210" s="576"/>
      <c r="O210" s="577"/>
      <c r="P210" s="577"/>
      <c r="Q210" s="574">
        <f>SUM(N210:P210)</f>
        <v>0</v>
      </c>
      <c r="R210" s="572">
        <f t="shared" si="24"/>
        <v>4.4000000000000003E-3</v>
      </c>
      <c r="S210" s="573">
        <f t="shared" si="24"/>
        <v>8.2000000000000007E-3</v>
      </c>
      <c r="T210" s="573">
        <f t="shared" si="24"/>
        <v>8.9999999999999998E-4</v>
      </c>
      <c r="U210" s="574">
        <f>SUM(R210:T210)</f>
        <v>1.35E-2</v>
      </c>
    </row>
    <row r="211" spans="1:21" outlineLevel="1" x14ac:dyDescent="0.25">
      <c r="F211" s="759"/>
      <c r="G211" s="759"/>
      <c r="H211" s="759"/>
      <c r="I211" s="759"/>
    </row>
    <row r="212" spans="1:21" outlineLevel="1" x14ac:dyDescent="0.25">
      <c r="A212" s="575" t="s">
        <v>120</v>
      </c>
      <c r="F212" s="760"/>
      <c r="G212" s="760"/>
      <c r="H212" s="760"/>
      <c r="I212" s="760"/>
      <c r="J212" s="764"/>
      <c r="K212" s="764"/>
      <c r="L212" s="764"/>
      <c r="M212" s="764"/>
      <c r="N212" s="764"/>
      <c r="O212" s="764"/>
      <c r="P212" s="764"/>
      <c r="Q212" s="764"/>
      <c r="R212" s="764"/>
      <c r="S212" s="764"/>
      <c r="T212" s="764"/>
      <c r="U212" s="764"/>
    </row>
    <row r="213" spans="1:21" outlineLevel="1" x14ac:dyDescent="0.25">
      <c r="B213" s="558"/>
      <c r="C213" s="559"/>
      <c r="D213" s="559"/>
      <c r="E213" s="559" t="s">
        <v>319</v>
      </c>
      <c r="F213" s="761"/>
      <c r="G213" s="762"/>
      <c r="H213" s="762"/>
      <c r="I213" s="763"/>
      <c r="J213" s="568"/>
      <c r="K213" s="569"/>
      <c r="L213" s="569"/>
      <c r="M213" s="570"/>
      <c r="N213" s="568"/>
      <c r="O213" s="569"/>
      <c r="P213" s="569"/>
      <c r="Q213" s="570"/>
      <c r="R213" s="568"/>
      <c r="S213" s="569"/>
      <c r="T213" s="569"/>
      <c r="U213" s="570"/>
    </row>
    <row r="214" spans="1:21" outlineLevel="1" x14ac:dyDescent="0.25">
      <c r="B214" s="560"/>
      <c r="C214" s="561" t="s">
        <v>382</v>
      </c>
      <c r="D214" s="561"/>
      <c r="E214" s="561" t="s">
        <v>291</v>
      </c>
      <c r="F214" s="753">
        <f>'DUoS (t)'!$G$94*1</f>
        <v>0</v>
      </c>
      <c r="G214" s="754">
        <f>'TUoS (t)'!$G$94*1</f>
        <v>0</v>
      </c>
      <c r="H214" s="754">
        <f>'JSO (t)'!$G$94*1</f>
        <v>0</v>
      </c>
      <c r="I214" s="755">
        <f>SUM(F214:H214)</f>
        <v>0</v>
      </c>
      <c r="J214" s="752"/>
      <c r="K214" s="751"/>
      <c r="L214" s="751"/>
      <c r="M214" s="682">
        <f>SUM(J214:L214)</f>
        <v>0</v>
      </c>
      <c r="N214" s="752"/>
      <c r="O214" s="751"/>
      <c r="P214" s="751"/>
      <c r="Q214" s="682">
        <f>SUM(N214:P214)</f>
        <v>0</v>
      </c>
      <c r="R214" s="681">
        <f t="shared" ref="R214:T217" si="25">SUM(F214,J214,N214)</f>
        <v>0</v>
      </c>
      <c r="S214" s="571">
        <f t="shared" si="25"/>
        <v>0</v>
      </c>
      <c r="T214" s="571">
        <f t="shared" si="25"/>
        <v>0</v>
      </c>
      <c r="U214" s="682">
        <f>SUM(R214:T214)</f>
        <v>0</v>
      </c>
    </row>
    <row r="215" spans="1:21" outlineLevel="1" x14ac:dyDescent="0.25">
      <c r="B215" s="560"/>
      <c r="C215" s="561" t="s">
        <v>383</v>
      </c>
      <c r="D215" s="561">
        <v>4</v>
      </c>
      <c r="E215" s="561" t="s">
        <v>298</v>
      </c>
      <c r="F215" s="753">
        <f>'DUoS (t)'!$S$94</f>
        <v>4.1399999999999999E-2</v>
      </c>
      <c r="G215" s="754">
        <f>'TUoS (t)'!$S$94</f>
        <v>0.10829999999999999</v>
      </c>
      <c r="H215" s="754">
        <f>'JSO (t)'!$S$94</f>
        <v>0</v>
      </c>
      <c r="I215" s="755">
        <f>SUM(F215:H215)</f>
        <v>0.1497</v>
      </c>
      <c r="J215" s="752"/>
      <c r="K215" s="751"/>
      <c r="L215" s="751"/>
      <c r="M215" s="682">
        <f>SUM(J215:L215)</f>
        <v>0</v>
      </c>
      <c r="N215" s="752"/>
      <c r="O215" s="751"/>
      <c r="P215" s="751"/>
      <c r="Q215" s="682">
        <f>SUM(N215:P215)</f>
        <v>0</v>
      </c>
      <c r="R215" s="681">
        <f t="shared" si="25"/>
        <v>4.1399999999999999E-2</v>
      </c>
      <c r="S215" s="571">
        <f t="shared" si="25"/>
        <v>0.10829999999999999</v>
      </c>
      <c r="T215" s="571">
        <f t="shared" si="25"/>
        <v>0</v>
      </c>
      <c r="U215" s="682">
        <f>SUM(R215:T215)</f>
        <v>0.1497</v>
      </c>
    </row>
    <row r="216" spans="1:21" outlineLevel="1" x14ac:dyDescent="0.25">
      <c r="B216" s="560"/>
      <c r="C216" s="561" t="s">
        <v>384</v>
      </c>
      <c r="D216" s="561">
        <v>4</v>
      </c>
      <c r="E216" s="561" t="s">
        <v>298</v>
      </c>
      <c r="F216" s="753">
        <f>'DUoS (t)'!$T$94</f>
        <v>7.3999999999999996E-2</v>
      </c>
      <c r="G216" s="754">
        <f>'TUoS (t)'!$T$94</f>
        <v>0</v>
      </c>
      <c r="H216" s="754">
        <f>'JSO (t)'!$T$94</f>
        <v>0</v>
      </c>
      <c r="I216" s="755">
        <f>SUM(F216:H216)</f>
        <v>7.3999999999999996E-2</v>
      </c>
      <c r="J216" s="752"/>
      <c r="K216" s="751"/>
      <c r="L216" s="751"/>
      <c r="M216" s="682">
        <f>SUM(J216:L216)</f>
        <v>0</v>
      </c>
      <c r="N216" s="752"/>
      <c r="O216" s="751"/>
      <c r="P216" s="751"/>
      <c r="Q216" s="682">
        <f>SUM(N216:P216)</f>
        <v>0</v>
      </c>
      <c r="R216" s="681">
        <f t="shared" si="25"/>
        <v>7.3999999999999996E-2</v>
      </c>
      <c r="S216" s="571">
        <f t="shared" si="25"/>
        <v>0</v>
      </c>
      <c r="T216" s="571">
        <f t="shared" si="25"/>
        <v>0</v>
      </c>
      <c r="U216" s="682">
        <f>SUM(R216:T216)</f>
        <v>7.3999999999999996E-2</v>
      </c>
    </row>
    <row r="217" spans="1:21" outlineLevel="1" x14ac:dyDescent="0.25">
      <c r="B217" s="562"/>
      <c r="C217" s="563" t="s">
        <v>297</v>
      </c>
      <c r="D217" s="563"/>
      <c r="E217" s="563" t="s">
        <v>292</v>
      </c>
      <c r="F217" s="756">
        <f>'DUoS (t)'!$H$94</f>
        <v>4.4000000000000003E-3</v>
      </c>
      <c r="G217" s="757">
        <f>'TUoS (t)'!$H$94</f>
        <v>8.2000000000000007E-3</v>
      </c>
      <c r="H217" s="757">
        <f>'JSO (t)'!$H$94</f>
        <v>8.9999999999999998E-4</v>
      </c>
      <c r="I217" s="758">
        <f>SUM(F217:H217)</f>
        <v>1.35E-2</v>
      </c>
      <c r="J217" s="576"/>
      <c r="K217" s="577"/>
      <c r="L217" s="577"/>
      <c r="M217" s="574">
        <f>SUM(J217:L217)</f>
        <v>0</v>
      </c>
      <c r="N217" s="576"/>
      <c r="O217" s="577"/>
      <c r="P217" s="577"/>
      <c r="Q217" s="574">
        <f>SUM(N217:P217)</f>
        <v>0</v>
      </c>
      <c r="R217" s="572">
        <f t="shared" si="25"/>
        <v>4.4000000000000003E-3</v>
      </c>
      <c r="S217" s="573">
        <f t="shared" si="25"/>
        <v>8.2000000000000007E-3</v>
      </c>
      <c r="T217" s="573">
        <f t="shared" si="25"/>
        <v>8.9999999999999998E-4</v>
      </c>
      <c r="U217" s="574">
        <f>SUM(R217:T217)</f>
        <v>1.35E-2</v>
      </c>
    </row>
    <row r="218" spans="1:21" outlineLevel="1" x14ac:dyDescent="0.25">
      <c r="F218" s="759"/>
      <c r="G218" s="759"/>
      <c r="H218" s="759"/>
      <c r="I218" s="759"/>
    </row>
    <row r="219" spans="1:21" outlineLevel="1" x14ac:dyDescent="0.25">
      <c r="A219" s="575" t="s">
        <v>121</v>
      </c>
      <c r="F219" s="760"/>
      <c r="G219" s="760"/>
      <c r="H219" s="760"/>
      <c r="I219" s="760"/>
      <c r="J219" s="764"/>
      <c r="K219" s="764"/>
      <c r="L219" s="764"/>
      <c r="M219" s="764"/>
      <c r="N219" s="764"/>
      <c r="O219" s="764"/>
      <c r="P219" s="764"/>
      <c r="Q219" s="764"/>
      <c r="R219" s="764"/>
      <c r="S219" s="764"/>
      <c r="T219" s="764"/>
      <c r="U219" s="764"/>
    </row>
    <row r="220" spans="1:21" outlineLevel="1" x14ac:dyDescent="0.25">
      <c r="B220" s="558"/>
      <c r="C220" s="559"/>
      <c r="D220" s="559"/>
      <c r="E220" s="559" t="s">
        <v>319</v>
      </c>
      <c r="F220" s="761"/>
      <c r="G220" s="762"/>
      <c r="H220" s="762"/>
      <c r="I220" s="763"/>
      <c r="J220" s="568"/>
      <c r="K220" s="569"/>
      <c r="L220" s="569"/>
      <c r="M220" s="570"/>
      <c r="N220" s="568"/>
      <c r="O220" s="569"/>
      <c r="P220" s="569"/>
      <c r="Q220" s="570"/>
      <c r="R220" s="568"/>
      <c r="S220" s="569"/>
      <c r="T220" s="569"/>
      <c r="U220" s="570"/>
    </row>
    <row r="221" spans="1:21" outlineLevel="1" x14ac:dyDescent="0.25">
      <c r="B221" s="560"/>
      <c r="C221" s="561" t="s">
        <v>382</v>
      </c>
      <c r="D221" s="561"/>
      <c r="E221" s="561" t="s">
        <v>291</v>
      </c>
      <c r="F221" s="753">
        <f>'DUoS (t)'!$G$94*1</f>
        <v>0</v>
      </c>
      <c r="G221" s="754">
        <f>'TUoS (t)'!$G$94*1</f>
        <v>0</v>
      </c>
      <c r="H221" s="754">
        <f>'JSO (t)'!$G$94*1</f>
        <v>0</v>
      </c>
      <c r="I221" s="755">
        <f>SUM(F221:H221)</f>
        <v>0</v>
      </c>
      <c r="J221" s="752"/>
      <c r="K221" s="751">
        <f>-G221</f>
        <v>0</v>
      </c>
      <c r="L221" s="751"/>
      <c r="M221" s="682">
        <f>SUM(J221:L221)</f>
        <v>0</v>
      </c>
      <c r="N221" s="752">
        <v>295.24</v>
      </c>
      <c r="O221" s="751">
        <v>928.6</v>
      </c>
      <c r="P221" s="751"/>
      <c r="Q221" s="682">
        <f>SUM(N221:P221)</f>
        <v>1223.8400000000001</v>
      </c>
      <c r="R221" s="681">
        <f t="shared" ref="R221:T224" si="26">SUM(F221,J221,N221)</f>
        <v>295.24</v>
      </c>
      <c r="S221" s="571">
        <f t="shared" si="26"/>
        <v>928.6</v>
      </c>
      <c r="T221" s="571">
        <f t="shared" si="26"/>
        <v>0</v>
      </c>
      <c r="U221" s="682">
        <f>SUM(R221:T221)</f>
        <v>1223.8400000000001</v>
      </c>
    </row>
    <row r="222" spans="1:21" outlineLevel="1" x14ac:dyDescent="0.25">
      <c r="B222" s="560"/>
      <c r="C222" s="561" t="s">
        <v>383</v>
      </c>
      <c r="D222" s="561">
        <v>4</v>
      </c>
      <c r="E222" s="561" t="s">
        <v>298</v>
      </c>
      <c r="F222" s="753">
        <f>'DUoS (t)'!$S$94</f>
        <v>4.1399999999999999E-2</v>
      </c>
      <c r="G222" s="754">
        <f>'TUoS (t)'!$S$94</f>
        <v>0.10829999999999999</v>
      </c>
      <c r="H222" s="754">
        <f>'JSO (t)'!$S$94</f>
        <v>0</v>
      </c>
      <c r="I222" s="755">
        <f>SUM(F222:H222)</f>
        <v>0.1497</v>
      </c>
      <c r="J222" s="752"/>
      <c r="K222" s="751">
        <f>-G222</f>
        <v>-0.10829999999999999</v>
      </c>
      <c r="L222" s="751"/>
      <c r="M222" s="682">
        <f>SUM(J222:L222)</f>
        <v>-0.10829999999999999</v>
      </c>
      <c r="N222" s="752"/>
      <c r="O222" s="751"/>
      <c r="P222" s="751"/>
      <c r="Q222" s="682">
        <f>SUM(N222:P222)</f>
        <v>0</v>
      </c>
      <c r="R222" s="681">
        <f t="shared" si="26"/>
        <v>4.1399999999999999E-2</v>
      </c>
      <c r="S222" s="571">
        <f t="shared" si="26"/>
        <v>0</v>
      </c>
      <c r="T222" s="571">
        <f t="shared" si="26"/>
        <v>0</v>
      </c>
      <c r="U222" s="682">
        <f>SUM(R222:T222)</f>
        <v>4.1399999999999999E-2</v>
      </c>
    </row>
    <row r="223" spans="1:21" outlineLevel="1" x14ac:dyDescent="0.25">
      <c r="B223" s="560"/>
      <c r="C223" s="561" t="s">
        <v>384</v>
      </c>
      <c r="D223" s="561">
        <v>4</v>
      </c>
      <c r="E223" s="561" t="s">
        <v>298</v>
      </c>
      <c r="F223" s="753">
        <f>'DUoS (t)'!$T$94</f>
        <v>7.3999999999999996E-2</v>
      </c>
      <c r="G223" s="754">
        <f>'TUoS (t)'!$T$94</f>
        <v>0</v>
      </c>
      <c r="H223" s="754">
        <f>'JSO (t)'!$T$94</f>
        <v>0</v>
      </c>
      <c r="I223" s="755">
        <f>SUM(F223:H223)</f>
        <v>7.3999999999999996E-2</v>
      </c>
      <c r="J223" s="752"/>
      <c r="K223" s="751">
        <f>-G223</f>
        <v>0</v>
      </c>
      <c r="L223" s="751"/>
      <c r="M223" s="682">
        <f>SUM(J223:L223)</f>
        <v>0</v>
      </c>
      <c r="N223" s="752"/>
      <c r="O223" s="751"/>
      <c r="P223" s="751"/>
      <c r="Q223" s="682">
        <f>SUM(N223:P223)</f>
        <v>0</v>
      </c>
      <c r="R223" s="681">
        <f t="shared" si="26"/>
        <v>7.3999999999999996E-2</v>
      </c>
      <c r="S223" s="571">
        <f t="shared" si="26"/>
        <v>0</v>
      </c>
      <c r="T223" s="571">
        <f t="shared" si="26"/>
        <v>0</v>
      </c>
      <c r="U223" s="682">
        <f>SUM(R223:T223)</f>
        <v>7.3999999999999996E-2</v>
      </c>
    </row>
    <row r="224" spans="1:21" outlineLevel="1" x14ac:dyDescent="0.25">
      <c r="B224" s="562"/>
      <c r="C224" s="563" t="s">
        <v>297</v>
      </c>
      <c r="D224" s="563"/>
      <c r="E224" s="563" t="s">
        <v>292</v>
      </c>
      <c r="F224" s="756">
        <f>'DUoS (t)'!$H$94</f>
        <v>4.4000000000000003E-3</v>
      </c>
      <c r="G224" s="757">
        <f>'TUoS (t)'!$H$94</f>
        <v>8.2000000000000007E-3</v>
      </c>
      <c r="H224" s="757">
        <f>'JSO (t)'!$H$94</f>
        <v>8.9999999999999998E-4</v>
      </c>
      <c r="I224" s="758">
        <f>SUM(F224:H224)</f>
        <v>1.35E-2</v>
      </c>
      <c r="J224" s="576"/>
      <c r="K224" s="577">
        <f>-G224</f>
        <v>-8.2000000000000007E-3</v>
      </c>
      <c r="L224" s="577"/>
      <c r="M224" s="574">
        <f>SUM(J224:L224)</f>
        <v>-8.2000000000000007E-3</v>
      </c>
      <c r="N224" s="576"/>
      <c r="O224" s="577"/>
      <c r="P224" s="577"/>
      <c r="Q224" s="574">
        <f>SUM(N224:P224)</f>
        <v>0</v>
      </c>
      <c r="R224" s="572">
        <f t="shared" si="26"/>
        <v>4.4000000000000003E-3</v>
      </c>
      <c r="S224" s="573">
        <f t="shared" si="26"/>
        <v>0</v>
      </c>
      <c r="T224" s="573">
        <f t="shared" si="26"/>
        <v>8.9999999999999998E-4</v>
      </c>
      <c r="U224" s="574">
        <f>SUM(R224:T224)</f>
        <v>5.3E-3</v>
      </c>
    </row>
    <row r="225" spans="1:21" outlineLevel="1" x14ac:dyDescent="0.25"/>
    <row r="226" spans="1:21" x14ac:dyDescent="0.25">
      <c r="A226" s="579" t="s">
        <v>391</v>
      </c>
    </row>
    <row r="227" spans="1:21" ht="16.5" thickBot="1" x14ac:dyDescent="0.3">
      <c r="A227" s="451" t="s">
        <v>124</v>
      </c>
    </row>
    <row r="228" spans="1:21" outlineLevel="1" x14ac:dyDescent="0.25">
      <c r="F228" s="873" t="s">
        <v>385</v>
      </c>
      <c r="G228" s="874"/>
      <c r="H228" s="874"/>
      <c r="I228" s="875"/>
      <c r="J228" s="876" t="s">
        <v>387</v>
      </c>
      <c r="K228" s="877"/>
      <c r="L228" s="877"/>
      <c r="M228" s="878"/>
      <c r="N228" s="876" t="s">
        <v>388</v>
      </c>
      <c r="O228" s="877"/>
      <c r="P228" s="877"/>
      <c r="Q228" s="878"/>
      <c r="R228" s="876" t="s">
        <v>386</v>
      </c>
      <c r="S228" s="877"/>
      <c r="T228" s="877"/>
      <c r="U228" s="878"/>
    </row>
    <row r="229" spans="1:21" ht="15.75" outlineLevel="1" thickBot="1" x14ac:dyDescent="0.3">
      <c r="F229" s="564" t="s">
        <v>286</v>
      </c>
      <c r="G229" s="565" t="s">
        <v>287</v>
      </c>
      <c r="H229" s="565" t="s">
        <v>288</v>
      </c>
      <c r="I229" s="566" t="s">
        <v>289</v>
      </c>
      <c r="J229" s="766" t="s">
        <v>286</v>
      </c>
      <c r="K229" s="767" t="s">
        <v>287</v>
      </c>
      <c r="L229" s="767" t="s">
        <v>288</v>
      </c>
      <c r="M229" s="768" t="s">
        <v>289</v>
      </c>
      <c r="N229" s="766" t="s">
        <v>286</v>
      </c>
      <c r="O229" s="767" t="s">
        <v>287</v>
      </c>
      <c r="P229" s="767" t="s">
        <v>288</v>
      </c>
      <c r="Q229" s="768" t="s">
        <v>289</v>
      </c>
      <c r="R229" s="766" t="s">
        <v>286</v>
      </c>
      <c r="S229" s="767" t="s">
        <v>287</v>
      </c>
      <c r="T229" s="767" t="s">
        <v>288</v>
      </c>
      <c r="U229" s="768" t="s">
        <v>289</v>
      </c>
    </row>
    <row r="230" spans="1:21" outlineLevel="1" x14ac:dyDescent="0.25">
      <c r="A230" s="575" t="s">
        <v>125</v>
      </c>
      <c r="F230" s="567"/>
      <c r="G230" s="567"/>
      <c r="H230" s="567"/>
      <c r="I230" s="567"/>
      <c r="J230" s="764"/>
      <c r="K230" s="764"/>
      <c r="L230" s="764"/>
      <c r="M230" s="764"/>
      <c r="N230" s="764"/>
      <c r="O230" s="764"/>
      <c r="P230" s="764"/>
      <c r="Q230" s="764"/>
      <c r="R230" s="764"/>
      <c r="S230" s="764"/>
      <c r="T230" s="764"/>
      <c r="U230" s="764"/>
    </row>
    <row r="231" spans="1:21" outlineLevel="1" x14ac:dyDescent="0.25">
      <c r="B231" s="558"/>
      <c r="C231" s="559"/>
      <c r="D231" s="559"/>
      <c r="E231" s="559" t="s">
        <v>319</v>
      </c>
      <c r="F231" s="568"/>
      <c r="G231" s="569"/>
      <c r="H231" s="569"/>
      <c r="I231" s="570"/>
      <c r="J231" s="568"/>
      <c r="K231" s="569"/>
      <c r="L231" s="569"/>
      <c r="M231" s="570"/>
      <c r="N231" s="568"/>
      <c r="O231" s="569"/>
      <c r="P231" s="569"/>
      <c r="Q231" s="570"/>
      <c r="R231" s="568"/>
      <c r="S231" s="569"/>
      <c r="T231" s="569"/>
      <c r="U231" s="570"/>
    </row>
    <row r="232" spans="1:21" outlineLevel="1" x14ac:dyDescent="0.25">
      <c r="B232" s="560"/>
      <c r="C232" s="561" t="s">
        <v>382</v>
      </c>
      <c r="D232" s="561"/>
      <c r="E232" s="561" t="s">
        <v>291</v>
      </c>
      <c r="F232" s="681">
        <f>'DUoS (t)'!$G$94*1</f>
        <v>0</v>
      </c>
      <c r="G232" s="571">
        <f>'TUoS (t)'!$G$94*1</f>
        <v>0</v>
      </c>
      <c r="H232" s="571">
        <f>'JSO (t)'!$G$94*1</f>
        <v>0</v>
      </c>
      <c r="I232" s="682">
        <f>SUM(F232:H232)</f>
        <v>0</v>
      </c>
      <c r="J232" s="752"/>
      <c r="K232" s="751">
        <f>-G232</f>
        <v>0</v>
      </c>
      <c r="L232" s="751"/>
      <c r="M232" s="682">
        <f>SUM(J232:L232)</f>
        <v>0</v>
      </c>
      <c r="N232" s="752"/>
      <c r="O232" s="751">
        <v>3487.2</v>
      </c>
      <c r="P232" s="751"/>
      <c r="Q232" s="682">
        <f>SUM(N232:P232)</f>
        <v>3487.2</v>
      </c>
      <c r="R232" s="681">
        <f t="shared" ref="R232:T235" si="27">SUM(F232,J232,N232)</f>
        <v>0</v>
      </c>
      <c r="S232" s="571">
        <f t="shared" si="27"/>
        <v>3487.2</v>
      </c>
      <c r="T232" s="571">
        <f t="shared" si="27"/>
        <v>0</v>
      </c>
      <c r="U232" s="682">
        <f>SUM(R232:T232)</f>
        <v>3487.2</v>
      </c>
    </row>
    <row r="233" spans="1:21" outlineLevel="1" x14ac:dyDescent="0.25">
      <c r="B233" s="560"/>
      <c r="C233" s="561" t="s">
        <v>383</v>
      </c>
      <c r="D233" s="561">
        <v>4</v>
      </c>
      <c r="E233" s="561" t="s">
        <v>298</v>
      </c>
      <c r="F233" s="681">
        <f>'DUoS (t)'!$S$94</f>
        <v>4.1399999999999999E-2</v>
      </c>
      <c r="G233" s="571">
        <f>'TUoS (t)'!$S$94</f>
        <v>0.10829999999999999</v>
      </c>
      <c r="H233" s="571">
        <f>'JSO (t)'!$S$94</f>
        <v>0</v>
      </c>
      <c r="I233" s="682">
        <f>SUM(F233:H233)</f>
        <v>0.1497</v>
      </c>
      <c r="J233" s="752"/>
      <c r="K233" s="751">
        <f>-G233</f>
        <v>-0.10829999999999999</v>
      </c>
      <c r="L233" s="751"/>
      <c r="M233" s="682">
        <f>SUM(J233:L233)</f>
        <v>-0.10829999999999999</v>
      </c>
      <c r="N233" s="752"/>
      <c r="O233" s="751"/>
      <c r="P233" s="751"/>
      <c r="Q233" s="682">
        <f>SUM(N233:P233)</f>
        <v>0</v>
      </c>
      <c r="R233" s="681">
        <f t="shared" si="27"/>
        <v>4.1399999999999999E-2</v>
      </c>
      <c r="S233" s="571">
        <f t="shared" si="27"/>
        <v>0</v>
      </c>
      <c r="T233" s="571">
        <f t="shared" si="27"/>
        <v>0</v>
      </c>
      <c r="U233" s="682">
        <f>SUM(R233:T233)</f>
        <v>4.1399999999999999E-2</v>
      </c>
    </row>
    <row r="234" spans="1:21" outlineLevel="1" x14ac:dyDescent="0.25">
      <c r="B234" s="560"/>
      <c r="C234" s="561" t="s">
        <v>384</v>
      </c>
      <c r="D234" s="561">
        <v>4</v>
      </c>
      <c r="E234" s="561" t="s">
        <v>298</v>
      </c>
      <c r="F234" s="681">
        <f>'DUoS (t)'!$T$94</f>
        <v>7.3999999999999996E-2</v>
      </c>
      <c r="G234" s="571">
        <f>'TUoS (t)'!$T$94</f>
        <v>0</v>
      </c>
      <c r="H234" s="571">
        <f>'JSO (t)'!$T$94</f>
        <v>0</v>
      </c>
      <c r="I234" s="682">
        <f>SUM(F234:H234)</f>
        <v>7.3999999999999996E-2</v>
      </c>
      <c r="J234" s="752"/>
      <c r="K234" s="751">
        <f>-G234</f>
        <v>0</v>
      </c>
      <c r="L234" s="751"/>
      <c r="M234" s="682">
        <f>SUM(J234:L234)</f>
        <v>0</v>
      </c>
      <c r="N234" s="752"/>
      <c r="O234" s="751"/>
      <c r="P234" s="751"/>
      <c r="Q234" s="682">
        <f>SUM(N234:P234)</f>
        <v>0</v>
      </c>
      <c r="R234" s="681">
        <f t="shared" si="27"/>
        <v>7.3999999999999996E-2</v>
      </c>
      <c r="S234" s="571">
        <f t="shared" si="27"/>
        <v>0</v>
      </c>
      <c r="T234" s="571">
        <f t="shared" si="27"/>
        <v>0</v>
      </c>
      <c r="U234" s="682">
        <f>SUM(R234:T234)</f>
        <v>7.3999999999999996E-2</v>
      </c>
    </row>
    <row r="235" spans="1:21" outlineLevel="1" x14ac:dyDescent="0.25">
      <c r="B235" s="562"/>
      <c r="C235" s="563" t="s">
        <v>297</v>
      </c>
      <c r="D235" s="563"/>
      <c r="E235" s="563" t="s">
        <v>292</v>
      </c>
      <c r="F235" s="572">
        <f>'DUoS (t)'!$H$94</f>
        <v>4.4000000000000003E-3</v>
      </c>
      <c r="G235" s="573">
        <f>'TUoS (t)'!$H$94</f>
        <v>8.2000000000000007E-3</v>
      </c>
      <c r="H235" s="573">
        <f>'JSO (t)'!$H$94</f>
        <v>8.9999999999999998E-4</v>
      </c>
      <c r="I235" s="574">
        <f>SUM(F235:H235)</f>
        <v>1.35E-2</v>
      </c>
      <c r="J235" s="576"/>
      <c r="K235" s="577">
        <f>-G235</f>
        <v>-8.2000000000000007E-3</v>
      </c>
      <c r="L235" s="577"/>
      <c r="M235" s="574">
        <f>SUM(J235:L235)</f>
        <v>-8.2000000000000007E-3</v>
      </c>
      <c r="N235" s="576"/>
      <c r="O235" s="577"/>
      <c r="P235" s="577"/>
      <c r="Q235" s="574">
        <f>SUM(N235:P235)</f>
        <v>0</v>
      </c>
      <c r="R235" s="572">
        <f t="shared" si="27"/>
        <v>4.4000000000000003E-3</v>
      </c>
      <c r="S235" s="573">
        <f t="shared" si="27"/>
        <v>0</v>
      </c>
      <c r="T235" s="573">
        <f t="shared" si="27"/>
        <v>8.9999999999999998E-4</v>
      </c>
      <c r="U235" s="574">
        <f>SUM(R235:T235)</f>
        <v>5.3E-3</v>
      </c>
    </row>
    <row r="236" spans="1:21" outlineLevel="1" x14ac:dyDescent="0.25">
      <c r="F236" s="422"/>
      <c r="G236" s="422"/>
      <c r="H236" s="422"/>
      <c r="I236" s="422"/>
    </row>
    <row r="237" spans="1:21" outlineLevel="1" x14ac:dyDescent="0.25">
      <c r="A237" s="575" t="s">
        <v>127</v>
      </c>
      <c r="F237" s="764"/>
      <c r="G237" s="764"/>
      <c r="H237" s="764"/>
      <c r="I237" s="764"/>
      <c r="J237" s="764"/>
      <c r="K237" s="764"/>
      <c r="L237" s="764"/>
      <c r="M237" s="764"/>
      <c r="N237" s="764"/>
      <c r="O237" s="764"/>
      <c r="P237" s="764"/>
      <c r="Q237" s="764"/>
      <c r="R237" s="764"/>
      <c r="S237" s="764"/>
      <c r="T237" s="764"/>
      <c r="U237" s="764"/>
    </row>
    <row r="238" spans="1:21" outlineLevel="1" x14ac:dyDescent="0.25">
      <c r="B238" s="558"/>
      <c r="C238" s="559"/>
      <c r="D238" s="559"/>
      <c r="E238" s="559" t="s">
        <v>319</v>
      </c>
      <c r="F238" s="568"/>
      <c r="G238" s="569"/>
      <c r="H238" s="569"/>
      <c r="I238" s="570"/>
      <c r="J238" s="568"/>
      <c r="K238" s="569"/>
      <c r="L238" s="569"/>
      <c r="M238" s="570"/>
      <c r="N238" s="568"/>
      <c r="O238" s="569"/>
      <c r="P238" s="569"/>
      <c r="Q238" s="570"/>
      <c r="R238" s="568"/>
      <c r="S238" s="569"/>
      <c r="T238" s="569"/>
      <c r="U238" s="570"/>
    </row>
    <row r="239" spans="1:21" outlineLevel="1" x14ac:dyDescent="0.25">
      <c r="B239" s="560"/>
      <c r="C239" s="561" t="s">
        <v>382</v>
      </c>
      <c r="D239" s="561"/>
      <c r="E239" s="561" t="s">
        <v>291</v>
      </c>
      <c r="F239" s="681">
        <f>'DUoS (t)'!$G$94*1</f>
        <v>0</v>
      </c>
      <c r="G239" s="571">
        <f>'TUoS (t)'!$G$94*1</f>
        <v>0</v>
      </c>
      <c r="H239" s="571">
        <f>'JSO (t)'!$G$94*1</f>
        <v>0</v>
      </c>
      <c r="I239" s="682">
        <f>SUM(F239:H239)</f>
        <v>0</v>
      </c>
      <c r="J239" s="752"/>
      <c r="K239" s="751">
        <f>-G239</f>
        <v>0</v>
      </c>
      <c r="L239" s="751"/>
      <c r="M239" s="682">
        <f>SUM(J239:L239)</f>
        <v>0</v>
      </c>
      <c r="N239" s="752"/>
      <c r="O239" s="751">
        <v>113.9</v>
      </c>
      <c r="P239" s="751"/>
      <c r="Q239" s="682">
        <f>SUM(N239:P239)</f>
        <v>113.9</v>
      </c>
      <c r="R239" s="681">
        <f t="shared" ref="R239:T242" si="28">SUM(F239,J239,N239)</f>
        <v>0</v>
      </c>
      <c r="S239" s="571">
        <f t="shared" si="28"/>
        <v>113.9</v>
      </c>
      <c r="T239" s="571">
        <f t="shared" si="28"/>
        <v>0</v>
      </c>
      <c r="U239" s="682">
        <f>SUM(R239:T239)</f>
        <v>113.9</v>
      </c>
    </row>
    <row r="240" spans="1:21" outlineLevel="1" x14ac:dyDescent="0.25">
      <c r="B240" s="560"/>
      <c r="C240" s="561" t="s">
        <v>383</v>
      </c>
      <c r="D240" s="561">
        <v>4</v>
      </c>
      <c r="E240" s="561" t="s">
        <v>298</v>
      </c>
      <c r="F240" s="681">
        <f>'DUoS (t)'!$S$94</f>
        <v>4.1399999999999999E-2</v>
      </c>
      <c r="G240" s="571">
        <f>'TUoS (t)'!$S$94</f>
        <v>0.10829999999999999</v>
      </c>
      <c r="H240" s="571">
        <f>'JSO (t)'!$S$94</f>
        <v>0</v>
      </c>
      <c r="I240" s="682">
        <f>SUM(F240:H240)</f>
        <v>0.1497</v>
      </c>
      <c r="J240" s="752"/>
      <c r="K240" s="751">
        <f>-G240</f>
        <v>-0.10829999999999999</v>
      </c>
      <c r="L240" s="751"/>
      <c r="M240" s="682">
        <f>SUM(J240:L240)</f>
        <v>-0.10829999999999999</v>
      </c>
      <c r="N240" s="752"/>
      <c r="O240" s="751">
        <v>0.1784</v>
      </c>
      <c r="P240" s="751"/>
      <c r="Q240" s="682">
        <f>SUM(N240:P240)</f>
        <v>0.1784</v>
      </c>
      <c r="R240" s="681">
        <f t="shared" si="28"/>
        <v>4.1399999999999999E-2</v>
      </c>
      <c r="S240" s="571">
        <f t="shared" si="28"/>
        <v>0.1784</v>
      </c>
      <c r="T240" s="571">
        <f t="shared" si="28"/>
        <v>0</v>
      </c>
      <c r="U240" s="682">
        <f>SUM(R240:T240)</f>
        <v>0.2198</v>
      </c>
    </row>
    <row r="241" spans="1:21" outlineLevel="1" x14ac:dyDescent="0.25">
      <c r="B241" s="560"/>
      <c r="C241" s="561" t="s">
        <v>384</v>
      </c>
      <c r="D241" s="561">
        <v>4</v>
      </c>
      <c r="E241" s="561" t="s">
        <v>298</v>
      </c>
      <c r="F241" s="681">
        <f>'DUoS (t)'!$T$94</f>
        <v>7.3999999999999996E-2</v>
      </c>
      <c r="G241" s="571">
        <f>'TUoS (t)'!$T$94</f>
        <v>0</v>
      </c>
      <c r="H241" s="571">
        <f>'JSO (t)'!$T$94</f>
        <v>0</v>
      </c>
      <c r="I241" s="682">
        <f>SUM(F241:H241)</f>
        <v>7.3999999999999996E-2</v>
      </c>
      <c r="J241" s="752"/>
      <c r="K241" s="751">
        <f>-G241</f>
        <v>0</v>
      </c>
      <c r="L241" s="751"/>
      <c r="M241" s="682">
        <f>SUM(J241:L241)</f>
        <v>0</v>
      </c>
      <c r="N241" s="752"/>
      <c r="O241" s="751"/>
      <c r="P241" s="751"/>
      <c r="Q241" s="682">
        <f>SUM(N241:P241)</f>
        <v>0</v>
      </c>
      <c r="R241" s="681">
        <f t="shared" si="28"/>
        <v>7.3999999999999996E-2</v>
      </c>
      <c r="S241" s="571">
        <f t="shared" si="28"/>
        <v>0</v>
      </c>
      <c r="T241" s="571">
        <f t="shared" si="28"/>
        <v>0</v>
      </c>
      <c r="U241" s="682">
        <f>SUM(R241:T241)</f>
        <v>7.3999999999999996E-2</v>
      </c>
    </row>
    <row r="242" spans="1:21" outlineLevel="1" x14ac:dyDescent="0.25">
      <c r="B242" s="562"/>
      <c r="C242" s="563" t="s">
        <v>297</v>
      </c>
      <c r="D242" s="563"/>
      <c r="E242" s="563" t="s">
        <v>292</v>
      </c>
      <c r="F242" s="572">
        <f>'DUoS (t)'!$H$94</f>
        <v>4.4000000000000003E-3</v>
      </c>
      <c r="G242" s="573">
        <f>'TUoS (t)'!$H$94</f>
        <v>8.2000000000000007E-3</v>
      </c>
      <c r="H242" s="573">
        <f>'JSO (t)'!$H$94</f>
        <v>8.9999999999999998E-4</v>
      </c>
      <c r="I242" s="574">
        <f>SUM(F242:H242)</f>
        <v>1.35E-2</v>
      </c>
      <c r="J242" s="576"/>
      <c r="K242" s="577">
        <f>-G242</f>
        <v>-8.2000000000000007E-3</v>
      </c>
      <c r="L242" s="577"/>
      <c r="M242" s="574">
        <f>SUM(J242:L242)</f>
        <v>-8.2000000000000007E-3</v>
      </c>
      <c r="N242" s="576"/>
      <c r="O242" s="577"/>
      <c r="P242" s="577"/>
      <c r="Q242" s="574">
        <f>SUM(N242:P242)</f>
        <v>0</v>
      </c>
      <c r="R242" s="572">
        <f t="shared" si="28"/>
        <v>4.4000000000000003E-3</v>
      </c>
      <c r="S242" s="573">
        <f t="shared" si="28"/>
        <v>0</v>
      </c>
      <c r="T242" s="573">
        <f t="shared" si="28"/>
        <v>8.9999999999999998E-4</v>
      </c>
      <c r="U242" s="574">
        <f>SUM(R242:T242)</f>
        <v>5.3E-3</v>
      </c>
    </row>
    <row r="243" spans="1:21" outlineLevel="1" x14ac:dyDescent="0.25">
      <c r="F243" s="422"/>
      <c r="G243" s="422"/>
      <c r="H243" s="422"/>
      <c r="I243" s="422"/>
    </row>
    <row r="244" spans="1:21" outlineLevel="1" x14ac:dyDescent="0.25">
      <c r="A244" s="575" t="s">
        <v>128</v>
      </c>
      <c r="F244" s="764"/>
      <c r="G244" s="764"/>
      <c r="H244" s="764"/>
      <c r="I244" s="764"/>
      <c r="J244" s="764"/>
      <c r="K244" s="764"/>
      <c r="L244" s="764"/>
      <c r="M244" s="764"/>
      <c r="N244" s="764"/>
      <c r="O244" s="764"/>
      <c r="P244" s="764"/>
      <c r="Q244" s="764"/>
      <c r="R244" s="764"/>
      <c r="S244" s="764"/>
      <c r="T244" s="764"/>
      <c r="U244" s="764"/>
    </row>
    <row r="245" spans="1:21" outlineLevel="1" x14ac:dyDescent="0.25">
      <c r="B245" s="558"/>
      <c r="C245" s="559"/>
      <c r="D245" s="559"/>
      <c r="E245" s="559" t="s">
        <v>319</v>
      </c>
      <c r="F245" s="568"/>
      <c r="G245" s="569"/>
      <c r="H245" s="569"/>
      <c r="I245" s="570"/>
      <c r="J245" s="568"/>
      <c r="K245" s="569"/>
      <c r="L245" s="569"/>
      <c r="M245" s="570"/>
      <c r="N245" s="568"/>
      <c r="O245" s="569"/>
      <c r="P245" s="569"/>
      <c r="Q245" s="570"/>
      <c r="R245" s="568"/>
      <c r="S245" s="569"/>
      <c r="T245" s="569"/>
      <c r="U245" s="570"/>
    </row>
    <row r="246" spans="1:21" outlineLevel="1" x14ac:dyDescent="0.25">
      <c r="B246" s="560"/>
      <c r="C246" s="561" t="s">
        <v>382</v>
      </c>
      <c r="D246" s="561"/>
      <c r="E246" s="561" t="s">
        <v>291</v>
      </c>
      <c r="F246" s="681">
        <f>'DUoS (t)'!$G$94*1</f>
        <v>0</v>
      </c>
      <c r="G246" s="571">
        <f>'TUoS (t)'!$G$94*1</f>
        <v>0</v>
      </c>
      <c r="H246" s="571">
        <f>'JSO (t)'!$G$94*1</f>
        <v>0</v>
      </c>
      <c r="I246" s="682">
        <f>SUM(F246:H246)</f>
        <v>0</v>
      </c>
      <c r="J246" s="752"/>
      <c r="K246" s="751">
        <f>-G246</f>
        <v>0</v>
      </c>
      <c r="L246" s="751"/>
      <c r="M246" s="682">
        <f>SUM(J246:L246)</f>
        <v>0</v>
      </c>
      <c r="N246" s="752"/>
      <c r="O246" s="751">
        <v>168.9</v>
      </c>
      <c r="P246" s="751"/>
      <c r="Q246" s="682">
        <f>SUM(N246:P246)</f>
        <v>168.9</v>
      </c>
      <c r="R246" s="681">
        <f t="shared" ref="R246:T249" si="29">SUM(F246,J246,N246)</f>
        <v>0</v>
      </c>
      <c r="S246" s="571">
        <f t="shared" si="29"/>
        <v>168.9</v>
      </c>
      <c r="T246" s="571">
        <f t="shared" si="29"/>
        <v>0</v>
      </c>
      <c r="U246" s="682">
        <f>SUM(R246:T246)</f>
        <v>168.9</v>
      </c>
    </row>
    <row r="247" spans="1:21" outlineLevel="1" x14ac:dyDescent="0.25">
      <c r="B247" s="560"/>
      <c r="C247" s="561" t="s">
        <v>383</v>
      </c>
      <c r="D247" s="561">
        <v>4</v>
      </c>
      <c r="E247" s="561" t="s">
        <v>298</v>
      </c>
      <c r="F247" s="681">
        <f>'DUoS (t)'!$S$94</f>
        <v>4.1399999999999999E-2</v>
      </c>
      <c r="G247" s="571">
        <f>'TUoS (t)'!$S$94</f>
        <v>0.10829999999999999</v>
      </c>
      <c r="H247" s="571">
        <f>'JSO (t)'!$S$94</f>
        <v>0</v>
      </c>
      <c r="I247" s="682">
        <f>SUM(F247:H247)</f>
        <v>0.1497</v>
      </c>
      <c r="J247" s="752"/>
      <c r="K247" s="751">
        <f>-G247</f>
        <v>-0.10829999999999999</v>
      </c>
      <c r="L247" s="751"/>
      <c r="M247" s="682">
        <f>SUM(J247:L247)</f>
        <v>-0.10829999999999999</v>
      </c>
      <c r="N247" s="752"/>
      <c r="O247" s="751">
        <v>0.22040000000000001</v>
      </c>
      <c r="P247" s="751"/>
      <c r="Q247" s="682">
        <f>SUM(N247:P247)</f>
        <v>0.22040000000000001</v>
      </c>
      <c r="R247" s="681">
        <f t="shared" si="29"/>
        <v>4.1399999999999999E-2</v>
      </c>
      <c r="S247" s="571">
        <f t="shared" si="29"/>
        <v>0.22040000000000001</v>
      </c>
      <c r="T247" s="571">
        <f t="shared" si="29"/>
        <v>0</v>
      </c>
      <c r="U247" s="682">
        <f>SUM(R247:T247)</f>
        <v>0.26180000000000003</v>
      </c>
    </row>
    <row r="248" spans="1:21" outlineLevel="1" x14ac:dyDescent="0.25">
      <c r="B248" s="560"/>
      <c r="C248" s="561" t="s">
        <v>384</v>
      </c>
      <c r="D248" s="561">
        <v>4</v>
      </c>
      <c r="E248" s="561" t="s">
        <v>298</v>
      </c>
      <c r="F248" s="681">
        <f>'DUoS (t)'!$T$94</f>
        <v>7.3999999999999996E-2</v>
      </c>
      <c r="G248" s="571">
        <f>'TUoS (t)'!$T$94</f>
        <v>0</v>
      </c>
      <c r="H248" s="571">
        <f>'JSO (t)'!$T$94</f>
        <v>0</v>
      </c>
      <c r="I248" s="682">
        <f>SUM(F248:H248)</f>
        <v>7.3999999999999996E-2</v>
      </c>
      <c r="J248" s="752"/>
      <c r="K248" s="751">
        <f>-G248</f>
        <v>0</v>
      </c>
      <c r="L248" s="751"/>
      <c r="M248" s="682">
        <f>SUM(J248:L248)</f>
        <v>0</v>
      </c>
      <c r="N248" s="752"/>
      <c r="O248" s="751"/>
      <c r="P248" s="751"/>
      <c r="Q248" s="682">
        <f>SUM(N248:P248)</f>
        <v>0</v>
      </c>
      <c r="R248" s="681">
        <f t="shared" si="29"/>
        <v>7.3999999999999996E-2</v>
      </c>
      <c r="S248" s="571">
        <f t="shared" si="29"/>
        <v>0</v>
      </c>
      <c r="T248" s="571">
        <f t="shared" si="29"/>
        <v>0</v>
      </c>
      <c r="U248" s="682">
        <f>SUM(R248:T248)</f>
        <v>7.3999999999999996E-2</v>
      </c>
    </row>
    <row r="249" spans="1:21" outlineLevel="1" x14ac:dyDescent="0.25">
      <c r="B249" s="562"/>
      <c r="C249" s="563" t="s">
        <v>297</v>
      </c>
      <c r="D249" s="563"/>
      <c r="E249" s="563" t="s">
        <v>292</v>
      </c>
      <c r="F249" s="572">
        <f>'DUoS (t)'!$H$94</f>
        <v>4.4000000000000003E-3</v>
      </c>
      <c r="G249" s="573">
        <f>'TUoS (t)'!$H$94</f>
        <v>8.2000000000000007E-3</v>
      </c>
      <c r="H249" s="573">
        <f>'JSO (t)'!$H$94</f>
        <v>8.9999999999999998E-4</v>
      </c>
      <c r="I249" s="574">
        <f>SUM(F249:H249)</f>
        <v>1.35E-2</v>
      </c>
      <c r="J249" s="576"/>
      <c r="K249" s="577">
        <f>-G249</f>
        <v>-8.2000000000000007E-3</v>
      </c>
      <c r="L249" s="577"/>
      <c r="M249" s="574">
        <f>SUM(J249:L249)</f>
        <v>-8.2000000000000007E-3</v>
      </c>
      <c r="N249" s="576"/>
      <c r="O249" s="577"/>
      <c r="P249" s="577"/>
      <c r="Q249" s="574">
        <f>SUM(N249:P249)</f>
        <v>0</v>
      </c>
      <c r="R249" s="572">
        <f t="shared" si="29"/>
        <v>4.4000000000000003E-3</v>
      </c>
      <c r="S249" s="573">
        <f t="shared" si="29"/>
        <v>0</v>
      </c>
      <c r="T249" s="573">
        <f t="shared" si="29"/>
        <v>8.9999999999999998E-4</v>
      </c>
      <c r="U249" s="574">
        <f>SUM(R249:T249)</f>
        <v>5.3E-3</v>
      </c>
    </row>
    <row r="250" spans="1:21" outlineLevel="1" x14ac:dyDescent="0.25">
      <c r="F250" s="422"/>
      <c r="G250" s="422"/>
      <c r="H250" s="422"/>
      <c r="I250" s="422"/>
    </row>
    <row r="251" spans="1:21" outlineLevel="1" x14ac:dyDescent="0.25">
      <c r="A251" s="575" t="s">
        <v>129</v>
      </c>
      <c r="F251" s="764"/>
      <c r="G251" s="764"/>
      <c r="H251" s="764"/>
      <c r="I251" s="764"/>
      <c r="J251" s="764"/>
      <c r="K251" s="764"/>
      <c r="L251" s="764"/>
      <c r="M251" s="764"/>
      <c r="N251" s="764"/>
      <c r="O251" s="764"/>
      <c r="P251" s="764"/>
      <c r="Q251" s="764"/>
      <c r="R251" s="764"/>
      <c r="S251" s="764"/>
      <c r="T251" s="764"/>
      <c r="U251" s="764"/>
    </row>
    <row r="252" spans="1:21" outlineLevel="1" x14ac:dyDescent="0.25">
      <c r="B252" s="558"/>
      <c r="C252" s="559"/>
      <c r="D252" s="559"/>
      <c r="E252" s="559" t="s">
        <v>319</v>
      </c>
      <c r="F252" s="568"/>
      <c r="G252" s="569"/>
      <c r="H252" s="569"/>
      <c r="I252" s="570"/>
      <c r="J252" s="568"/>
      <c r="K252" s="569"/>
      <c r="L252" s="569"/>
      <c r="M252" s="570"/>
      <c r="N252" s="568"/>
      <c r="O252" s="569"/>
      <c r="P252" s="569"/>
      <c r="Q252" s="570"/>
      <c r="R252" s="568"/>
      <c r="S252" s="569"/>
      <c r="T252" s="569"/>
      <c r="U252" s="570"/>
    </row>
    <row r="253" spans="1:21" outlineLevel="1" x14ac:dyDescent="0.25">
      <c r="B253" s="560"/>
      <c r="C253" s="561" t="s">
        <v>382</v>
      </c>
      <c r="D253" s="561"/>
      <c r="E253" s="561" t="s">
        <v>291</v>
      </c>
      <c r="F253" s="681">
        <f>'DUoS (t)'!$G$94*1</f>
        <v>0</v>
      </c>
      <c r="G253" s="571">
        <f>'TUoS (t)'!$G$94*1</f>
        <v>0</v>
      </c>
      <c r="H253" s="571">
        <f>'JSO (t)'!$G$94*1</f>
        <v>0</v>
      </c>
      <c r="I253" s="682">
        <f>SUM(F253:H253)</f>
        <v>0</v>
      </c>
      <c r="J253" s="752"/>
      <c r="K253" s="751">
        <f>-G253</f>
        <v>0</v>
      </c>
      <c r="L253" s="751"/>
      <c r="M253" s="682">
        <f>SUM(J253:L253)</f>
        <v>0</v>
      </c>
      <c r="N253" s="752"/>
      <c r="O253" s="751">
        <v>150.5</v>
      </c>
      <c r="P253" s="751"/>
      <c r="Q253" s="682">
        <f>SUM(N253:P253)</f>
        <v>150.5</v>
      </c>
      <c r="R253" s="681">
        <f t="shared" ref="R253:T256" si="30">SUM(F253,J253,N253)</f>
        <v>0</v>
      </c>
      <c r="S253" s="571">
        <f t="shared" si="30"/>
        <v>150.5</v>
      </c>
      <c r="T253" s="571">
        <f t="shared" si="30"/>
        <v>0</v>
      </c>
      <c r="U253" s="682">
        <f>SUM(R253:T253)</f>
        <v>150.5</v>
      </c>
    </row>
    <row r="254" spans="1:21" outlineLevel="1" x14ac:dyDescent="0.25">
      <c r="B254" s="560"/>
      <c r="C254" s="561" t="s">
        <v>383</v>
      </c>
      <c r="D254" s="561">
        <v>4</v>
      </c>
      <c r="E254" s="561" t="s">
        <v>298</v>
      </c>
      <c r="F254" s="681">
        <f>'DUoS (t)'!$S$94</f>
        <v>4.1399999999999999E-2</v>
      </c>
      <c r="G254" s="571">
        <f>'TUoS (t)'!$S$94</f>
        <v>0.10829999999999999</v>
      </c>
      <c r="H254" s="571">
        <f>'JSO (t)'!$S$94</f>
        <v>0</v>
      </c>
      <c r="I254" s="682">
        <f>SUM(F254:H254)</f>
        <v>0.1497</v>
      </c>
      <c r="J254" s="752"/>
      <c r="K254" s="751">
        <f>-G254</f>
        <v>-0.10829999999999999</v>
      </c>
      <c r="L254" s="751"/>
      <c r="M254" s="682">
        <f>SUM(J254:L254)</f>
        <v>-0.10829999999999999</v>
      </c>
      <c r="N254" s="752"/>
      <c r="O254" s="751">
        <v>0.21390000000000001</v>
      </c>
      <c r="P254" s="751"/>
      <c r="Q254" s="682">
        <f>SUM(N254:P254)</f>
        <v>0.21390000000000001</v>
      </c>
      <c r="R254" s="681">
        <f t="shared" si="30"/>
        <v>4.1399999999999999E-2</v>
      </c>
      <c r="S254" s="571">
        <f t="shared" si="30"/>
        <v>0.21390000000000001</v>
      </c>
      <c r="T254" s="571">
        <f t="shared" si="30"/>
        <v>0</v>
      </c>
      <c r="U254" s="682">
        <f>SUM(R254:T254)</f>
        <v>0.25530000000000003</v>
      </c>
    </row>
    <row r="255" spans="1:21" outlineLevel="1" x14ac:dyDescent="0.25">
      <c r="B255" s="560"/>
      <c r="C255" s="561" t="s">
        <v>384</v>
      </c>
      <c r="D255" s="561">
        <v>4</v>
      </c>
      <c r="E255" s="561" t="s">
        <v>298</v>
      </c>
      <c r="F255" s="681">
        <f>'DUoS (t)'!$T$94</f>
        <v>7.3999999999999996E-2</v>
      </c>
      <c r="G255" s="571">
        <f>'TUoS (t)'!$T$94</f>
        <v>0</v>
      </c>
      <c r="H255" s="571">
        <f>'JSO (t)'!$T$94</f>
        <v>0</v>
      </c>
      <c r="I255" s="682">
        <f>SUM(F255:H255)</f>
        <v>7.3999999999999996E-2</v>
      </c>
      <c r="J255" s="752"/>
      <c r="K255" s="751">
        <f>-G255</f>
        <v>0</v>
      </c>
      <c r="L255" s="751"/>
      <c r="M255" s="682">
        <f>SUM(J255:L255)</f>
        <v>0</v>
      </c>
      <c r="N255" s="752"/>
      <c r="O255" s="751"/>
      <c r="P255" s="751"/>
      <c r="Q255" s="682">
        <f>SUM(N255:P255)</f>
        <v>0</v>
      </c>
      <c r="R255" s="681">
        <f t="shared" si="30"/>
        <v>7.3999999999999996E-2</v>
      </c>
      <c r="S255" s="571">
        <f t="shared" si="30"/>
        <v>0</v>
      </c>
      <c r="T255" s="571">
        <f t="shared" si="30"/>
        <v>0</v>
      </c>
      <c r="U255" s="682">
        <f>SUM(R255:T255)</f>
        <v>7.3999999999999996E-2</v>
      </c>
    </row>
    <row r="256" spans="1:21" outlineLevel="1" x14ac:dyDescent="0.25">
      <c r="B256" s="562"/>
      <c r="C256" s="563" t="s">
        <v>297</v>
      </c>
      <c r="D256" s="563"/>
      <c r="E256" s="563" t="s">
        <v>292</v>
      </c>
      <c r="F256" s="572">
        <f>'DUoS (t)'!$H$94</f>
        <v>4.4000000000000003E-3</v>
      </c>
      <c r="G256" s="573">
        <f>'TUoS (t)'!$H$94</f>
        <v>8.2000000000000007E-3</v>
      </c>
      <c r="H256" s="573">
        <f>'JSO (t)'!$H$94</f>
        <v>8.9999999999999998E-4</v>
      </c>
      <c r="I256" s="574">
        <f>SUM(F256:H256)</f>
        <v>1.35E-2</v>
      </c>
      <c r="J256" s="576"/>
      <c r="K256" s="577">
        <f>-G256</f>
        <v>-8.2000000000000007E-3</v>
      </c>
      <c r="L256" s="577"/>
      <c r="M256" s="574">
        <f>SUM(J256:L256)</f>
        <v>-8.2000000000000007E-3</v>
      </c>
      <c r="N256" s="576"/>
      <c r="O256" s="577"/>
      <c r="P256" s="577"/>
      <c r="Q256" s="574">
        <f>SUM(N256:P256)</f>
        <v>0</v>
      </c>
      <c r="R256" s="572">
        <f t="shared" si="30"/>
        <v>4.4000000000000003E-3</v>
      </c>
      <c r="S256" s="573">
        <f t="shared" si="30"/>
        <v>0</v>
      </c>
      <c r="T256" s="573">
        <f t="shared" si="30"/>
        <v>8.9999999999999998E-4</v>
      </c>
      <c r="U256" s="574">
        <f>SUM(R256:T256)</f>
        <v>5.3E-3</v>
      </c>
    </row>
    <row r="257" spans="1:21" outlineLevel="1" x14ac:dyDescent="0.25">
      <c r="B257" s="578"/>
      <c r="C257" s="578"/>
      <c r="D257" s="578"/>
      <c r="E257" s="578"/>
      <c r="F257" s="571"/>
      <c r="G257" s="571"/>
      <c r="H257" s="571"/>
      <c r="I257" s="571"/>
      <c r="J257" s="571"/>
      <c r="K257" s="571"/>
      <c r="L257" s="571"/>
      <c r="M257" s="571"/>
      <c r="N257" s="571"/>
      <c r="O257" s="571"/>
      <c r="P257" s="571"/>
      <c r="Q257" s="571"/>
      <c r="R257" s="571"/>
      <c r="S257" s="571"/>
      <c r="T257" s="571"/>
      <c r="U257" s="571"/>
    </row>
    <row r="258" spans="1:21" outlineLevel="1" x14ac:dyDescent="0.25">
      <c r="A258" s="575" t="s">
        <v>582</v>
      </c>
      <c r="F258" s="764"/>
      <c r="G258" s="764"/>
      <c r="H258" s="764"/>
      <c r="I258" s="764"/>
      <c r="J258" s="764"/>
      <c r="K258" s="764"/>
      <c r="L258" s="764"/>
      <c r="M258" s="764"/>
      <c r="N258" s="764"/>
      <c r="O258" s="764"/>
      <c r="P258" s="764"/>
      <c r="Q258" s="764"/>
      <c r="R258" s="764"/>
      <c r="S258" s="764"/>
      <c r="T258" s="764"/>
      <c r="U258" s="764"/>
    </row>
    <row r="259" spans="1:21" outlineLevel="1" x14ac:dyDescent="0.25">
      <c r="B259" s="558"/>
      <c r="C259" s="559"/>
      <c r="D259" s="559"/>
      <c r="E259" s="559" t="s">
        <v>319</v>
      </c>
      <c r="F259" s="568"/>
      <c r="G259" s="569"/>
      <c r="H259" s="569"/>
      <c r="I259" s="570"/>
      <c r="J259" s="568"/>
      <c r="K259" s="569"/>
      <c r="L259" s="569"/>
      <c r="M259" s="570"/>
      <c r="N259" s="568"/>
      <c r="O259" s="569"/>
      <c r="P259" s="569"/>
      <c r="Q259" s="570"/>
      <c r="R259" s="568"/>
      <c r="S259" s="569"/>
      <c r="T259" s="569"/>
      <c r="U259" s="570"/>
    </row>
    <row r="260" spans="1:21" outlineLevel="1" x14ac:dyDescent="0.25">
      <c r="B260" s="560"/>
      <c r="C260" s="561" t="s">
        <v>382</v>
      </c>
      <c r="D260" s="561"/>
      <c r="E260" s="561" t="s">
        <v>291</v>
      </c>
      <c r="F260" s="681">
        <f>'DUoS (t)'!$G$94*1</f>
        <v>0</v>
      </c>
      <c r="G260" s="571">
        <f>'TUoS (t)'!$G$94*1</f>
        <v>0</v>
      </c>
      <c r="H260" s="571">
        <f>'JSO (t)'!$G$94*1</f>
        <v>0</v>
      </c>
      <c r="I260" s="682">
        <f>SUM(F260:H260)</f>
        <v>0</v>
      </c>
      <c r="J260" s="752"/>
      <c r="K260" s="751"/>
      <c r="L260" s="751"/>
      <c r="M260" s="682">
        <f>SUM(J260:L260)</f>
        <v>0</v>
      </c>
      <c r="N260" s="752"/>
      <c r="O260" s="751"/>
      <c r="P260" s="751"/>
      <c r="Q260" s="682">
        <f>SUM(N260:P260)</f>
        <v>0</v>
      </c>
      <c r="R260" s="681">
        <f t="shared" ref="R260:T263" si="31">SUM(F260,J260,N260)</f>
        <v>0</v>
      </c>
      <c r="S260" s="571">
        <f t="shared" si="31"/>
        <v>0</v>
      </c>
      <c r="T260" s="571">
        <f t="shared" si="31"/>
        <v>0</v>
      </c>
      <c r="U260" s="682">
        <f>SUM(R260:T260)</f>
        <v>0</v>
      </c>
    </row>
    <row r="261" spans="1:21" outlineLevel="1" x14ac:dyDescent="0.25">
      <c r="B261" s="560"/>
      <c r="C261" s="561" t="s">
        <v>383</v>
      </c>
      <c r="D261" s="561">
        <v>4</v>
      </c>
      <c r="E261" s="561" t="s">
        <v>298</v>
      </c>
      <c r="F261" s="681">
        <f>'DUoS (t)'!$S$94</f>
        <v>4.1399999999999999E-2</v>
      </c>
      <c r="G261" s="571">
        <f>'TUoS (t)'!$S$94</f>
        <v>0.10829999999999999</v>
      </c>
      <c r="H261" s="571">
        <f>'JSO (t)'!$S$94</f>
        <v>0</v>
      </c>
      <c r="I261" s="682">
        <f>SUM(F261:H261)</f>
        <v>0.1497</v>
      </c>
      <c r="J261" s="752"/>
      <c r="K261" s="751"/>
      <c r="L261" s="751"/>
      <c r="M261" s="682">
        <f>SUM(J261:L261)</f>
        <v>0</v>
      </c>
      <c r="N261" s="752"/>
      <c r="O261" s="751"/>
      <c r="P261" s="751"/>
      <c r="Q261" s="682">
        <f>SUM(N261:P261)</f>
        <v>0</v>
      </c>
      <c r="R261" s="681">
        <f t="shared" si="31"/>
        <v>4.1399999999999999E-2</v>
      </c>
      <c r="S261" s="571">
        <f t="shared" si="31"/>
        <v>0.10829999999999999</v>
      </c>
      <c r="T261" s="571">
        <f t="shared" si="31"/>
        <v>0</v>
      </c>
      <c r="U261" s="682">
        <f>SUM(R261:T261)</f>
        <v>0.1497</v>
      </c>
    </row>
    <row r="262" spans="1:21" outlineLevel="1" x14ac:dyDescent="0.25">
      <c r="B262" s="560"/>
      <c r="C262" s="561" t="s">
        <v>384</v>
      </c>
      <c r="D262" s="561">
        <v>4</v>
      </c>
      <c r="E262" s="561" t="s">
        <v>298</v>
      </c>
      <c r="F262" s="681">
        <f>'DUoS (t)'!$T$94</f>
        <v>7.3999999999999996E-2</v>
      </c>
      <c r="G262" s="571">
        <f>'TUoS (t)'!$T$94</f>
        <v>0</v>
      </c>
      <c r="H262" s="571">
        <f>'JSO (t)'!$T$94</f>
        <v>0</v>
      </c>
      <c r="I262" s="682">
        <f>SUM(F262:H262)</f>
        <v>7.3999999999999996E-2</v>
      </c>
      <c r="J262" s="752"/>
      <c r="K262" s="751"/>
      <c r="L262" s="751"/>
      <c r="M262" s="682">
        <f>SUM(J262:L262)</f>
        <v>0</v>
      </c>
      <c r="N262" s="752"/>
      <c r="O262" s="751"/>
      <c r="P262" s="751"/>
      <c r="Q262" s="682">
        <f>SUM(N262:P262)</f>
        <v>0</v>
      </c>
      <c r="R262" s="681">
        <f t="shared" si="31"/>
        <v>7.3999999999999996E-2</v>
      </c>
      <c r="S262" s="571">
        <f t="shared" si="31"/>
        <v>0</v>
      </c>
      <c r="T262" s="571">
        <f t="shared" si="31"/>
        <v>0</v>
      </c>
      <c r="U262" s="682">
        <f>SUM(R262:T262)</f>
        <v>7.3999999999999996E-2</v>
      </c>
    </row>
    <row r="263" spans="1:21" outlineLevel="1" x14ac:dyDescent="0.25">
      <c r="B263" s="562"/>
      <c r="C263" s="563" t="s">
        <v>297</v>
      </c>
      <c r="D263" s="563"/>
      <c r="E263" s="563" t="s">
        <v>292</v>
      </c>
      <c r="F263" s="572">
        <f>'DUoS (t)'!$H$94</f>
        <v>4.4000000000000003E-3</v>
      </c>
      <c r="G263" s="573">
        <f>'TUoS (t)'!$H$94</f>
        <v>8.2000000000000007E-3</v>
      </c>
      <c r="H263" s="573">
        <f>'JSO (t)'!$H$94</f>
        <v>8.9999999999999998E-4</v>
      </c>
      <c r="I263" s="574">
        <f>SUM(F263:H263)</f>
        <v>1.35E-2</v>
      </c>
      <c r="J263" s="576"/>
      <c r="K263" s="577"/>
      <c r="L263" s="577"/>
      <c r="M263" s="574">
        <f>SUM(J263:L263)</f>
        <v>0</v>
      </c>
      <c r="N263" s="576"/>
      <c r="O263" s="577"/>
      <c r="P263" s="577"/>
      <c r="Q263" s="574">
        <f>SUM(N263:P263)</f>
        <v>0</v>
      </c>
      <c r="R263" s="572">
        <f t="shared" si="31"/>
        <v>4.4000000000000003E-3</v>
      </c>
      <c r="S263" s="573">
        <f t="shared" si="31"/>
        <v>8.2000000000000007E-3</v>
      </c>
      <c r="T263" s="573">
        <f t="shared" si="31"/>
        <v>8.9999999999999998E-4</v>
      </c>
      <c r="U263" s="574">
        <f>SUM(R263:T263)</f>
        <v>1.35E-2</v>
      </c>
    </row>
    <row r="264" spans="1:21" outlineLevel="1" x14ac:dyDescent="0.25">
      <c r="F264" s="422"/>
      <c r="G264" s="422"/>
      <c r="H264" s="422"/>
      <c r="I264" s="422"/>
    </row>
    <row r="265" spans="1:21" outlineLevel="1" x14ac:dyDescent="0.25">
      <c r="A265" s="575" t="s">
        <v>583</v>
      </c>
      <c r="F265" s="764"/>
      <c r="G265" s="764"/>
      <c r="H265" s="764"/>
      <c r="I265" s="764"/>
      <c r="J265" s="764"/>
      <c r="K265" s="764"/>
      <c r="L265" s="764"/>
      <c r="M265" s="764"/>
      <c r="N265" s="764"/>
      <c r="O265" s="764"/>
      <c r="P265" s="764"/>
      <c r="Q265" s="764"/>
      <c r="R265" s="764"/>
      <c r="S265" s="764"/>
      <c r="T265" s="764"/>
      <c r="U265" s="764"/>
    </row>
    <row r="266" spans="1:21" outlineLevel="1" x14ac:dyDescent="0.25">
      <c r="B266" s="558"/>
      <c r="C266" s="559"/>
      <c r="D266" s="559"/>
      <c r="E266" s="559" t="s">
        <v>319</v>
      </c>
      <c r="F266" s="568"/>
      <c r="G266" s="569"/>
      <c r="H266" s="569"/>
      <c r="I266" s="570"/>
      <c r="J266" s="568"/>
      <c r="K266" s="569"/>
      <c r="L266" s="569"/>
      <c r="M266" s="570"/>
      <c r="N266" s="568"/>
      <c r="O266" s="569"/>
      <c r="P266" s="569"/>
      <c r="Q266" s="570"/>
      <c r="R266" s="568"/>
      <c r="S266" s="569"/>
      <c r="T266" s="569"/>
      <c r="U266" s="570"/>
    </row>
    <row r="267" spans="1:21" outlineLevel="1" x14ac:dyDescent="0.25">
      <c r="B267" s="560"/>
      <c r="C267" s="561" t="s">
        <v>382</v>
      </c>
      <c r="D267" s="561"/>
      <c r="E267" s="561" t="s">
        <v>291</v>
      </c>
      <c r="F267" s="681">
        <f>'DUoS (t)'!$G$94*1</f>
        <v>0</v>
      </c>
      <c r="G267" s="571">
        <f>'TUoS (t)'!$G$94*1</f>
        <v>0</v>
      </c>
      <c r="H267" s="571">
        <f>'JSO (t)'!$G$94*1</f>
        <v>0</v>
      </c>
      <c r="I267" s="682">
        <f>SUM(F267:H267)</f>
        <v>0</v>
      </c>
      <c r="J267" s="752"/>
      <c r="K267" s="751"/>
      <c r="L267" s="751"/>
      <c r="M267" s="682">
        <f>SUM(J267:L267)</f>
        <v>0</v>
      </c>
      <c r="N267" s="752"/>
      <c r="O267" s="751"/>
      <c r="P267" s="751"/>
      <c r="Q267" s="682">
        <f>SUM(N267:P267)</f>
        <v>0</v>
      </c>
      <c r="R267" s="681">
        <f t="shared" ref="R267:T270" si="32">SUM(F267,J267,N267)</f>
        <v>0</v>
      </c>
      <c r="S267" s="571">
        <f t="shared" si="32"/>
        <v>0</v>
      </c>
      <c r="T267" s="571">
        <f t="shared" si="32"/>
        <v>0</v>
      </c>
      <c r="U267" s="682">
        <f>SUM(R267:T267)</f>
        <v>0</v>
      </c>
    </row>
    <row r="268" spans="1:21" outlineLevel="1" x14ac:dyDescent="0.25">
      <c r="B268" s="560"/>
      <c r="C268" s="561" t="s">
        <v>383</v>
      </c>
      <c r="D268" s="561">
        <v>4</v>
      </c>
      <c r="E268" s="561" t="s">
        <v>298</v>
      </c>
      <c r="F268" s="681">
        <f>'DUoS (t)'!$S$94</f>
        <v>4.1399999999999999E-2</v>
      </c>
      <c r="G268" s="571">
        <f>'TUoS (t)'!$S$94</f>
        <v>0.10829999999999999</v>
      </c>
      <c r="H268" s="571">
        <f>'JSO (t)'!$S$94</f>
        <v>0</v>
      </c>
      <c r="I268" s="682">
        <f>SUM(F268:H268)</f>
        <v>0.1497</v>
      </c>
      <c r="J268" s="752"/>
      <c r="K268" s="751"/>
      <c r="L268" s="751"/>
      <c r="M268" s="682">
        <f>SUM(J268:L268)</f>
        <v>0</v>
      </c>
      <c r="N268" s="752"/>
      <c r="O268" s="751"/>
      <c r="P268" s="751"/>
      <c r="Q268" s="682">
        <f>SUM(N268:P268)</f>
        <v>0</v>
      </c>
      <c r="R268" s="681">
        <f t="shared" si="32"/>
        <v>4.1399999999999999E-2</v>
      </c>
      <c r="S268" s="571">
        <f t="shared" si="32"/>
        <v>0.10829999999999999</v>
      </c>
      <c r="T268" s="571">
        <f t="shared" si="32"/>
        <v>0</v>
      </c>
      <c r="U268" s="682">
        <f>SUM(R268:T268)</f>
        <v>0.1497</v>
      </c>
    </row>
    <row r="269" spans="1:21" outlineLevel="1" x14ac:dyDescent="0.25">
      <c r="B269" s="560"/>
      <c r="C269" s="561" t="s">
        <v>384</v>
      </c>
      <c r="D269" s="561">
        <v>4</v>
      </c>
      <c r="E269" s="561" t="s">
        <v>298</v>
      </c>
      <c r="F269" s="681">
        <f>'DUoS (t)'!$T$94</f>
        <v>7.3999999999999996E-2</v>
      </c>
      <c r="G269" s="571">
        <f>'TUoS (t)'!$T$94</f>
        <v>0</v>
      </c>
      <c r="H269" s="571">
        <f>'JSO (t)'!$T$94</f>
        <v>0</v>
      </c>
      <c r="I269" s="682">
        <f>SUM(F269:H269)</f>
        <v>7.3999999999999996E-2</v>
      </c>
      <c r="J269" s="752"/>
      <c r="K269" s="751"/>
      <c r="L269" s="751"/>
      <c r="M269" s="682">
        <f>SUM(J269:L269)</f>
        <v>0</v>
      </c>
      <c r="N269" s="752"/>
      <c r="O269" s="751"/>
      <c r="P269" s="751"/>
      <c r="Q269" s="682">
        <f>SUM(N269:P269)</f>
        <v>0</v>
      </c>
      <c r="R269" s="681">
        <f t="shared" si="32"/>
        <v>7.3999999999999996E-2</v>
      </c>
      <c r="S269" s="571">
        <f t="shared" si="32"/>
        <v>0</v>
      </c>
      <c r="T269" s="571">
        <f t="shared" si="32"/>
        <v>0</v>
      </c>
      <c r="U269" s="682">
        <f>SUM(R269:T269)</f>
        <v>7.3999999999999996E-2</v>
      </c>
    </row>
    <row r="270" spans="1:21" outlineLevel="1" x14ac:dyDescent="0.25">
      <c r="B270" s="562"/>
      <c r="C270" s="563" t="s">
        <v>297</v>
      </c>
      <c r="D270" s="563"/>
      <c r="E270" s="563" t="s">
        <v>292</v>
      </c>
      <c r="F270" s="572">
        <f>'DUoS (t)'!$H$94</f>
        <v>4.4000000000000003E-3</v>
      </c>
      <c r="G270" s="573">
        <f>'TUoS (t)'!$H$94</f>
        <v>8.2000000000000007E-3</v>
      </c>
      <c r="H270" s="573">
        <f>'JSO (t)'!$H$94</f>
        <v>8.9999999999999998E-4</v>
      </c>
      <c r="I270" s="574">
        <f>SUM(F270:H270)</f>
        <v>1.35E-2</v>
      </c>
      <c r="J270" s="576"/>
      <c r="K270" s="577"/>
      <c r="L270" s="577"/>
      <c r="M270" s="574">
        <f>SUM(J270:L270)</f>
        <v>0</v>
      </c>
      <c r="N270" s="576"/>
      <c r="O270" s="577"/>
      <c r="P270" s="577"/>
      <c r="Q270" s="574">
        <f>SUM(N270:P270)</f>
        <v>0</v>
      </c>
      <c r="R270" s="572">
        <f t="shared" si="32"/>
        <v>4.4000000000000003E-3</v>
      </c>
      <c r="S270" s="573">
        <f t="shared" si="32"/>
        <v>8.2000000000000007E-3</v>
      </c>
      <c r="T270" s="573">
        <f t="shared" si="32"/>
        <v>8.9999999999999998E-4</v>
      </c>
      <c r="U270" s="574">
        <f>SUM(R270:T270)</f>
        <v>1.35E-2</v>
      </c>
    </row>
    <row r="271" spans="1:21" outlineLevel="1" x14ac:dyDescent="0.25">
      <c r="F271" s="422"/>
      <c r="G271" s="422"/>
      <c r="H271" s="422"/>
      <c r="I271" s="422"/>
    </row>
    <row r="272" spans="1:21" outlineLevel="1" x14ac:dyDescent="0.25">
      <c r="A272" s="575" t="s">
        <v>578</v>
      </c>
      <c r="F272" s="764"/>
      <c r="G272" s="764"/>
      <c r="H272" s="764"/>
      <c r="I272" s="764"/>
      <c r="J272" s="764"/>
      <c r="K272" s="764"/>
      <c r="L272" s="764"/>
      <c r="M272" s="764"/>
      <c r="N272" s="764"/>
      <c r="O272" s="764"/>
      <c r="P272" s="764"/>
      <c r="Q272" s="764"/>
      <c r="R272" s="764"/>
      <c r="S272" s="764"/>
      <c r="T272" s="764"/>
      <c r="U272" s="764"/>
    </row>
    <row r="273" spans="1:21" outlineLevel="1" x14ac:dyDescent="0.25">
      <c r="B273" s="558"/>
      <c r="C273" s="559"/>
      <c r="D273" s="559"/>
      <c r="E273" s="559" t="s">
        <v>319</v>
      </c>
      <c r="F273" s="568"/>
      <c r="G273" s="569"/>
      <c r="H273" s="569"/>
      <c r="I273" s="570"/>
      <c r="J273" s="568"/>
      <c r="K273" s="569"/>
      <c r="L273" s="569"/>
      <c r="M273" s="570"/>
      <c r="N273" s="568"/>
      <c r="O273" s="569"/>
      <c r="P273" s="569"/>
      <c r="Q273" s="570"/>
      <c r="R273" s="568"/>
      <c r="S273" s="569"/>
      <c r="T273" s="569"/>
      <c r="U273" s="570"/>
    </row>
    <row r="274" spans="1:21" outlineLevel="1" x14ac:dyDescent="0.25">
      <c r="B274" s="560"/>
      <c r="C274" s="561" t="s">
        <v>382</v>
      </c>
      <c r="D274" s="561"/>
      <c r="E274" s="561" t="s">
        <v>291</v>
      </c>
      <c r="F274" s="681">
        <f>'DUoS (t)'!$G$94*1</f>
        <v>0</v>
      </c>
      <c r="G274" s="571">
        <f>'TUoS (t)'!$G$94*1</f>
        <v>0</v>
      </c>
      <c r="H274" s="571">
        <f>'JSO (t)'!$G$94*1</f>
        <v>0</v>
      </c>
      <c r="I274" s="682">
        <f>SUM(F274:H274)</f>
        <v>0</v>
      </c>
      <c r="J274" s="752"/>
      <c r="K274" s="751">
        <f>-G274</f>
        <v>0</v>
      </c>
      <c r="L274" s="751"/>
      <c r="M274" s="682">
        <f>SUM(J274:L274)</f>
        <v>0</v>
      </c>
      <c r="N274" s="752"/>
      <c r="O274" s="751">
        <v>308.88</v>
      </c>
      <c r="P274" s="751"/>
      <c r="Q274" s="682">
        <f>SUM(N274:P274)</f>
        <v>308.88</v>
      </c>
      <c r="R274" s="681">
        <f t="shared" ref="R274:T277" si="33">SUM(F274,J274,N274)</f>
        <v>0</v>
      </c>
      <c r="S274" s="571">
        <f t="shared" si="33"/>
        <v>308.88</v>
      </c>
      <c r="T274" s="571">
        <f t="shared" si="33"/>
        <v>0</v>
      </c>
      <c r="U274" s="682">
        <f>SUM(R274:T274)</f>
        <v>308.88</v>
      </c>
    </row>
    <row r="275" spans="1:21" outlineLevel="1" x14ac:dyDescent="0.25">
      <c r="B275" s="560"/>
      <c r="C275" s="561" t="s">
        <v>383</v>
      </c>
      <c r="D275" s="561">
        <v>4</v>
      </c>
      <c r="E275" s="561" t="s">
        <v>298</v>
      </c>
      <c r="F275" s="681">
        <f>'DUoS (t)'!$S$94</f>
        <v>4.1399999999999999E-2</v>
      </c>
      <c r="G275" s="571">
        <f>'TUoS (t)'!$S$94</f>
        <v>0.10829999999999999</v>
      </c>
      <c r="H275" s="571">
        <f>'JSO (t)'!$S$94</f>
        <v>0</v>
      </c>
      <c r="I275" s="682">
        <f>SUM(F275:H275)</f>
        <v>0.1497</v>
      </c>
      <c r="J275" s="752"/>
      <c r="K275" s="751">
        <f>-G275</f>
        <v>-0.10829999999999999</v>
      </c>
      <c r="L275" s="751"/>
      <c r="M275" s="682">
        <f>SUM(J275:L275)</f>
        <v>-0.10829999999999999</v>
      </c>
      <c r="N275" s="752"/>
      <c r="O275" s="751"/>
      <c r="P275" s="751"/>
      <c r="Q275" s="682">
        <f>SUM(N275:P275)</f>
        <v>0</v>
      </c>
      <c r="R275" s="681">
        <f t="shared" si="33"/>
        <v>4.1399999999999999E-2</v>
      </c>
      <c r="S275" s="571">
        <f t="shared" si="33"/>
        <v>0</v>
      </c>
      <c r="T275" s="571">
        <f t="shared" si="33"/>
        <v>0</v>
      </c>
      <c r="U275" s="682">
        <f>SUM(R275:T275)</f>
        <v>4.1399999999999999E-2</v>
      </c>
    </row>
    <row r="276" spans="1:21" outlineLevel="1" x14ac:dyDescent="0.25">
      <c r="B276" s="560"/>
      <c r="C276" s="561" t="s">
        <v>384</v>
      </c>
      <c r="D276" s="561">
        <v>4</v>
      </c>
      <c r="E276" s="561" t="s">
        <v>298</v>
      </c>
      <c r="F276" s="681">
        <f>'DUoS (t)'!$T$94</f>
        <v>7.3999999999999996E-2</v>
      </c>
      <c r="G276" s="571">
        <f>'TUoS (t)'!$T$94</f>
        <v>0</v>
      </c>
      <c r="H276" s="571">
        <f>'JSO (t)'!$T$94</f>
        <v>0</v>
      </c>
      <c r="I276" s="682">
        <f>SUM(F276:H276)</f>
        <v>7.3999999999999996E-2</v>
      </c>
      <c r="J276" s="752"/>
      <c r="K276" s="751">
        <f>-G276</f>
        <v>0</v>
      </c>
      <c r="L276" s="751"/>
      <c r="M276" s="682">
        <f>SUM(J276:L276)</f>
        <v>0</v>
      </c>
      <c r="N276" s="752"/>
      <c r="O276" s="751"/>
      <c r="P276" s="751"/>
      <c r="Q276" s="682">
        <f>SUM(N276:P276)</f>
        <v>0</v>
      </c>
      <c r="R276" s="681">
        <f t="shared" si="33"/>
        <v>7.3999999999999996E-2</v>
      </c>
      <c r="S276" s="571">
        <f t="shared" si="33"/>
        <v>0</v>
      </c>
      <c r="T276" s="571">
        <f t="shared" si="33"/>
        <v>0</v>
      </c>
      <c r="U276" s="682">
        <f>SUM(R276:T276)</f>
        <v>7.3999999999999996E-2</v>
      </c>
    </row>
    <row r="277" spans="1:21" outlineLevel="1" x14ac:dyDescent="0.25">
      <c r="B277" s="562"/>
      <c r="C277" s="563" t="s">
        <v>297</v>
      </c>
      <c r="D277" s="563"/>
      <c r="E277" s="563" t="s">
        <v>292</v>
      </c>
      <c r="F277" s="572">
        <f>'DUoS (t)'!$H$94</f>
        <v>4.4000000000000003E-3</v>
      </c>
      <c r="G277" s="573">
        <f>'TUoS (t)'!$H$94</f>
        <v>8.2000000000000007E-3</v>
      </c>
      <c r="H277" s="573">
        <f>'JSO (t)'!$H$94</f>
        <v>8.9999999999999998E-4</v>
      </c>
      <c r="I277" s="574">
        <f>SUM(F277:H277)</f>
        <v>1.35E-2</v>
      </c>
      <c r="J277" s="576"/>
      <c r="K277" s="577">
        <f>-G277</f>
        <v>-8.2000000000000007E-3</v>
      </c>
      <c r="L277" s="577"/>
      <c r="M277" s="574">
        <f>SUM(J277:L277)</f>
        <v>-8.2000000000000007E-3</v>
      </c>
      <c r="N277" s="576"/>
      <c r="O277" s="577"/>
      <c r="P277" s="577"/>
      <c r="Q277" s="574">
        <f>SUM(N277:P277)</f>
        <v>0</v>
      </c>
      <c r="R277" s="572">
        <f t="shared" si="33"/>
        <v>4.4000000000000003E-3</v>
      </c>
      <c r="S277" s="573">
        <f t="shared" si="33"/>
        <v>0</v>
      </c>
      <c r="T277" s="573">
        <f t="shared" si="33"/>
        <v>8.9999999999999998E-4</v>
      </c>
      <c r="U277" s="574">
        <f>SUM(R277:T277)</f>
        <v>5.3E-3</v>
      </c>
    </row>
    <row r="278" spans="1:21" outlineLevel="1" x14ac:dyDescent="0.25">
      <c r="F278" s="422"/>
      <c r="G278" s="422"/>
      <c r="H278" s="422"/>
      <c r="I278" s="422"/>
    </row>
    <row r="279" spans="1:21" outlineLevel="1" x14ac:dyDescent="0.25">
      <c r="A279" s="575" t="s">
        <v>130</v>
      </c>
      <c r="F279" s="764"/>
      <c r="G279" s="764"/>
      <c r="H279" s="764"/>
      <c r="I279" s="764"/>
      <c r="J279" s="764"/>
      <c r="K279" s="764"/>
      <c r="L279" s="764"/>
      <c r="M279" s="764"/>
      <c r="N279" s="764"/>
      <c r="O279" s="764"/>
      <c r="P279" s="764"/>
      <c r="Q279" s="764"/>
      <c r="R279" s="764"/>
      <c r="S279" s="764"/>
      <c r="T279" s="764"/>
      <c r="U279" s="764"/>
    </row>
    <row r="280" spans="1:21" outlineLevel="1" x14ac:dyDescent="0.25">
      <c r="B280" s="558"/>
      <c r="C280" s="559"/>
      <c r="D280" s="559"/>
      <c r="E280" s="559" t="s">
        <v>319</v>
      </c>
      <c r="F280" s="568"/>
      <c r="G280" s="569"/>
      <c r="H280" s="569"/>
      <c r="I280" s="570"/>
      <c r="J280" s="568"/>
      <c r="K280" s="569"/>
      <c r="L280" s="569"/>
      <c r="M280" s="570"/>
      <c r="N280" s="568"/>
      <c r="O280" s="569"/>
      <c r="P280" s="569"/>
      <c r="Q280" s="570"/>
      <c r="R280" s="568"/>
      <c r="S280" s="569"/>
      <c r="T280" s="569"/>
      <c r="U280" s="570"/>
    </row>
    <row r="281" spans="1:21" outlineLevel="1" x14ac:dyDescent="0.25">
      <c r="B281" s="560"/>
      <c r="C281" s="561" t="s">
        <v>382</v>
      </c>
      <c r="D281" s="561"/>
      <c r="E281" s="561" t="s">
        <v>291</v>
      </c>
      <c r="F281" s="681">
        <f>'DUoS (t)'!$G$94*1</f>
        <v>0</v>
      </c>
      <c r="G281" s="571">
        <f>'TUoS (t)'!$G$94*1</f>
        <v>0</v>
      </c>
      <c r="H281" s="571">
        <f>'JSO (t)'!$G$94*1</f>
        <v>0</v>
      </c>
      <c r="I281" s="682">
        <f>SUM(F281:H281)</f>
        <v>0</v>
      </c>
      <c r="J281" s="752"/>
      <c r="K281" s="751">
        <f>-G281</f>
        <v>0</v>
      </c>
      <c r="L281" s="751"/>
      <c r="M281" s="682">
        <f>SUM(J281:L281)</f>
        <v>0</v>
      </c>
      <c r="N281" s="752"/>
      <c r="O281" s="751">
        <v>2406.08</v>
      </c>
      <c r="P281" s="751"/>
      <c r="Q281" s="682">
        <f>SUM(N281:P281)</f>
        <v>2406.08</v>
      </c>
      <c r="R281" s="681">
        <f t="shared" ref="R281:T284" si="34">SUM(F281,J281,N281)</f>
        <v>0</v>
      </c>
      <c r="S281" s="571">
        <f t="shared" si="34"/>
        <v>2406.08</v>
      </c>
      <c r="T281" s="571">
        <f t="shared" si="34"/>
        <v>0</v>
      </c>
      <c r="U281" s="682">
        <f>SUM(R281:T281)</f>
        <v>2406.08</v>
      </c>
    </row>
    <row r="282" spans="1:21" outlineLevel="1" x14ac:dyDescent="0.25">
      <c r="B282" s="560"/>
      <c r="C282" s="561" t="s">
        <v>383</v>
      </c>
      <c r="D282" s="561">
        <v>4</v>
      </c>
      <c r="E282" s="561" t="s">
        <v>298</v>
      </c>
      <c r="F282" s="681">
        <f>'DUoS (t)'!$S$94</f>
        <v>4.1399999999999999E-2</v>
      </c>
      <c r="G282" s="571">
        <f>'TUoS (t)'!$S$94</f>
        <v>0.10829999999999999</v>
      </c>
      <c r="H282" s="571">
        <f>'JSO (t)'!$S$94</f>
        <v>0</v>
      </c>
      <c r="I282" s="682">
        <f>SUM(F282:H282)</f>
        <v>0.1497</v>
      </c>
      <c r="J282" s="752"/>
      <c r="K282" s="751">
        <f>-G282</f>
        <v>-0.10829999999999999</v>
      </c>
      <c r="L282" s="751"/>
      <c r="M282" s="682">
        <f>SUM(J282:L282)</f>
        <v>-0.10829999999999999</v>
      </c>
      <c r="N282" s="752"/>
      <c r="O282" s="751"/>
      <c r="P282" s="751"/>
      <c r="Q282" s="682">
        <f>SUM(N282:P282)</f>
        <v>0</v>
      </c>
      <c r="R282" s="681">
        <f t="shared" si="34"/>
        <v>4.1399999999999999E-2</v>
      </c>
      <c r="S282" s="571">
        <f t="shared" si="34"/>
        <v>0</v>
      </c>
      <c r="T282" s="571">
        <f t="shared" si="34"/>
        <v>0</v>
      </c>
      <c r="U282" s="682">
        <f>SUM(R282:T282)</f>
        <v>4.1399999999999999E-2</v>
      </c>
    </row>
    <row r="283" spans="1:21" outlineLevel="1" x14ac:dyDescent="0.25">
      <c r="B283" s="560"/>
      <c r="C283" s="561" t="s">
        <v>384</v>
      </c>
      <c r="D283" s="561">
        <v>4</v>
      </c>
      <c r="E283" s="561" t="s">
        <v>298</v>
      </c>
      <c r="F283" s="681">
        <f>'DUoS (t)'!$T$94</f>
        <v>7.3999999999999996E-2</v>
      </c>
      <c r="G283" s="571">
        <f>'TUoS (t)'!$T$94</f>
        <v>0</v>
      </c>
      <c r="H283" s="571">
        <f>'JSO (t)'!$T$94</f>
        <v>0</v>
      </c>
      <c r="I283" s="682">
        <f>SUM(F283:H283)</f>
        <v>7.3999999999999996E-2</v>
      </c>
      <c r="J283" s="752"/>
      <c r="K283" s="751">
        <f>-G283</f>
        <v>0</v>
      </c>
      <c r="L283" s="751"/>
      <c r="M283" s="682">
        <f>SUM(J283:L283)</f>
        <v>0</v>
      </c>
      <c r="N283" s="752"/>
      <c r="O283" s="751"/>
      <c r="P283" s="751"/>
      <c r="Q283" s="682">
        <f>SUM(N283:P283)</f>
        <v>0</v>
      </c>
      <c r="R283" s="681">
        <f t="shared" si="34"/>
        <v>7.3999999999999996E-2</v>
      </c>
      <c r="S283" s="571">
        <f t="shared" si="34"/>
        <v>0</v>
      </c>
      <c r="T283" s="571">
        <f t="shared" si="34"/>
        <v>0</v>
      </c>
      <c r="U283" s="682">
        <f>SUM(R283:T283)</f>
        <v>7.3999999999999996E-2</v>
      </c>
    </row>
    <row r="284" spans="1:21" outlineLevel="1" x14ac:dyDescent="0.25">
      <c r="B284" s="562"/>
      <c r="C284" s="563" t="s">
        <v>297</v>
      </c>
      <c r="D284" s="563"/>
      <c r="E284" s="563" t="s">
        <v>292</v>
      </c>
      <c r="F284" s="572">
        <f>'DUoS (t)'!$H$94</f>
        <v>4.4000000000000003E-3</v>
      </c>
      <c r="G284" s="573">
        <f>'TUoS (t)'!$H$94</f>
        <v>8.2000000000000007E-3</v>
      </c>
      <c r="H284" s="573">
        <f>'JSO (t)'!$H$94</f>
        <v>8.9999999999999998E-4</v>
      </c>
      <c r="I284" s="574">
        <f>SUM(F284:H284)</f>
        <v>1.35E-2</v>
      </c>
      <c r="J284" s="576"/>
      <c r="K284" s="577">
        <f>-G284</f>
        <v>-8.2000000000000007E-3</v>
      </c>
      <c r="L284" s="577"/>
      <c r="M284" s="574">
        <f>SUM(J284:L284)</f>
        <v>-8.2000000000000007E-3</v>
      </c>
      <c r="N284" s="576"/>
      <c r="O284" s="577"/>
      <c r="P284" s="577"/>
      <c r="Q284" s="574">
        <f>SUM(N284:P284)</f>
        <v>0</v>
      </c>
      <c r="R284" s="572">
        <f t="shared" si="34"/>
        <v>4.4000000000000003E-3</v>
      </c>
      <c r="S284" s="573">
        <f t="shared" si="34"/>
        <v>0</v>
      </c>
      <c r="T284" s="573">
        <f t="shared" si="34"/>
        <v>8.9999999999999998E-4</v>
      </c>
      <c r="U284" s="574">
        <f>SUM(R284:T284)</f>
        <v>5.3E-3</v>
      </c>
    </row>
    <row r="285" spans="1:21" outlineLevel="1" x14ac:dyDescent="0.25">
      <c r="F285" s="422"/>
      <c r="G285" s="422"/>
      <c r="H285" s="422"/>
      <c r="I285" s="422"/>
    </row>
    <row r="286" spans="1:21" outlineLevel="1" x14ac:dyDescent="0.25">
      <c r="A286" s="575" t="s">
        <v>131</v>
      </c>
      <c r="F286" s="764"/>
      <c r="G286" s="764"/>
      <c r="H286" s="764"/>
      <c r="I286" s="764"/>
      <c r="J286" s="764"/>
      <c r="K286" s="764"/>
      <c r="L286" s="764"/>
      <c r="M286" s="764"/>
      <c r="N286" s="764"/>
      <c r="O286" s="764"/>
      <c r="P286" s="764"/>
      <c r="Q286" s="764"/>
      <c r="R286" s="764"/>
      <c r="S286" s="764"/>
      <c r="T286" s="764"/>
      <c r="U286" s="764"/>
    </row>
    <row r="287" spans="1:21" outlineLevel="1" x14ac:dyDescent="0.25">
      <c r="B287" s="558"/>
      <c r="C287" s="559"/>
      <c r="D287" s="559"/>
      <c r="E287" s="559" t="s">
        <v>319</v>
      </c>
      <c r="F287" s="568"/>
      <c r="G287" s="569"/>
      <c r="H287" s="569"/>
      <c r="I287" s="570"/>
      <c r="J287" s="568"/>
      <c r="K287" s="569"/>
      <c r="L287" s="569"/>
      <c r="M287" s="570"/>
      <c r="N287" s="568"/>
      <c r="O287" s="569"/>
      <c r="P287" s="569"/>
      <c r="Q287" s="570"/>
      <c r="R287" s="568"/>
      <c r="S287" s="569"/>
      <c r="T287" s="569"/>
      <c r="U287" s="570"/>
    </row>
    <row r="288" spans="1:21" outlineLevel="1" x14ac:dyDescent="0.25">
      <c r="B288" s="560"/>
      <c r="C288" s="561" t="s">
        <v>382</v>
      </c>
      <c r="D288" s="561"/>
      <c r="E288" s="561" t="s">
        <v>291</v>
      </c>
      <c r="F288" s="681">
        <f>'DUoS (t)'!$G$94*1</f>
        <v>0</v>
      </c>
      <c r="G288" s="571">
        <f>'TUoS (t)'!$G$94*1</f>
        <v>0</v>
      </c>
      <c r="H288" s="571">
        <f>'JSO (t)'!$G$94*1</f>
        <v>0</v>
      </c>
      <c r="I288" s="682">
        <f>SUM(F288:H288)</f>
        <v>0</v>
      </c>
      <c r="J288" s="752"/>
      <c r="K288" s="751">
        <f>-G288</f>
        <v>0</v>
      </c>
      <c r="L288" s="751"/>
      <c r="M288" s="682">
        <f>SUM(J288:L288)</f>
        <v>0</v>
      </c>
      <c r="N288" s="752">
        <v>84.04</v>
      </c>
      <c r="O288" s="751">
        <v>34.6</v>
      </c>
      <c r="P288" s="751"/>
      <c r="Q288" s="682">
        <f>SUM(N288:P288)</f>
        <v>118.64000000000001</v>
      </c>
      <c r="R288" s="681">
        <f t="shared" ref="R288:T291" si="35">SUM(F288,J288,N288)</f>
        <v>84.04</v>
      </c>
      <c r="S288" s="571">
        <f t="shared" si="35"/>
        <v>34.6</v>
      </c>
      <c r="T288" s="571">
        <f t="shared" si="35"/>
        <v>0</v>
      </c>
      <c r="U288" s="682">
        <f>SUM(R288:T288)</f>
        <v>118.64000000000001</v>
      </c>
    </row>
    <row r="289" spans="1:21" outlineLevel="1" x14ac:dyDescent="0.25">
      <c r="B289" s="560"/>
      <c r="C289" s="561" t="s">
        <v>383</v>
      </c>
      <c r="D289" s="561">
        <v>4</v>
      </c>
      <c r="E289" s="561" t="s">
        <v>298</v>
      </c>
      <c r="F289" s="681">
        <f>'DUoS (t)'!$S$94</f>
        <v>4.1399999999999999E-2</v>
      </c>
      <c r="G289" s="571">
        <f>'TUoS (t)'!$S$94</f>
        <v>0.10829999999999999</v>
      </c>
      <c r="H289" s="571">
        <f>'JSO (t)'!$S$94</f>
        <v>0</v>
      </c>
      <c r="I289" s="682">
        <f>SUM(F289:H289)</f>
        <v>0.1497</v>
      </c>
      <c r="J289" s="752"/>
      <c r="K289" s="751">
        <f>-G289</f>
        <v>-0.10829999999999999</v>
      </c>
      <c r="L289" s="751"/>
      <c r="M289" s="682">
        <f>SUM(J289:L289)</f>
        <v>-0.10829999999999999</v>
      </c>
      <c r="N289" s="752"/>
      <c r="O289" s="751">
        <v>0.17849999999999999</v>
      </c>
      <c r="P289" s="751"/>
      <c r="Q289" s="682">
        <f>SUM(N289:P289)</f>
        <v>0.17849999999999999</v>
      </c>
      <c r="R289" s="681">
        <f t="shared" si="35"/>
        <v>4.1399999999999999E-2</v>
      </c>
      <c r="S289" s="571">
        <f t="shared" si="35"/>
        <v>0.17849999999999999</v>
      </c>
      <c r="T289" s="571">
        <f t="shared" si="35"/>
        <v>0</v>
      </c>
      <c r="U289" s="682">
        <f>SUM(R289:T289)</f>
        <v>0.21989999999999998</v>
      </c>
    </row>
    <row r="290" spans="1:21" outlineLevel="1" x14ac:dyDescent="0.25">
      <c r="B290" s="560"/>
      <c r="C290" s="561" t="s">
        <v>384</v>
      </c>
      <c r="D290" s="561">
        <v>4</v>
      </c>
      <c r="E290" s="561" t="s">
        <v>298</v>
      </c>
      <c r="F290" s="681">
        <f>'DUoS (t)'!$T$94</f>
        <v>7.3999999999999996E-2</v>
      </c>
      <c r="G290" s="571">
        <f>'TUoS (t)'!$T$94</f>
        <v>0</v>
      </c>
      <c r="H290" s="571">
        <f>'JSO (t)'!$T$94</f>
        <v>0</v>
      </c>
      <c r="I290" s="682">
        <f>SUM(F290:H290)</f>
        <v>7.3999999999999996E-2</v>
      </c>
      <c r="J290" s="752"/>
      <c r="K290" s="751">
        <f>-G290</f>
        <v>0</v>
      </c>
      <c r="L290" s="751"/>
      <c r="M290" s="682">
        <f>SUM(J290:L290)</f>
        <v>0</v>
      </c>
      <c r="N290" s="752"/>
      <c r="O290" s="751"/>
      <c r="P290" s="751"/>
      <c r="Q290" s="682">
        <f>SUM(N290:P290)</f>
        <v>0</v>
      </c>
      <c r="R290" s="681">
        <f t="shared" si="35"/>
        <v>7.3999999999999996E-2</v>
      </c>
      <c r="S290" s="571">
        <f t="shared" si="35"/>
        <v>0</v>
      </c>
      <c r="T290" s="571">
        <f t="shared" si="35"/>
        <v>0</v>
      </c>
      <c r="U290" s="682">
        <f>SUM(R290:T290)</f>
        <v>7.3999999999999996E-2</v>
      </c>
    </row>
    <row r="291" spans="1:21" outlineLevel="1" x14ac:dyDescent="0.25">
      <c r="B291" s="562"/>
      <c r="C291" s="563" t="s">
        <v>297</v>
      </c>
      <c r="D291" s="563"/>
      <c r="E291" s="563" t="s">
        <v>292</v>
      </c>
      <c r="F291" s="572">
        <f>'DUoS (t)'!$H$94</f>
        <v>4.4000000000000003E-3</v>
      </c>
      <c r="G291" s="573">
        <f>'TUoS (t)'!$H$94</f>
        <v>8.2000000000000007E-3</v>
      </c>
      <c r="H291" s="573">
        <f>'JSO (t)'!$H$94</f>
        <v>8.9999999999999998E-4</v>
      </c>
      <c r="I291" s="574">
        <f>SUM(F291:H291)</f>
        <v>1.35E-2</v>
      </c>
      <c r="J291" s="576"/>
      <c r="K291" s="577">
        <f>-G291</f>
        <v>-8.2000000000000007E-3</v>
      </c>
      <c r="L291" s="577"/>
      <c r="M291" s="574">
        <f>SUM(J291:L291)</f>
        <v>-8.2000000000000007E-3</v>
      </c>
      <c r="N291" s="576"/>
      <c r="O291" s="577"/>
      <c r="P291" s="577"/>
      <c r="Q291" s="574">
        <f>SUM(N291:P291)</f>
        <v>0</v>
      </c>
      <c r="R291" s="572">
        <f t="shared" si="35"/>
        <v>4.4000000000000003E-3</v>
      </c>
      <c r="S291" s="573">
        <f t="shared" si="35"/>
        <v>0</v>
      </c>
      <c r="T291" s="573">
        <f t="shared" si="35"/>
        <v>8.9999999999999998E-4</v>
      </c>
      <c r="U291" s="574">
        <f>SUM(R291:T291)</f>
        <v>5.3E-3</v>
      </c>
    </row>
    <row r="292" spans="1:21" outlineLevel="1" x14ac:dyDescent="0.25">
      <c r="B292" s="578"/>
      <c r="C292" s="578"/>
      <c r="D292" s="578"/>
      <c r="E292" s="578"/>
      <c r="F292" s="571"/>
      <c r="G292" s="571"/>
      <c r="H292" s="571"/>
      <c r="I292" s="571"/>
      <c r="J292" s="571"/>
      <c r="K292" s="571"/>
      <c r="L292" s="571"/>
      <c r="M292" s="571"/>
      <c r="N292" s="571"/>
      <c r="O292" s="571"/>
      <c r="P292" s="571"/>
      <c r="Q292" s="571"/>
      <c r="R292" s="571"/>
      <c r="S292" s="571"/>
      <c r="T292" s="571"/>
      <c r="U292" s="571"/>
    </row>
    <row r="293" spans="1:21" outlineLevel="1" x14ac:dyDescent="0.25">
      <c r="A293" s="575" t="s">
        <v>579</v>
      </c>
      <c r="F293" s="764"/>
      <c r="G293" s="764"/>
      <c r="H293" s="764"/>
      <c r="I293" s="764"/>
      <c r="J293" s="764"/>
      <c r="K293" s="764"/>
      <c r="L293" s="764"/>
      <c r="M293" s="764"/>
      <c r="N293" s="764"/>
      <c r="O293" s="764"/>
      <c r="P293" s="764"/>
      <c r="Q293" s="764"/>
      <c r="R293" s="764"/>
      <c r="S293" s="764"/>
      <c r="T293" s="764"/>
      <c r="U293" s="764"/>
    </row>
    <row r="294" spans="1:21" outlineLevel="1" x14ac:dyDescent="0.25">
      <c r="B294" s="558"/>
      <c r="C294" s="559"/>
      <c r="D294" s="559"/>
      <c r="E294" s="559" t="s">
        <v>319</v>
      </c>
      <c r="F294" s="568"/>
      <c r="G294" s="569"/>
      <c r="H294" s="569"/>
      <c r="I294" s="570"/>
      <c r="J294" s="568"/>
      <c r="K294" s="569"/>
      <c r="L294" s="569"/>
      <c r="M294" s="570"/>
      <c r="N294" s="568"/>
      <c r="O294" s="569"/>
      <c r="P294" s="569"/>
      <c r="Q294" s="570"/>
      <c r="R294" s="568"/>
      <c r="S294" s="569"/>
      <c r="T294" s="569"/>
      <c r="U294" s="570"/>
    </row>
    <row r="295" spans="1:21" outlineLevel="1" x14ac:dyDescent="0.25">
      <c r="B295" s="560"/>
      <c r="C295" s="561" t="s">
        <v>382</v>
      </c>
      <c r="D295" s="561"/>
      <c r="E295" s="561" t="s">
        <v>291</v>
      </c>
      <c r="F295" s="681">
        <f>'DUoS (t)'!$G$94*1</f>
        <v>0</v>
      </c>
      <c r="G295" s="571">
        <f>'TUoS (t)'!$G$94*1</f>
        <v>0</v>
      </c>
      <c r="H295" s="571">
        <f>'JSO (t)'!$G$94*1</f>
        <v>0</v>
      </c>
      <c r="I295" s="682">
        <f>SUM(F295:H295)</f>
        <v>0</v>
      </c>
      <c r="J295" s="752"/>
      <c r="K295" s="751">
        <f>-G295</f>
        <v>0</v>
      </c>
      <c r="L295" s="751"/>
      <c r="M295" s="682">
        <f>SUM(J295:L295)</f>
        <v>0</v>
      </c>
      <c r="N295" s="752"/>
      <c r="O295" s="751">
        <v>658.28</v>
      </c>
      <c r="P295" s="751"/>
      <c r="Q295" s="682">
        <f>SUM(N295:P295)</f>
        <v>658.28</v>
      </c>
      <c r="R295" s="681">
        <f t="shared" ref="R295:T298" si="36">SUM(F295,J295,N295)</f>
        <v>0</v>
      </c>
      <c r="S295" s="571">
        <f t="shared" si="36"/>
        <v>658.28</v>
      </c>
      <c r="T295" s="571">
        <f t="shared" si="36"/>
        <v>0</v>
      </c>
      <c r="U295" s="682">
        <f>SUM(R295:T295)</f>
        <v>658.28</v>
      </c>
    </row>
    <row r="296" spans="1:21" outlineLevel="1" x14ac:dyDescent="0.25">
      <c r="B296" s="560"/>
      <c r="C296" s="561" t="s">
        <v>383</v>
      </c>
      <c r="D296" s="561">
        <v>4</v>
      </c>
      <c r="E296" s="561" t="s">
        <v>298</v>
      </c>
      <c r="F296" s="681">
        <f>'DUoS (t)'!$S$94</f>
        <v>4.1399999999999999E-2</v>
      </c>
      <c r="G296" s="571">
        <f>'TUoS (t)'!$S$94</f>
        <v>0.10829999999999999</v>
      </c>
      <c r="H296" s="571">
        <f>'JSO (t)'!$S$94</f>
        <v>0</v>
      </c>
      <c r="I296" s="682">
        <f>SUM(F296:H296)</f>
        <v>0.1497</v>
      </c>
      <c r="J296" s="752"/>
      <c r="K296" s="751">
        <f>-G296</f>
        <v>-0.10829999999999999</v>
      </c>
      <c r="L296" s="751"/>
      <c r="M296" s="682">
        <f>SUM(J296:L296)</f>
        <v>-0.10829999999999999</v>
      </c>
      <c r="N296" s="752"/>
      <c r="O296" s="751"/>
      <c r="P296" s="751"/>
      <c r="Q296" s="682">
        <f>SUM(N296:P296)</f>
        <v>0</v>
      </c>
      <c r="R296" s="681">
        <f t="shared" si="36"/>
        <v>4.1399999999999999E-2</v>
      </c>
      <c r="S296" s="571">
        <f t="shared" si="36"/>
        <v>0</v>
      </c>
      <c r="T296" s="571">
        <f t="shared" si="36"/>
        <v>0</v>
      </c>
      <c r="U296" s="682">
        <f>SUM(R296:T296)</f>
        <v>4.1399999999999999E-2</v>
      </c>
    </row>
    <row r="297" spans="1:21" outlineLevel="1" x14ac:dyDescent="0.25">
      <c r="B297" s="560"/>
      <c r="C297" s="561" t="s">
        <v>384</v>
      </c>
      <c r="D297" s="561">
        <v>4</v>
      </c>
      <c r="E297" s="561" t="s">
        <v>298</v>
      </c>
      <c r="F297" s="681">
        <f>'DUoS (t)'!$T$94</f>
        <v>7.3999999999999996E-2</v>
      </c>
      <c r="G297" s="571">
        <f>'TUoS (t)'!$T$94</f>
        <v>0</v>
      </c>
      <c r="H297" s="571">
        <f>'JSO (t)'!$T$94</f>
        <v>0</v>
      </c>
      <c r="I297" s="682">
        <f>SUM(F297:H297)</f>
        <v>7.3999999999999996E-2</v>
      </c>
      <c r="J297" s="752"/>
      <c r="K297" s="751">
        <f>-G297</f>
        <v>0</v>
      </c>
      <c r="L297" s="751"/>
      <c r="M297" s="682">
        <f>SUM(J297:L297)</f>
        <v>0</v>
      </c>
      <c r="N297" s="752"/>
      <c r="O297" s="751"/>
      <c r="P297" s="751"/>
      <c r="Q297" s="682">
        <f>SUM(N297:P297)</f>
        <v>0</v>
      </c>
      <c r="R297" s="681">
        <f t="shared" si="36"/>
        <v>7.3999999999999996E-2</v>
      </c>
      <c r="S297" s="571">
        <f t="shared" si="36"/>
        <v>0</v>
      </c>
      <c r="T297" s="571">
        <f t="shared" si="36"/>
        <v>0</v>
      </c>
      <c r="U297" s="682">
        <f>SUM(R297:T297)</f>
        <v>7.3999999999999996E-2</v>
      </c>
    </row>
    <row r="298" spans="1:21" outlineLevel="1" x14ac:dyDescent="0.25">
      <c r="B298" s="562"/>
      <c r="C298" s="563" t="s">
        <v>297</v>
      </c>
      <c r="D298" s="563"/>
      <c r="E298" s="563" t="s">
        <v>292</v>
      </c>
      <c r="F298" s="572">
        <f>'DUoS (t)'!$H$94</f>
        <v>4.4000000000000003E-3</v>
      </c>
      <c r="G298" s="573">
        <f>'TUoS (t)'!$H$94</f>
        <v>8.2000000000000007E-3</v>
      </c>
      <c r="H298" s="573">
        <f>'JSO (t)'!$H$94</f>
        <v>8.9999999999999998E-4</v>
      </c>
      <c r="I298" s="574">
        <f>SUM(F298:H298)</f>
        <v>1.35E-2</v>
      </c>
      <c r="J298" s="576"/>
      <c r="K298" s="577">
        <f>-G298</f>
        <v>-8.2000000000000007E-3</v>
      </c>
      <c r="L298" s="577"/>
      <c r="M298" s="574">
        <f>SUM(J298:L298)</f>
        <v>-8.2000000000000007E-3</v>
      </c>
      <c r="N298" s="576"/>
      <c r="O298" s="577"/>
      <c r="P298" s="577"/>
      <c r="Q298" s="574">
        <f>SUM(N298:P298)</f>
        <v>0</v>
      </c>
      <c r="R298" s="572">
        <f t="shared" si="36"/>
        <v>4.4000000000000003E-3</v>
      </c>
      <c r="S298" s="573">
        <f t="shared" si="36"/>
        <v>0</v>
      </c>
      <c r="T298" s="573">
        <f t="shared" si="36"/>
        <v>8.9999999999999998E-4</v>
      </c>
      <c r="U298" s="574">
        <f>SUM(R298:T298)</f>
        <v>5.3E-3</v>
      </c>
    </row>
    <row r="299" spans="1:21" outlineLevel="1" x14ac:dyDescent="0.25"/>
    <row r="300" spans="1:21" x14ac:dyDescent="0.25">
      <c r="A300" s="579" t="s">
        <v>391</v>
      </c>
    </row>
    <row r="301" spans="1:21" ht="16.5" thickBot="1" x14ac:dyDescent="0.3">
      <c r="A301" s="451" t="s">
        <v>132</v>
      </c>
    </row>
    <row r="302" spans="1:21" outlineLevel="1" x14ac:dyDescent="0.25">
      <c r="F302" s="873" t="s">
        <v>385</v>
      </c>
      <c r="G302" s="874"/>
      <c r="H302" s="874"/>
      <c r="I302" s="875"/>
      <c r="J302" s="876" t="s">
        <v>387</v>
      </c>
      <c r="K302" s="877"/>
      <c r="L302" s="877"/>
      <c r="M302" s="878"/>
      <c r="N302" s="876" t="s">
        <v>388</v>
      </c>
      <c r="O302" s="877"/>
      <c r="P302" s="877"/>
      <c r="Q302" s="878"/>
      <c r="R302" s="876" t="s">
        <v>386</v>
      </c>
      <c r="S302" s="877"/>
      <c r="T302" s="877"/>
      <c r="U302" s="878"/>
    </row>
    <row r="303" spans="1:21" ht="15.75" outlineLevel="1" thickBot="1" x14ac:dyDescent="0.3">
      <c r="F303" s="564" t="s">
        <v>286</v>
      </c>
      <c r="G303" s="565" t="s">
        <v>287</v>
      </c>
      <c r="H303" s="565" t="s">
        <v>288</v>
      </c>
      <c r="I303" s="566" t="s">
        <v>289</v>
      </c>
      <c r="J303" s="766" t="s">
        <v>286</v>
      </c>
      <c r="K303" s="767" t="s">
        <v>287</v>
      </c>
      <c r="L303" s="767" t="s">
        <v>288</v>
      </c>
      <c r="M303" s="768" t="s">
        <v>289</v>
      </c>
      <c r="N303" s="766" t="s">
        <v>286</v>
      </c>
      <c r="O303" s="767" t="s">
        <v>287</v>
      </c>
      <c r="P303" s="767" t="s">
        <v>288</v>
      </c>
      <c r="Q303" s="768" t="s">
        <v>289</v>
      </c>
      <c r="R303" s="766" t="s">
        <v>286</v>
      </c>
      <c r="S303" s="767" t="s">
        <v>287</v>
      </c>
      <c r="T303" s="767" t="s">
        <v>288</v>
      </c>
      <c r="U303" s="768" t="s">
        <v>289</v>
      </c>
    </row>
    <row r="304" spans="1:21" outlineLevel="1" x14ac:dyDescent="0.25">
      <c r="A304" s="575" t="s">
        <v>135</v>
      </c>
      <c r="F304" s="567"/>
      <c r="G304" s="567"/>
      <c r="H304" s="567"/>
      <c r="I304" s="567"/>
      <c r="J304" s="764"/>
      <c r="K304" s="764"/>
      <c r="L304" s="764"/>
      <c r="M304" s="764"/>
      <c r="N304" s="764"/>
      <c r="O304" s="764"/>
      <c r="P304" s="764"/>
      <c r="Q304" s="764"/>
      <c r="R304" s="764"/>
      <c r="S304" s="764"/>
      <c r="T304" s="764"/>
      <c r="U304" s="764"/>
    </row>
    <row r="305" spans="1:21" outlineLevel="1" x14ac:dyDescent="0.25">
      <c r="B305" s="558"/>
      <c r="C305" s="559"/>
      <c r="D305" s="559"/>
      <c r="E305" s="559" t="s">
        <v>319</v>
      </c>
      <c r="F305" s="568"/>
      <c r="G305" s="569"/>
      <c r="H305" s="569"/>
      <c r="I305" s="570"/>
      <c r="J305" s="568"/>
      <c r="K305" s="569"/>
      <c r="L305" s="569"/>
      <c r="M305" s="570"/>
      <c r="N305" s="568"/>
      <c r="O305" s="569"/>
      <c r="P305" s="569"/>
      <c r="Q305" s="570"/>
      <c r="R305" s="568"/>
      <c r="S305" s="569"/>
      <c r="T305" s="569"/>
      <c r="U305" s="570"/>
    </row>
    <row r="306" spans="1:21" outlineLevel="1" x14ac:dyDescent="0.25">
      <c r="B306" s="560"/>
      <c r="C306" s="561" t="s">
        <v>382</v>
      </c>
      <c r="D306" s="561"/>
      <c r="E306" s="561" t="s">
        <v>291</v>
      </c>
      <c r="F306" s="753">
        <f>'DUoS (t)'!$G$113*1</f>
        <v>0</v>
      </c>
      <c r="G306" s="754">
        <f>'TUoS (t)'!$G$113*1</f>
        <v>0</v>
      </c>
      <c r="H306" s="754">
        <f>'JSO (t)'!$G$113*1</f>
        <v>0</v>
      </c>
      <c r="I306" s="755">
        <f>SUM(F306:H306)</f>
        <v>0</v>
      </c>
      <c r="J306" s="752"/>
      <c r="K306" s="751"/>
      <c r="L306" s="751"/>
      <c r="M306" s="682">
        <f>SUM(J306:L306)</f>
        <v>0</v>
      </c>
      <c r="N306" s="752"/>
      <c r="O306" s="751"/>
      <c r="P306" s="751"/>
      <c r="Q306" s="682">
        <f>SUM(N306:P306)</f>
        <v>0</v>
      </c>
      <c r="R306" s="681">
        <f t="shared" ref="R306:T309" si="37">SUM(F306,J306,N306)</f>
        <v>0</v>
      </c>
      <c r="S306" s="571">
        <f t="shared" si="37"/>
        <v>0</v>
      </c>
      <c r="T306" s="571">
        <f t="shared" si="37"/>
        <v>0</v>
      </c>
      <c r="U306" s="682">
        <f>SUM(R306:T306)</f>
        <v>0</v>
      </c>
    </row>
    <row r="307" spans="1:21" outlineLevel="1" x14ac:dyDescent="0.25">
      <c r="B307" s="560"/>
      <c r="C307" s="561" t="s">
        <v>383</v>
      </c>
      <c r="D307" s="561">
        <v>4</v>
      </c>
      <c r="E307" s="561" t="s">
        <v>298</v>
      </c>
      <c r="F307" s="753">
        <f>'DUoS (t)'!$S$113</f>
        <v>0</v>
      </c>
      <c r="G307" s="754">
        <f>'TUoS (t)'!$S$113</f>
        <v>0.10829999999999999</v>
      </c>
      <c r="H307" s="754">
        <f>'JSO (t)'!$S$113</f>
        <v>0</v>
      </c>
      <c r="I307" s="755">
        <f>SUM(F307:H307)</f>
        <v>0.10829999999999999</v>
      </c>
      <c r="J307" s="752"/>
      <c r="K307" s="751"/>
      <c r="L307" s="751"/>
      <c r="M307" s="682">
        <f>SUM(J307:L307)</f>
        <v>0</v>
      </c>
      <c r="N307" s="752"/>
      <c r="O307" s="751"/>
      <c r="P307" s="751"/>
      <c r="Q307" s="682">
        <f>SUM(N307:P307)</f>
        <v>0</v>
      </c>
      <c r="R307" s="681">
        <f t="shared" si="37"/>
        <v>0</v>
      </c>
      <c r="S307" s="571">
        <f t="shared" si="37"/>
        <v>0.10829999999999999</v>
      </c>
      <c r="T307" s="571">
        <f t="shared" si="37"/>
        <v>0</v>
      </c>
      <c r="U307" s="682">
        <f>SUM(R307:T307)</f>
        <v>0.10829999999999999</v>
      </c>
    </row>
    <row r="308" spans="1:21" outlineLevel="1" x14ac:dyDescent="0.25">
      <c r="B308" s="560"/>
      <c r="C308" s="561" t="s">
        <v>384</v>
      </c>
      <c r="D308" s="561">
        <v>4</v>
      </c>
      <c r="E308" s="561" t="s">
        <v>298</v>
      </c>
      <c r="F308" s="753">
        <f>'DUoS (t)'!$T$113</f>
        <v>4.1399999999999999E-2</v>
      </c>
      <c r="G308" s="754">
        <f>'TUoS (t)'!$T$113</f>
        <v>0</v>
      </c>
      <c r="H308" s="754">
        <f>'JSO (t)'!$T$113</f>
        <v>0</v>
      </c>
      <c r="I308" s="755">
        <f>SUM(F308:H308)</f>
        <v>4.1399999999999999E-2</v>
      </c>
      <c r="J308" s="752"/>
      <c r="K308" s="751"/>
      <c r="L308" s="751"/>
      <c r="M308" s="682">
        <f>SUM(J308:L308)</f>
        <v>0</v>
      </c>
      <c r="N308" s="752"/>
      <c r="O308" s="751"/>
      <c r="P308" s="751"/>
      <c r="Q308" s="682">
        <f>SUM(N308:P308)</f>
        <v>0</v>
      </c>
      <c r="R308" s="681">
        <f t="shared" si="37"/>
        <v>4.1399999999999999E-2</v>
      </c>
      <c r="S308" s="571">
        <f t="shared" si="37"/>
        <v>0</v>
      </c>
      <c r="T308" s="571">
        <f t="shared" si="37"/>
        <v>0</v>
      </c>
      <c r="U308" s="682">
        <f>SUM(R308:T308)</f>
        <v>4.1399999999999999E-2</v>
      </c>
    </row>
    <row r="309" spans="1:21" outlineLevel="1" x14ac:dyDescent="0.25">
      <c r="B309" s="562"/>
      <c r="C309" s="563" t="s">
        <v>297</v>
      </c>
      <c r="D309" s="563"/>
      <c r="E309" s="563" t="s">
        <v>292</v>
      </c>
      <c r="F309" s="756">
        <f>'DUoS (t)'!$H$113</f>
        <v>1.6000000000000001E-3</v>
      </c>
      <c r="G309" s="757">
        <f>'TUoS (t)'!$H$113</f>
        <v>8.2000000000000007E-3</v>
      </c>
      <c r="H309" s="757">
        <f>'JSO (t)'!$H$113</f>
        <v>8.9999999999999998E-4</v>
      </c>
      <c r="I309" s="758">
        <f>SUM(F309:H309)</f>
        <v>1.0700000000000001E-2</v>
      </c>
      <c r="J309" s="576"/>
      <c r="K309" s="577"/>
      <c r="L309" s="577"/>
      <c r="M309" s="574">
        <f>SUM(J309:L309)</f>
        <v>0</v>
      </c>
      <c r="N309" s="576"/>
      <c r="O309" s="577"/>
      <c r="P309" s="577"/>
      <c r="Q309" s="574">
        <f>SUM(N309:P309)</f>
        <v>0</v>
      </c>
      <c r="R309" s="572">
        <f t="shared" si="37"/>
        <v>1.6000000000000001E-3</v>
      </c>
      <c r="S309" s="573">
        <f t="shared" si="37"/>
        <v>8.2000000000000007E-3</v>
      </c>
      <c r="T309" s="573">
        <f t="shared" si="37"/>
        <v>8.9999999999999998E-4</v>
      </c>
      <c r="U309" s="574">
        <f>SUM(R309:T309)</f>
        <v>1.0700000000000001E-2</v>
      </c>
    </row>
    <row r="310" spans="1:21" outlineLevel="1" x14ac:dyDescent="0.25">
      <c r="F310" s="759"/>
      <c r="G310" s="759"/>
      <c r="H310" s="759"/>
      <c r="I310" s="759"/>
    </row>
    <row r="311" spans="1:21" outlineLevel="1" x14ac:dyDescent="0.25">
      <c r="A311" s="575" t="s">
        <v>137</v>
      </c>
      <c r="F311" s="760"/>
      <c r="G311" s="760"/>
      <c r="H311" s="760"/>
      <c r="I311" s="760"/>
      <c r="J311" s="764"/>
      <c r="K311" s="764"/>
      <c r="L311" s="764"/>
      <c r="M311" s="764"/>
      <c r="N311" s="764"/>
      <c r="O311" s="764"/>
      <c r="P311" s="764"/>
      <c r="Q311" s="764"/>
      <c r="R311" s="764"/>
      <c r="S311" s="764"/>
      <c r="T311" s="764"/>
      <c r="U311" s="764"/>
    </row>
    <row r="312" spans="1:21" outlineLevel="1" x14ac:dyDescent="0.25">
      <c r="B312" s="558"/>
      <c r="C312" s="559"/>
      <c r="D312" s="559"/>
      <c r="E312" s="559" t="s">
        <v>319</v>
      </c>
      <c r="F312" s="761"/>
      <c r="G312" s="762"/>
      <c r="H312" s="762"/>
      <c r="I312" s="763"/>
      <c r="J312" s="568"/>
      <c r="K312" s="569"/>
      <c r="L312" s="569"/>
      <c r="M312" s="570"/>
      <c r="N312" s="568"/>
      <c r="O312" s="569"/>
      <c r="P312" s="569"/>
      <c r="Q312" s="570"/>
      <c r="R312" s="568"/>
      <c r="S312" s="569"/>
      <c r="T312" s="569"/>
      <c r="U312" s="570"/>
    </row>
    <row r="313" spans="1:21" outlineLevel="1" x14ac:dyDescent="0.25">
      <c r="B313" s="560"/>
      <c r="C313" s="561" t="s">
        <v>382</v>
      </c>
      <c r="D313" s="561"/>
      <c r="E313" s="561" t="s">
        <v>291</v>
      </c>
      <c r="F313" s="753">
        <f>'DUoS (t)'!$G$113*1</f>
        <v>0</v>
      </c>
      <c r="G313" s="754">
        <f>'TUoS (t)'!$G$113*1</f>
        <v>0</v>
      </c>
      <c r="H313" s="754">
        <f>'JSO (t)'!$G$113*1</f>
        <v>0</v>
      </c>
      <c r="I313" s="755">
        <f>SUM(F313:H313)</f>
        <v>0</v>
      </c>
      <c r="J313" s="752"/>
      <c r="K313" s="751"/>
      <c r="L313" s="751"/>
      <c r="M313" s="682">
        <f>SUM(J313:L313)</f>
        <v>0</v>
      </c>
      <c r="N313" s="752">
        <v>1019.18</v>
      </c>
      <c r="O313" s="751"/>
      <c r="P313" s="751"/>
      <c r="Q313" s="682">
        <f>SUM(N313:P313)</f>
        <v>1019.18</v>
      </c>
      <c r="R313" s="681">
        <f t="shared" ref="R313:T316" si="38">SUM(F313,J313,N313)</f>
        <v>1019.18</v>
      </c>
      <c r="S313" s="571">
        <f t="shared" si="38"/>
        <v>0</v>
      </c>
      <c r="T313" s="571">
        <f t="shared" si="38"/>
        <v>0</v>
      </c>
      <c r="U313" s="682">
        <f>SUM(R313:T313)</f>
        <v>1019.18</v>
      </c>
    </row>
    <row r="314" spans="1:21" outlineLevel="1" x14ac:dyDescent="0.25">
      <c r="B314" s="560"/>
      <c r="C314" s="561" t="s">
        <v>383</v>
      </c>
      <c r="D314" s="561">
        <v>4</v>
      </c>
      <c r="E314" s="561" t="s">
        <v>298</v>
      </c>
      <c r="F314" s="753">
        <f>'DUoS (t)'!$S$113</f>
        <v>0</v>
      </c>
      <c r="G314" s="754">
        <f>'TUoS (t)'!$S$113</f>
        <v>0.10829999999999999</v>
      </c>
      <c r="H314" s="754">
        <f>'JSO (t)'!$S$113</f>
        <v>0</v>
      </c>
      <c r="I314" s="755">
        <f>SUM(F314:H314)</f>
        <v>0.10829999999999999</v>
      </c>
      <c r="J314" s="752"/>
      <c r="K314" s="751"/>
      <c r="L314" s="751"/>
      <c r="M314" s="682">
        <f>SUM(J314:L314)</f>
        <v>0</v>
      </c>
      <c r="N314" s="752"/>
      <c r="O314" s="751"/>
      <c r="P314" s="751"/>
      <c r="Q314" s="682">
        <f>SUM(N314:P314)</f>
        <v>0</v>
      </c>
      <c r="R314" s="681">
        <f t="shared" si="38"/>
        <v>0</v>
      </c>
      <c r="S314" s="571">
        <f t="shared" si="38"/>
        <v>0.10829999999999999</v>
      </c>
      <c r="T314" s="571">
        <f t="shared" si="38"/>
        <v>0</v>
      </c>
      <c r="U314" s="682">
        <f>SUM(R314:T314)</f>
        <v>0.10829999999999999</v>
      </c>
    </row>
    <row r="315" spans="1:21" outlineLevel="1" x14ac:dyDescent="0.25">
      <c r="B315" s="560"/>
      <c r="C315" s="561" t="s">
        <v>384</v>
      </c>
      <c r="D315" s="561">
        <v>4</v>
      </c>
      <c r="E315" s="561" t="s">
        <v>298</v>
      </c>
      <c r="F315" s="753">
        <f>'DUoS (t)'!$T$113</f>
        <v>4.1399999999999999E-2</v>
      </c>
      <c r="G315" s="754">
        <f>'TUoS (t)'!$T$113</f>
        <v>0</v>
      </c>
      <c r="H315" s="754">
        <f>'JSO (t)'!$T$113</f>
        <v>0</v>
      </c>
      <c r="I315" s="755">
        <f>SUM(F315:H315)</f>
        <v>4.1399999999999999E-2</v>
      </c>
      <c r="J315" s="752"/>
      <c r="K315" s="751"/>
      <c r="L315" s="751"/>
      <c r="M315" s="682">
        <f>SUM(J315:L315)</f>
        <v>0</v>
      </c>
      <c r="N315" s="752"/>
      <c r="O315" s="751"/>
      <c r="P315" s="751"/>
      <c r="Q315" s="682">
        <f>SUM(N315:P315)</f>
        <v>0</v>
      </c>
      <c r="R315" s="681">
        <f t="shared" si="38"/>
        <v>4.1399999999999999E-2</v>
      </c>
      <c r="S315" s="571">
        <f t="shared" si="38"/>
        <v>0</v>
      </c>
      <c r="T315" s="571">
        <f t="shared" si="38"/>
        <v>0</v>
      </c>
      <c r="U315" s="682">
        <f>SUM(R315:T315)</f>
        <v>4.1399999999999999E-2</v>
      </c>
    </row>
    <row r="316" spans="1:21" outlineLevel="1" x14ac:dyDescent="0.25">
      <c r="B316" s="562"/>
      <c r="C316" s="563" t="s">
        <v>297</v>
      </c>
      <c r="D316" s="563"/>
      <c r="E316" s="563" t="s">
        <v>292</v>
      </c>
      <c r="F316" s="756">
        <f>'DUoS (t)'!$H$113</f>
        <v>1.6000000000000001E-3</v>
      </c>
      <c r="G316" s="757">
        <f>'TUoS (t)'!$H$113</f>
        <v>8.2000000000000007E-3</v>
      </c>
      <c r="H316" s="757">
        <f>'JSO (t)'!$H$113</f>
        <v>8.9999999999999998E-4</v>
      </c>
      <c r="I316" s="758">
        <f>SUM(F316:H316)</f>
        <v>1.0700000000000001E-2</v>
      </c>
      <c r="J316" s="576"/>
      <c r="K316" s="577"/>
      <c r="L316" s="577"/>
      <c r="M316" s="574">
        <f>SUM(J316:L316)</f>
        <v>0</v>
      </c>
      <c r="N316" s="576"/>
      <c r="O316" s="577"/>
      <c r="P316" s="577"/>
      <c r="Q316" s="574">
        <f>SUM(N316:P316)</f>
        <v>0</v>
      </c>
      <c r="R316" s="572">
        <f t="shared" si="38"/>
        <v>1.6000000000000001E-3</v>
      </c>
      <c r="S316" s="573">
        <f t="shared" si="38"/>
        <v>8.2000000000000007E-3</v>
      </c>
      <c r="T316" s="573">
        <f t="shared" si="38"/>
        <v>8.9999999999999998E-4</v>
      </c>
      <c r="U316" s="574">
        <f>SUM(R316:T316)</f>
        <v>1.0700000000000001E-2</v>
      </c>
    </row>
    <row r="317" spans="1:21" outlineLevel="1" x14ac:dyDescent="0.25">
      <c r="F317" s="759"/>
      <c r="G317" s="759"/>
      <c r="H317" s="759"/>
      <c r="I317" s="759"/>
    </row>
    <row r="318" spans="1:21" outlineLevel="1" x14ac:dyDescent="0.25">
      <c r="A318" s="575" t="s">
        <v>138</v>
      </c>
      <c r="F318" s="760"/>
      <c r="G318" s="760"/>
      <c r="H318" s="760"/>
      <c r="I318" s="760"/>
      <c r="J318" s="764"/>
      <c r="K318" s="764"/>
      <c r="L318" s="764"/>
      <c r="M318" s="764"/>
      <c r="N318" s="764"/>
      <c r="O318" s="764"/>
      <c r="P318" s="764"/>
      <c r="Q318" s="764"/>
      <c r="R318" s="764"/>
      <c r="S318" s="764"/>
      <c r="T318" s="764"/>
      <c r="U318" s="764"/>
    </row>
    <row r="319" spans="1:21" outlineLevel="1" x14ac:dyDescent="0.25">
      <c r="B319" s="558"/>
      <c r="C319" s="559"/>
      <c r="D319" s="559"/>
      <c r="E319" s="559" t="s">
        <v>319</v>
      </c>
      <c r="F319" s="761"/>
      <c r="G319" s="762"/>
      <c r="H319" s="762"/>
      <c r="I319" s="763"/>
      <c r="J319" s="568"/>
      <c r="K319" s="569"/>
      <c r="L319" s="569"/>
      <c r="M319" s="570"/>
      <c r="N319" s="568"/>
      <c r="O319" s="569"/>
      <c r="P319" s="569"/>
      <c r="Q319" s="570"/>
      <c r="R319" s="568"/>
      <c r="S319" s="569"/>
      <c r="T319" s="569"/>
      <c r="U319" s="570"/>
    </row>
    <row r="320" spans="1:21" outlineLevel="1" x14ac:dyDescent="0.25">
      <c r="B320" s="560"/>
      <c r="C320" s="561" t="s">
        <v>382</v>
      </c>
      <c r="D320" s="561"/>
      <c r="E320" s="561" t="s">
        <v>291</v>
      </c>
      <c r="F320" s="753">
        <f>'DUoS (t)'!$G$113*1</f>
        <v>0</v>
      </c>
      <c r="G320" s="754">
        <f>'TUoS (t)'!$G$113*1</f>
        <v>0</v>
      </c>
      <c r="H320" s="754">
        <f>'JSO (t)'!$G$113*1</f>
        <v>0</v>
      </c>
      <c r="I320" s="755">
        <f>SUM(F320:H320)</f>
        <v>0</v>
      </c>
      <c r="J320" s="752"/>
      <c r="K320" s="751"/>
      <c r="L320" s="751"/>
      <c r="M320" s="682">
        <f>SUM(J320:L320)</f>
        <v>0</v>
      </c>
      <c r="N320" s="752">
        <v>432.88</v>
      </c>
      <c r="O320" s="751"/>
      <c r="P320" s="751"/>
      <c r="Q320" s="682">
        <f>SUM(N320:P320)</f>
        <v>432.88</v>
      </c>
      <c r="R320" s="681">
        <f t="shared" ref="R320:T323" si="39">SUM(F320,J320,N320)</f>
        <v>432.88</v>
      </c>
      <c r="S320" s="571">
        <f t="shared" si="39"/>
        <v>0</v>
      </c>
      <c r="T320" s="571">
        <f t="shared" si="39"/>
        <v>0</v>
      </c>
      <c r="U320" s="682">
        <f>SUM(R320:T320)</f>
        <v>432.88</v>
      </c>
    </row>
    <row r="321" spans="1:21" outlineLevel="1" x14ac:dyDescent="0.25">
      <c r="B321" s="560"/>
      <c r="C321" s="561" t="s">
        <v>383</v>
      </c>
      <c r="D321" s="561">
        <v>4</v>
      </c>
      <c r="E321" s="561" t="s">
        <v>298</v>
      </c>
      <c r="F321" s="753">
        <f>'DUoS (t)'!$S$113</f>
        <v>0</v>
      </c>
      <c r="G321" s="754">
        <f>'TUoS (t)'!$S$113</f>
        <v>0.10829999999999999</v>
      </c>
      <c r="H321" s="754">
        <f>'JSO (t)'!$S$113</f>
        <v>0</v>
      </c>
      <c r="I321" s="755">
        <f>SUM(F321:H321)</f>
        <v>0.10829999999999999</v>
      </c>
      <c r="J321" s="752"/>
      <c r="K321" s="751"/>
      <c r="L321" s="751"/>
      <c r="M321" s="682">
        <f>SUM(J321:L321)</f>
        <v>0</v>
      </c>
      <c r="N321" s="752"/>
      <c r="O321" s="751"/>
      <c r="P321" s="751"/>
      <c r="Q321" s="682">
        <f>SUM(N321:P321)</f>
        <v>0</v>
      </c>
      <c r="R321" s="681">
        <f t="shared" si="39"/>
        <v>0</v>
      </c>
      <c r="S321" s="571">
        <f t="shared" si="39"/>
        <v>0.10829999999999999</v>
      </c>
      <c r="T321" s="571">
        <f t="shared" si="39"/>
        <v>0</v>
      </c>
      <c r="U321" s="682">
        <f>SUM(R321:T321)</f>
        <v>0.10829999999999999</v>
      </c>
    </row>
    <row r="322" spans="1:21" outlineLevel="1" x14ac:dyDescent="0.25">
      <c r="B322" s="560"/>
      <c r="C322" s="561" t="s">
        <v>384</v>
      </c>
      <c r="D322" s="561">
        <v>4</v>
      </c>
      <c r="E322" s="561" t="s">
        <v>298</v>
      </c>
      <c r="F322" s="753">
        <f>'DUoS (t)'!$T$113</f>
        <v>4.1399999999999999E-2</v>
      </c>
      <c r="G322" s="754">
        <f>'TUoS (t)'!$T$113</f>
        <v>0</v>
      </c>
      <c r="H322" s="754">
        <f>'JSO (t)'!$T$113</f>
        <v>0</v>
      </c>
      <c r="I322" s="755">
        <f>SUM(F322:H322)</f>
        <v>4.1399999999999999E-2</v>
      </c>
      <c r="J322" s="752"/>
      <c r="K322" s="751"/>
      <c r="L322" s="751"/>
      <c r="M322" s="682">
        <f>SUM(J322:L322)</f>
        <v>0</v>
      </c>
      <c r="N322" s="752"/>
      <c r="O322" s="751"/>
      <c r="P322" s="751"/>
      <c r="Q322" s="682">
        <f>SUM(N322:P322)</f>
        <v>0</v>
      </c>
      <c r="R322" s="681">
        <f t="shared" si="39"/>
        <v>4.1399999999999999E-2</v>
      </c>
      <c r="S322" s="571">
        <f t="shared" si="39"/>
        <v>0</v>
      </c>
      <c r="T322" s="571">
        <f t="shared" si="39"/>
        <v>0</v>
      </c>
      <c r="U322" s="682">
        <f>SUM(R322:T322)</f>
        <v>4.1399999999999999E-2</v>
      </c>
    </row>
    <row r="323" spans="1:21" outlineLevel="1" x14ac:dyDescent="0.25">
      <c r="B323" s="562"/>
      <c r="C323" s="563" t="s">
        <v>297</v>
      </c>
      <c r="D323" s="563"/>
      <c r="E323" s="563" t="s">
        <v>292</v>
      </c>
      <c r="F323" s="756">
        <f>'DUoS (t)'!$H$113</f>
        <v>1.6000000000000001E-3</v>
      </c>
      <c r="G323" s="757">
        <f>'TUoS (t)'!$H$113</f>
        <v>8.2000000000000007E-3</v>
      </c>
      <c r="H323" s="757">
        <f>'JSO (t)'!$H$113</f>
        <v>8.9999999999999998E-4</v>
      </c>
      <c r="I323" s="758">
        <f>SUM(F323:H323)</f>
        <v>1.0700000000000001E-2</v>
      </c>
      <c r="J323" s="576"/>
      <c r="K323" s="577"/>
      <c r="L323" s="577"/>
      <c r="M323" s="574">
        <f>SUM(J323:L323)</f>
        <v>0</v>
      </c>
      <c r="N323" s="576"/>
      <c r="O323" s="577"/>
      <c r="P323" s="577"/>
      <c r="Q323" s="574">
        <f>SUM(N323:P323)</f>
        <v>0</v>
      </c>
      <c r="R323" s="572">
        <f t="shared" si="39"/>
        <v>1.6000000000000001E-3</v>
      </c>
      <c r="S323" s="573">
        <f t="shared" si="39"/>
        <v>8.2000000000000007E-3</v>
      </c>
      <c r="T323" s="573">
        <f t="shared" si="39"/>
        <v>8.9999999999999998E-4</v>
      </c>
      <c r="U323" s="574">
        <f>SUM(R323:T323)</f>
        <v>1.0700000000000001E-2</v>
      </c>
    </row>
    <row r="324" spans="1:21" outlineLevel="1" x14ac:dyDescent="0.25"/>
    <row r="325" spans="1:21" x14ac:dyDescent="0.25">
      <c r="A325" s="579" t="s">
        <v>391</v>
      </c>
    </row>
    <row r="326" spans="1:21" ht="16.5" thickBot="1" x14ac:dyDescent="0.3">
      <c r="A326" s="451" t="s">
        <v>139</v>
      </c>
    </row>
    <row r="327" spans="1:21" outlineLevel="1" x14ac:dyDescent="0.25">
      <c r="F327" s="873" t="s">
        <v>385</v>
      </c>
      <c r="G327" s="874"/>
      <c r="H327" s="874"/>
      <c r="I327" s="875"/>
      <c r="J327" s="876" t="s">
        <v>387</v>
      </c>
      <c r="K327" s="877"/>
      <c r="L327" s="877"/>
      <c r="M327" s="878"/>
      <c r="N327" s="876" t="s">
        <v>388</v>
      </c>
      <c r="O327" s="877"/>
      <c r="P327" s="877"/>
      <c r="Q327" s="878"/>
      <c r="R327" s="876" t="s">
        <v>386</v>
      </c>
      <c r="S327" s="877"/>
      <c r="T327" s="877"/>
      <c r="U327" s="878"/>
    </row>
    <row r="328" spans="1:21" ht="15.75" outlineLevel="1" thickBot="1" x14ac:dyDescent="0.3">
      <c r="F328" s="564" t="s">
        <v>286</v>
      </c>
      <c r="G328" s="565" t="s">
        <v>287</v>
      </c>
      <c r="H328" s="565" t="s">
        <v>288</v>
      </c>
      <c r="I328" s="566" t="s">
        <v>289</v>
      </c>
      <c r="J328" s="766" t="s">
        <v>286</v>
      </c>
      <c r="K328" s="767" t="s">
        <v>287</v>
      </c>
      <c r="L328" s="767" t="s">
        <v>288</v>
      </c>
      <c r="M328" s="768" t="s">
        <v>289</v>
      </c>
      <c r="N328" s="766" t="s">
        <v>286</v>
      </c>
      <c r="O328" s="767" t="s">
        <v>287</v>
      </c>
      <c r="P328" s="767" t="s">
        <v>288</v>
      </c>
      <c r="Q328" s="768" t="s">
        <v>289</v>
      </c>
      <c r="R328" s="766" t="s">
        <v>286</v>
      </c>
      <c r="S328" s="767" t="s">
        <v>287</v>
      </c>
      <c r="T328" s="767" t="s">
        <v>288</v>
      </c>
      <c r="U328" s="768" t="s">
        <v>289</v>
      </c>
    </row>
    <row r="329" spans="1:21" outlineLevel="1" x14ac:dyDescent="0.25">
      <c r="A329" s="575" t="s">
        <v>140</v>
      </c>
      <c r="F329" s="567"/>
      <c r="G329" s="567"/>
      <c r="H329" s="567"/>
      <c r="I329" s="567"/>
      <c r="J329" s="764"/>
      <c r="K329" s="764"/>
      <c r="L329" s="764"/>
      <c r="M329" s="764"/>
      <c r="N329" s="764"/>
      <c r="O329" s="764"/>
      <c r="P329" s="764"/>
      <c r="Q329" s="764"/>
      <c r="R329" s="764"/>
      <c r="S329" s="764"/>
      <c r="T329" s="764"/>
      <c r="U329" s="764"/>
    </row>
    <row r="330" spans="1:21" outlineLevel="1" x14ac:dyDescent="0.25">
      <c r="B330" s="558"/>
      <c r="C330" s="559"/>
      <c r="D330" s="559"/>
      <c r="E330" s="559" t="s">
        <v>319</v>
      </c>
      <c r="F330" s="568"/>
      <c r="G330" s="569"/>
      <c r="H330" s="569"/>
      <c r="I330" s="570"/>
      <c r="J330" s="568"/>
      <c r="K330" s="569"/>
      <c r="L330" s="569"/>
      <c r="M330" s="570"/>
      <c r="N330" s="568"/>
      <c r="O330" s="569"/>
      <c r="P330" s="569"/>
      <c r="Q330" s="570"/>
      <c r="R330" s="568"/>
      <c r="S330" s="569"/>
      <c r="T330" s="569"/>
      <c r="U330" s="570"/>
    </row>
    <row r="331" spans="1:21" outlineLevel="1" x14ac:dyDescent="0.25">
      <c r="B331" s="560"/>
      <c r="C331" s="561" t="s">
        <v>382</v>
      </c>
      <c r="D331" s="561"/>
      <c r="E331" s="561" t="s">
        <v>291</v>
      </c>
      <c r="F331" s="681">
        <f>'DUoS (t)'!$G$113*1</f>
        <v>0</v>
      </c>
      <c r="G331" s="571">
        <f>'TUoS (t)'!$G$113*1</f>
        <v>0</v>
      </c>
      <c r="H331" s="571">
        <f>'JSO (t)'!$G$113*1</f>
        <v>0</v>
      </c>
      <c r="I331" s="682">
        <f>SUM(F331:H331)</f>
        <v>0</v>
      </c>
      <c r="J331" s="752"/>
      <c r="K331" s="751">
        <f>-G331</f>
        <v>0</v>
      </c>
      <c r="L331" s="751"/>
      <c r="M331" s="682">
        <f>SUM(J331:L331)</f>
        <v>0</v>
      </c>
      <c r="N331" s="752"/>
      <c r="O331" s="751">
        <v>5469.3</v>
      </c>
      <c r="P331" s="751"/>
      <c r="Q331" s="682">
        <f>SUM(N331:P331)</f>
        <v>5469.3</v>
      </c>
      <c r="R331" s="681">
        <f t="shared" ref="R331:T334" si="40">SUM(F331,J331,N331)</f>
        <v>0</v>
      </c>
      <c r="S331" s="571">
        <f t="shared" si="40"/>
        <v>5469.3</v>
      </c>
      <c r="T331" s="571">
        <f t="shared" si="40"/>
        <v>0</v>
      </c>
      <c r="U331" s="682">
        <f>SUM(R331:T331)</f>
        <v>5469.3</v>
      </c>
    </row>
    <row r="332" spans="1:21" outlineLevel="1" x14ac:dyDescent="0.25">
      <c r="B332" s="560"/>
      <c r="C332" s="561" t="s">
        <v>383</v>
      </c>
      <c r="D332" s="561">
        <v>4</v>
      </c>
      <c r="E332" s="561" t="s">
        <v>298</v>
      </c>
      <c r="F332" s="681">
        <f>'DUoS (t)'!$S$113</f>
        <v>0</v>
      </c>
      <c r="G332" s="571">
        <f>'TUoS (t)'!$S$113</f>
        <v>0.10829999999999999</v>
      </c>
      <c r="H332" s="571">
        <f>'JSO (t)'!$S$113</f>
        <v>0</v>
      </c>
      <c r="I332" s="682">
        <f>SUM(F332:H332)</f>
        <v>0.10829999999999999</v>
      </c>
      <c r="J332" s="752"/>
      <c r="K332" s="751">
        <f>-G332</f>
        <v>-0.10829999999999999</v>
      </c>
      <c r="L332" s="751"/>
      <c r="M332" s="682">
        <f>SUM(J332:L332)</f>
        <v>-0.10829999999999999</v>
      </c>
      <c r="N332" s="752"/>
      <c r="O332" s="751"/>
      <c r="P332" s="751"/>
      <c r="Q332" s="682">
        <f>SUM(N332:P332)</f>
        <v>0</v>
      </c>
      <c r="R332" s="681">
        <f t="shared" si="40"/>
        <v>0</v>
      </c>
      <c r="S332" s="571">
        <f t="shared" si="40"/>
        <v>0</v>
      </c>
      <c r="T332" s="571">
        <f t="shared" si="40"/>
        <v>0</v>
      </c>
      <c r="U332" s="682">
        <f>SUM(R332:T332)</f>
        <v>0</v>
      </c>
    </row>
    <row r="333" spans="1:21" outlineLevel="1" x14ac:dyDescent="0.25">
      <c r="B333" s="560"/>
      <c r="C333" s="561" t="s">
        <v>384</v>
      </c>
      <c r="D333" s="561">
        <v>4</v>
      </c>
      <c r="E333" s="561" t="s">
        <v>298</v>
      </c>
      <c r="F333" s="681">
        <f>'DUoS (t)'!$T$113</f>
        <v>4.1399999999999999E-2</v>
      </c>
      <c r="G333" s="571">
        <f>'TUoS (t)'!$T$113</f>
        <v>0</v>
      </c>
      <c r="H333" s="571">
        <f>'JSO (t)'!$T$113</f>
        <v>0</v>
      </c>
      <c r="I333" s="682">
        <f>SUM(F333:H333)</f>
        <v>4.1399999999999999E-2</v>
      </c>
      <c r="J333" s="752"/>
      <c r="K333" s="751">
        <f>-G333</f>
        <v>0</v>
      </c>
      <c r="L333" s="751"/>
      <c r="M333" s="682">
        <f>SUM(J333:L333)</f>
        <v>0</v>
      </c>
      <c r="N333" s="752"/>
      <c r="O333" s="751"/>
      <c r="P333" s="751"/>
      <c r="Q333" s="682">
        <f>SUM(N333:P333)</f>
        <v>0</v>
      </c>
      <c r="R333" s="681">
        <f t="shared" si="40"/>
        <v>4.1399999999999999E-2</v>
      </c>
      <c r="S333" s="571">
        <f t="shared" si="40"/>
        <v>0</v>
      </c>
      <c r="T333" s="571">
        <f t="shared" si="40"/>
        <v>0</v>
      </c>
      <c r="U333" s="682">
        <f>SUM(R333:T333)</f>
        <v>4.1399999999999999E-2</v>
      </c>
    </row>
    <row r="334" spans="1:21" outlineLevel="1" x14ac:dyDescent="0.25">
      <c r="B334" s="562"/>
      <c r="C334" s="563" t="s">
        <v>297</v>
      </c>
      <c r="D334" s="563"/>
      <c r="E334" s="563" t="s">
        <v>292</v>
      </c>
      <c r="F334" s="572">
        <f>'DUoS (t)'!$H$113</f>
        <v>1.6000000000000001E-3</v>
      </c>
      <c r="G334" s="573">
        <f>'TUoS (t)'!$H$113</f>
        <v>8.2000000000000007E-3</v>
      </c>
      <c r="H334" s="573">
        <f>'JSO (t)'!$H$113</f>
        <v>8.9999999999999998E-4</v>
      </c>
      <c r="I334" s="574">
        <f>SUM(F334:H334)</f>
        <v>1.0700000000000001E-2</v>
      </c>
      <c r="J334" s="576"/>
      <c r="K334" s="577">
        <f>-G334</f>
        <v>-8.2000000000000007E-3</v>
      </c>
      <c r="L334" s="577"/>
      <c r="M334" s="574">
        <f>SUM(J334:L334)</f>
        <v>-8.2000000000000007E-3</v>
      </c>
      <c r="N334" s="576"/>
      <c r="O334" s="577"/>
      <c r="P334" s="577"/>
      <c r="Q334" s="574">
        <f>SUM(N334:P334)</f>
        <v>0</v>
      </c>
      <c r="R334" s="572">
        <f t="shared" si="40"/>
        <v>1.6000000000000001E-3</v>
      </c>
      <c r="S334" s="573">
        <f t="shared" si="40"/>
        <v>0</v>
      </c>
      <c r="T334" s="573">
        <f t="shared" si="40"/>
        <v>8.9999999999999998E-4</v>
      </c>
      <c r="U334" s="574">
        <f>SUM(R334:T334)</f>
        <v>2.5000000000000001E-3</v>
      </c>
    </row>
    <row r="335" spans="1:21" outlineLevel="1" x14ac:dyDescent="0.25">
      <c r="F335" s="422"/>
      <c r="G335" s="422"/>
      <c r="H335" s="422"/>
      <c r="I335" s="422"/>
    </row>
    <row r="336" spans="1:21" outlineLevel="1" x14ac:dyDescent="0.25">
      <c r="A336" s="575" t="s">
        <v>142</v>
      </c>
      <c r="F336" s="764"/>
      <c r="G336" s="764"/>
      <c r="H336" s="764"/>
      <c r="I336" s="764"/>
      <c r="J336" s="764"/>
      <c r="K336" s="764"/>
      <c r="L336" s="764"/>
      <c r="M336" s="764"/>
      <c r="N336" s="764"/>
      <c r="O336" s="764"/>
      <c r="P336" s="764"/>
      <c r="Q336" s="764"/>
      <c r="R336" s="764"/>
      <c r="S336" s="764"/>
      <c r="T336" s="764"/>
      <c r="U336" s="764"/>
    </row>
    <row r="337" spans="1:21" outlineLevel="1" x14ac:dyDescent="0.25">
      <c r="B337" s="558"/>
      <c r="C337" s="559"/>
      <c r="D337" s="559"/>
      <c r="E337" s="559" t="s">
        <v>319</v>
      </c>
      <c r="F337" s="568"/>
      <c r="G337" s="569"/>
      <c r="H337" s="569"/>
      <c r="I337" s="570"/>
      <c r="J337" s="568"/>
      <c r="K337" s="569"/>
      <c r="L337" s="569"/>
      <c r="M337" s="570"/>
      <c r="N337" s="568"/>
      <c r="O337" s="569"/>
      <c r="P337" s="569"/>
      <c r="Q337" s="570"/>
      <c r="R337" s="568"/>
      <c r="S337" s="569"/>
      <c r="T337" s="569"/>
      <c r="U337" s="570"/>
    </row>
    <row r="338" spans="1:21" outlineLevel="1" x14ac:dyDescent="0.25">
      <c r="B338" s="560"/>
      <c r="C338" s="561" t="s">
        <v>382</v>
      </c>
      <c r="D338" s="561"/>
      <c r="E338" s="561" t="s">
        <v>291</v>
      </c>
      <c r="F338" s="681">
        <f>'DUoS (t)'!$G$113*1</f>
        <v>0</v>
      </c>
      <c r="G338" s="571">
        <f>'TUoS (t)'!$G$113*1</f>
        <v>0</v>
      </c>
      <c r="H338" s="571">
        <f>'JSO (t)'!$G$113*1</f>
        <v>0</v>
      </c>
      <c r="I338" s="682">
        <f>SUM(F338:H338)</f>
        <v>0</v>
      </c>
      <c r="J338" s="752"/>
      <c r="K338" s="751">
        <f>-G338</f>
        <v>0</v>
      </c>
      <c r="L338" s="751"/>
      <c r="M338" s="682">
        <f>SUM(J338:L338)</f>
        <v>0</v>
      </c>
      <c r="N338" s="752"/>
      <c r="O338" s="751">
        <v>1022.4</v>
      </c>
      <c r="P338" s="751"/>
      <c r="Q338" s="682">
        <f>SUM(N338:P338)</f>
        <v>1022.4</v>
      </c>
      <c r="R338" s="681">
        <f t="shared" ref="R338:T341" si="41">SUM(F338,J338,N338)</f>
        <v>0</v>
      </c>
      <c r="S338" s="571">
        <f t="shared" si="41"/>
        <v>1022.4</v>
      </c>
      <c r="T338" s="571">
        <f t="shared" si="41"/>
        <v>0</v>
      </c>
      <c r="U338" s="682">
        <f>SUM(R338:T338)</f>
        <v>1022.4</v>
      </c>
    </row>
    <row r="339" spans="1:21" outlineLevel="1" x14ac:dyDescent="0.25">
      <c r="B339" s="560"/>
      <c r="C339" s="561" t="s">
        <v>383</v>
      </c>
      <c r="D339" s="561">
        <v>4</v>
      </c>
      <c r="E339" s="561" t="s">
        <v>298</v>
      </c>
      <c r="F339" s="681">
        <f>'DUoS (t)'!$S$113</f>
        <v>0</v>
      </c>
      <c r="G339" s="571">
        <f>'TUoS (t)'!$S$113</f>
        <v>0.10829999999999999</v>
      </c>
      <c r="H339" s="571">
        <f>'JSO (t)'!$S$113</f>
        <v>0</v>
      </c>
      <c r="I339" s="682">
        <f>SUM(F339:H339)</f>
        <v>0.10829999999999999</v>
      </c>
      <c r="J339" s="752"/>
      <c r="K339" s="751">
        <f>-G339</f>
        <v>-0.10829999999999999</v>
      </c>
      <c r="L339" s="751"/>
      <c r="M339" s="682">
        <f>SUM(J339:L339)</f>
        <v>-0.10829999999999999</v>
      </c>
      <c r="N339" s="752"/>
      <c r="O339" s="751">
        <v>0.23180000000000001</v>
      </c>
      <c r="P339" s="751"/>
      <c r="Q339" s="682">
        <f>SUM(N339:P339)</f>
        <v>0.23180000000000001</v>
      </c>
      <c r="R339" s="681">
        <f t="shared" si="41"/>
        <v>0</v>
      </c>
      <c r="S339" s="571">
        <f t="shared" si="41"/>
        <v>0.23180000000000001</v>
      </c>
      <c r="T339" s="571">
        <f t="shared" si="41"/>
        <v>0</v>
      </c>
      <c r="U339" s="682">
        <f>SUM(R339:T339)</f>
        <v>0.23180000000000001</v>
      </c>
    </row>
    <row r="340" spans="1:21" outlineLevel="1" x14ac:dyDescent="0.25">
      <c r="B340" s="560"/>
      <c r="C340" s="561" t="s">
        <v>384</v>
      </c>
      <c r="D340" s="561">
        <v>4</v>
      </c>
      <c r="E340" s="561" t="s">
        <v>298</v>
      </c>
      <c r="F340" s="681">
        <f>'DUoS (t)'!$T$113</f>
        <v>4.1399999999999999E-2</v>
      </c>
      <c r="G340" s="571">
        <f>'TUoS (t)'!$T$113</f>
        <v>0</v>
      </c>
      <c r="H340" s="571">
        <f>'JSO (t)'!$T$113</f>
        <v>0</v>
      </c>
      <c r="I340" s="682">
        <f>SUM(F340:H340)</f>
        <v>4.1399999999999999E-2</v>
      </c>
      <c r="J340" s="752"/>
      <c r="K340" s="751">
        <f>-G340</f>
        <v>0</v>
      </c>
      <c r="L340" s="751"/>
      <c r="M340" s="682">
        <f>SUM(J340:L340)</f>
        <v>0</v>
      </c>
      <c r="N340" s="752"/>
      <c r="O340" s="751"/>
      <c r="P340" s="751"/>
      <c r="Q340" s="682">
        <f>SUM(N340:P340)</f>
        <v>0</v>
      </c>
      <c r="R340" s="681">
        <f t="shared" si="41"/>
        <v>4.1399999999999999E-2</v>
      </c>
      <c r="S340" s="571">
        <f t="shared" si="41"/>
        <v>0</v>
      </c>
      <c r="T340" s="571">
        <f t="shared" si="41"/>
        <v>0</v>
      </c>
      <c r="U340" s="682">
        <f>SUM(R340:T340)</f>
        <v>4.1399999999999999E-2</v>
      </c>
    </row>
    <row r="341" spans="1:21" outlineLevel="1" x14ac:dyDescent="0.25">
      <c r="B341" s="562"/>
      <c r="C341" s="563" t="s">
        <v>297</v>
      </c>
      <c r="D341" s="563"/>
      <c r="E341" s="563" t="s">
        <v>292</v>
      </c>
      <c r="F341" s="572">
        <f>'DUoS (t)'!$H$113</f>
        <v>1.6000000000000001E-3</v>
      </c>
      <c r="G341" s="573">
        <f>'TUoS (t)'!$H$113</f>
        <v>8.2000000000000007E-3</v>
      </c>
      <c r="H341" s="573">
        <f>'JSO (t)'!$H$113</f>
        <v>8.9999999999999998E-4</v>
      </c>
      <c r="I341" s="574">
        <f>SUM(F341:H341)</f>
        <v>1.0700000000000001E-2</v>
      </c>
      <c r="J341" s="576"/>
      <c r="K341" s="577">
        <f>-G341</f>
        <v>-8.2000000000000007E-3</v>
      </c>
      <c r="L341" s="577"/>
      <c r="M341" s="574">
        <f>SUM(J341:L341)</f>
        <v>-8.2000000000000007E-3</v>
      </c>
      <c r="N341" s="576"/>
      <c r="O341" s="577"/>
      <c r="P341" s="577"/>
      <c r="Q341" s="574">
        <f>SUM(N341:P341)</f>
        <v>0</v>
      </c>
      <c r="R341" s="572">
        <f t="shared" si="41"/>
        <v>1.6000000000000001E-3</v>
      </c>
      <c r="S341" s="573">
        <f t="shared" si="41"/>
        <v>0</v>
      </c>
      <c r="T341" s="573">
        <f t="shared" si="41"/>
        <v>8.9999999999999998E-4</v>
      </c>
      <c r="U341" s="574">
        <f>SUM(R341:T341)</f>
        <v>2.5000000000000001E-3</v>
      </c>
    </row>
    <row r="342" spans="1:21" outlineLevel="1" x14ac:dyDescent="0.25">
      <c r="F342" s="422"/>
      <c r="G342" s="422"/>
      <c r="H342" s="422"/>
      <c r="I342" s="422"/>
    </row>
    <row r="343" spans="1:21" outlineLevel="1" x14ac:dyDescent="0.25">
      <c r="A343" s="575" t="s">
        <v>143</v>
      </c>
      <c r="F343" s="764"/>
      <c r="G343" s="764"/>
      <c r="H343" s="764"/>
      <c r="I343" s="764"/>
      <c r="J343" s="764"/>
      <c r="K343" s="764"/>
      <c r="L343" s="764"/>
      <c r="M343" s="764"/>
      <c r="N343" s="764"/>
      <c r="O343" s="764"/>
      <c r="P343" s="764"/>
      <c r="Q343" s="764"/>
      <c r="R343" s="764"/>
      <c r="S343" s="764"/>
      <c r="T343" s="764"/>
      <c r="U343" s="764"/>
    </row>
    <row r="344" spans="1:21" outlineLevel="1" x14ac:dyDescent="0.25">
      <c r="B344" s="558"/>
      <c r="C344" s="559"/>
      <c r="D344" s="559"/>
      <c r="E344" s="559" t="s">
        <v>319</v>
      </c>
      <c r="F344" s="568"/>
      <c r="G344" s="569"/>
      <c r="H344" s="569"/>
      <c r="I344" s="570"/>
      <c r="J344" s="568"/>
      <c r="K344" s="569"/>
      <c r="L344" s="569"/>
      <c r="M344" s="570"/>
      <c r="N344" s="568"/>
      <c r="O344" s="569"/>
      <c r="P344" s="569"/>
      <c r="Q344" s="570"/>
      <c r="R344" s="568"/>
      <c r="S344" s="569"/>
      <c r="T344" s="569"/>
      <c r="U344" s="570"/>
    </row>
    <row r="345" spans="1:21" outlineLevel="1" x14ac:dyDescent="0.25">
      <c r="B345" s="560"/>
      <c r="C345" s="561" t="s">
        <v>382</v>
      </c>
      <c r="D345" s="561"/>
      <c r="E345" s="561" t="s">
        <v>291</v>
      </c>
      <c r="F345" s="681">
        <f>'DUoS (t)'!$G$113*1</f>
        <v>0</v>
      </c>
      <c r="G345" s="571">
        <f>'TUoS (t)'!$G$113*1</f>
        <v>0</v>
      </c>
      <c r="H345" s="571">
        <f>'JSO (t)'!$G$113*1</f>
        <v>0</v>
      </c>
      <c r="I345" s="682">
        <f>SUM(F345:H345)</f>
        <v>0</v>
      </c>
      <c r="J345" s="752"/>
      <c r="K345" s="751">
        <f>-G345</f>
        <v>0</v>
      </c>
      <c r="L345" s="751"/>
      <c r="M345" s="682">
        <f>SUM(J345:L345)</f>
        <v>0</v>
      </c>
      <c r="N345" s="752"/>
      <c r="O345" s="751">
        <v>6494.83</v>
      </c>
      <c r="P345" s="751"/>
      <c r="Q345" s="682">
        <f>SUM(N345:P345)</f>
        <v>6494.83</v>
      </c>
      <c r="R345" s="681">
        <f t="shared" ref="R345:T348" si="42">SUM(F345,J345,N345)</f>
        <v>0</v>
      </c>
      <c r="S345" s="571">
        <f t="shared" si="42"/>
        <v>6494.83</v>
      </c>
      <c r="T345" s="571">
        <f t="shared" si="42"/>
        <v>0</v>
      </c>
      <c r="U345" s="682">
        <f>SUM(R345:T345)</f>
        <v>6494.83</v>
      </c>
    </row>
    <row r="346" spans="1:21" outlineLevel="1" x14ac:dyDescent="0.25">
      <c r="B346" s="560"/>
      <c r="C346" s="561" t="s">
        <v>383</v>
      </c>
      <c r="D346" s="561">
        <v>4</v>
      </c>
      <c r="E346" s="561" t="s">
        <v>298</v>
      </c>
      <c r="F346" s="681">
        <f>'DUoS (t)'!$S$113</f>
        <v>0</v>
      </c>
      <c r="G346" s="571">
        <f>'TUoS (t)'!$S$113</f>
        <v>0.10829999999999999</v>
      </c>
      <c r="H346" s="571">
        <f>'JSO (t)'!$S$113</f>
        <v>0</v>
      </c>
      <c r="I346" s="682">
        <f>SUM(F346:H346)</f>
        <v>0.10829999999999999</v>
      </c>
      <c r="J346" s="752"/>
      <c r="K346" s="751">
        <f>-G346</f>
        <v>-0.10829999999999999</v>
      </c>
      <c r="L346" s="751"/>
      <c r="M346" s="682">
        <f>SUM(J346:L346)</f>
        <v>-0.10829999999999999</v>
      </c>
      <c r="N346" s="752"/>
      <c r="O346" s="751"/>
      <c r="P346" s="751"/>
      <c r="Q346" s="682">
        <f>SUM(N346:P346)</f>
        <v>0</v>
      </c>
      <c r="R346" s="681">
        <f t="shared" si="42"/>
        <v>0</v>
      </c>
      <c r="S346" s="571">
        <f t="shared" si="42"/>
        <v>0</v>
      </c>
      <c r="T346" s="571">
        <f t="shared" si="42"/>
        <v>0</v>
      </c>
      <c r="U346" s="682">
        <f>SUM(R346:T346)</f>
        <v>0</v>
      </c>
    </row>
    <row r="347" spans="1:21" outlineLevel="1" x14ac:dyDescent="0.25">
      <c r="B347" s="560"/>
      <c r="C347" s="561" t="s">
        <v>384</v>
      </c>
      <c r="D347" s="561">
        <v>4</v>
      </c>
      <c r="E347" s="561" t="s">
        <v>298</v>
      </c>
      <c r="F347" s="681">
        <f>'DUoS (t)'!$T$113</f>
        <v>4.1399999999999999E-2</v>
      </c>
      <c r="G347" s="571">
        <f>'TUoS (t)'!$T$113</f>
        <v>0</v>
      </c>
      <c r="H347" s="571">
        <f>'JSO (t)'!$T$113</f>
        <v>0</v>
      </c>
      <c r="I347" s="682">
        <f>SUM(F347:H347)</f>
        <v>4.1399999999999999E-2</v>
      </c>
      <c r="J347" s="752"/>
      <c r="K347" s="751">
        <f>-G347</f>
        <v>0</v>
      </c>
      <c r="L347" s="751"/>
      <c r="M347" s="682">
        <f>SUM(J347:L347)</f>
        <v>0</v>
      </c>
      <c r="N347" s="752"/>
      <c r="O347" s="751"/>
      <c r="P347" s="751"/>
      <c r="Q347" s="682">
        <f>SUM(N347:P347)</f>
        <v>0</v>
      </c>
      <c r="R347" s="681">
        <f t="shared" si="42"/>
        <v>4.1399999999999999E-2</v>
      </c>
      <c r="S347" s="571">
        <f t="shared" si="42"/>
        <v>0</v>
      </c>
      <c r="T347" s="571">
        <f t="shared" si="42"/>
        <v>0</v>
      </c>
      <c r="U347" s="682">
        <f>SUM(R347:T347)</f>
        <v>4.1399999999999999E-2</v>
      </c>
    </row>
    <row r="348" spans="1:21" outlineLevel="1" x14ac:dyDescent="0.25">
      <c r="B348" s="562"/>
      <c r="C348" s="563" t="s">
        <v>297</v>
      </c>
      <c r="D348" s="563"/>
      <c r="E348" s="563" t="s">
        <v>292</v>
      </c>
      <c r="F348" s="572">
        <f>'DUoS (t)'!$H$113</f>
        <v>1.6000000000000001E-3</v>
      </c>
      <c r="G348" s="573">
        <f>'TUoS (t)'!$H$113</f>
        <v>8.2000000000000007E-3</v>
      </c>
      <c r="H348" s="573">
        <f>'JSO (t)'!$H$113</f>
        <v>8.9999999999999998E-4</v>
      </c>
      <c r="I348" s="574">
        <f>SUM(F348:H348)</f>
        <v>1.0700000000000001E-2</v>
      </c>
      <c r="J348" s="576"/>
      <c r="K348" s="577">
        <f>-G348</f>
        <v>-8.2000000000000007E-3</v>
      </c>
      <c r="L348" s="577"/>
      <c r="M348" s="574">
        <f>SUM(J348:L348)</f>
        <v>-8.2000000000000007E-3</v>
      </c>
      <c r="N348" s="576"/>
      <c r="O348" s="577"/>
      <c r="P348" s="577"/>
      <c r="Q348" s="574">
        <f>SUM(N348:P348)</f>
        <v>0</v>
      </c>
      <c r="R348" s="572">
        <f t="shared" si="42"/>
        <v>1.6000000000000001E-3</v>
      </c>
      <c r="S348" s="573">
        <f t="shared" si="42"/>
        <v>0</v>
      </c>
      <c r="T348" s="573">
        <f t="shared" si="42"/>
        <v>8.9999999999999998E-4</v>
      </c>
      <c r="U348" s="574">
        <f>SUM(R348:T348)</f>
        <v>2.5000000000000001E-3</v>
      </c>
    </row>
    <row r="349" spans="1:21" outlineLevel="1" x14ac:dyDescent="0.25">
      <c r="F349" s="422"/>
      <c r="G349" s="422"/>
      <c r="H349" s="422"/>
      <c r="I349" s="422"/>
    </row>
    <row r="350" spans="1:21" outlineLevel="1" x14ac:dyDescent="0.25">
      <c r="A350" s="575" t="s">
        <v>144</v>
      </c>
      <c r="F350" s="764"/>
      <c r="G350" s="764"/>
      <c r="H350" s="764"/>
      <c r="I350" s="764"/>
      <c r="J350" s="764"/>
      <c r="K350" s="764"/>
      <c r="L350" s="764"/>
      <c r="M350" s="764"/>
      <c r="N350" s="764"/>
      <c r="O350" s="764"/>
      <c r="P350" s="764"/>
      <c r="Q350" s="764"/>
      <c r="R350" s="764"/>
      <c r="S350" s="764"/>
      <c r="T350" s="764"/>
      <c r="U350" s="764"/>
    </row>
    <row r="351" spans="1:21" outlineLevel="1" x14ac:dyDescent="0.25">
      <c r="B351" s="558"/>
      <c r="C351" s="559"/>
      <c r="D351" s="559"/>
      <c r="E351" s="559" t="s">
        <v>319</v>
      </c>
      <c r="F351" s="568"/>
      <c r="G351" s="569"/>
      <c r="H351" s="569"/>
      <c r="I351" s="570"/>
      <c r="J351" s="568"/>
      <c r="K351" s="569"/>
      <c r="L351" s="569"/>
      <c r="M351" s="570"/>
      <c r="N351" s="568"/>
      <c r="O351" s="569"/>
      <c r="P351" s="569"/>
      <c r="Q351" s="570"/>
      <c r="R351" s="568"/>
      <c r="S351" s="569"/>
      <c r="T351" s="569"/>
      <c r="U351" s="570"/>
    </row>
    <row r="352" spans="1:21" outlineLevel="1" x14ac:dyDescent="0.25">
      <c r="B352" s="560"/>
      <c r="C352" s="561" t="s">
        <v>382</v>
      </c>
      <c r="D352" s="561"/>
      <c r="E352" s="561" t="s">
        <v>291</v>
      </c>
      <c r="F352" s="681">
        <f>'DUoS (t)'!$G$113*1</f>
        <v>0</v>
      </c>
      <c r="G352" s="571">
        <f>'TUoS (t)'!$G$113*1</f>
        <v>0</v>
      </c>
      <c r="H352" s="571">
        <f>'JSO (t)'!$G$113*1</f>
        <v>0</v>
      </c>
      <c r="I352" s="682">
        <f>SUM(F352:H352)</f>
        <v>0</v>
      </c>
      <c r="J352" s="752"/>
      <c r="K352" s="751">
        <f>-G352</f>
        <v>0</v>
      </c>
      <c r="L352" s="751"/>
      <c r="M352" s="682">
        <f>SUM(J352:L352)</f>
        <v>0</v>
      </c>
      <c r="N352" s="752"/>
      <c r="O352" s="751">
        <v>73.2</v>
      </c>
      <c r="P352" s="751"/>
      <c r="Q352" s="682">
        <f>SUM(N352:P352)</f>
        <v>73.2</v>
      </c>
      <c r="R352" s="681">
        <f t="shared" ref="R352:T355" si="43">SUM(F352,J352,N352)</f>
        <v>0</v>
      </c>
      <c r="S352" s="571">
        <f t="shared" si="43"/>
        <v>73.2</v>
      </c>
      <c r="T352" s="571">
        <f t="shared" si="43"/>
        <v>0</v>
      </c>
      <c r="U352" s="682">
        <f>SUM(R352:T352)</f>
        <v>73.2</v>
      </c>
    </row>
    <row r="353" spans="1:21" outlineLevel="1" x14ac:dyDescent="0.25">
      <c r="B353" s="560"/>
      <c r="C353" s="561" t="s">
        <v>383</v>
      </c>
      <c r="D353" s="561">
        <v>4</v>
      </c>
      <c r="E353" s="561" t="s">
        <v>298</v>
      </c>
      <c r="F353" s="681">
        <f>'DUoS (t)'!$S$113</f>
        <v>0</v>
      </c>
      <c r="G353" s="571">
        <f>'TUoS (t)'!$S$113</f>
        <v>0.10829999999999999</v>
      </c>
      <c r="H353" s="571">
        <f>'JSO (t)'!$S$113</f>
        <v>0</v>
      </c>
      <c r="I353" s="682">
        <f>SUM(F353:H353)</f>
        <v>0.10829999999999999</v>
      </c>
      <c r="J353" s="752"/>
      <c r="K353" s="751">
        <f>-G353</f>
        <v>-0.10829999999999999</v>
      </c>
      <c r="L353" s="751"/>
      <c r="M353" s="682">
        <f>SUM(J353:L353)</f>
        <v>-0.10829999999999999</v>
      </c>
      <c r="N353" s="752"/>
      <c r="O353" s="751">
        <v>0.1951</v>
      </c>
      <c r="P353" s="751"/>
      <c r="Q353" s="682">
        <f>SUM(N353:P353)</f>
        <v>0.1951</v>
      </c>
      <c r="R353" s="681">
        <f t="shared" si="43"/>
        <v>0</v>
      </c>
      <c r="S353" s="571">
        <f t="shared" si="43"/>
        <v>0.1951</v>
      </c>
      <c r="T353" s="571">
        <f t="shared" si="43"/>
        <v>0</v>
      </c>
      <c r="U353" s="682">
        <f>SUM(R353:T353)</f>
        <v>0.1951</v>
      </c>
    </row>
    <row r="354" spans="1:21" outlineLevel="1" x14ac:dyDescent="0.25">
      <c r="B354" s="560"/>
      <c r="C354" s="561" t="s">
        <v>384</v>
      </c>
      <c r="D354" s="561">
        <v>4</v>
      </c>
      <c r="E354" s="561" t="s">
        <v>298</v>
      </c>
      <c r="F354" s="681">
        <f>'DUoS (t)'!$T$113</f>
        <v>4.1399999999999999E-2</v>
      </c>
      <c r="G354" s="571">
        <f>'TUoS (t)'!$T$113</f>
        <v>0</v>
      </c>
      <c r="H354" s="571">
        <f>'JSO (t)'!$T$113</f>
        <v>0</v>
      </c>
      <c r="I354" s="682">
        <f>SUM(F354:H354)</f>
        <v>4.1399999999999999E-2</v>
      </c>
      <c r="J354" s="752"/>
      <c r="K354" s="751">
        <f>-G354</f>
        <v>0</v>
      </c>
      <c r="L354" s="751"/>
      <c r="M354" s="682">
        <f>SUM(J354:L354)</f>
        <v>0</v>
      </c>
      <c r="N354" s="752"/>
      <c r="O354" s="751"/>
      <c r="P354" s="751"/>
      <c r="Q354" s="682">
        <f>SUM(N354:P354)</f>
        <v>0</v>
      </c>
      <c r="R354" s="681">
        <f t="shared" si="43"/>
        <v>4.1399999999999999E-2</v>
      </c>
      <c r="S354" s="571">
        <f t="shared" si="43"/>
        <v>0</v>
      </c>
      <c r="T354" s="571">
        <f t="shared" si="43"/>
        <v>0</v>
      </c>
      <c r="U354" s="682">
        <f>SUM(R354:T354)</f>
        <v>4.1399999999999999E-2</v>
      </c>
    </row>
    <row r="355" spans="1:21" outlineLevel="1" x14ac:dyDescent="0.25">
      <c r="B355" s="562"/>
      <c r="C355" s="563" t="s">
        <v>297</v>
      </c>
      <c r="D355" s="563"/>
      <c r="E355" s="563" t="s">
        <v>292</v>
      </c>
      <c r="F355" s="572">
        <f>'DUoS (t)'!$H$113</f>
        <v>1.6000000000000001E-3</v>
      </c>
      <c r="G355" s="573">
        <f>'TUoS (t)'!$H$113</f>
        <v>8.2000000000000007E-3</v>
      </c>
      <c r="H355" s="573">
        <f>'JSO (t)'!$H$113</f>
        <v>8.9999999999999998E-4</v>
      </c>
      <c r="I355" s="574">
        <f>SUM(F355:H355)</f>
        <v>1.0700000000000001E-2</v>
      </c>
      <c r="J355" s="576"/>
      <c r="K355" s="577">
        <f>-G355</f>
        <v>-8.2000000000000007E-3</v>
      </c>
      <c r="L355" s="577"/>
      <c r="M355" s="574">
        <f>SUM(J355:L355)</f>
        <v>-8.2000000000000007E-3</v>
      </c>
      <c r="N355" s="576"/>
      <c r="O355" s="577"/>
      <c r="P355" s="577"/>
      <c r="Q355" s="574">
        <f>SUM(N355:P355)</f>
        <v>0</v>
      </c>
      <c r="R355" s="572">
        <f t="shared" si="43"/>
        <v>1.6000000000000001E-3</v>
      </c>
      <c r="S355" s="573">
        <f t="shared" si="43"/>
        <v>0</v>
      </c>
      <c r="T355" s="573">
        <f t="shared" si="43"/>
        <v>8.9999999999999998E-4</v>
      </c>
      <c r="U355" s="574">
        <f>SUM(R355:T355)</f>
        <v>2.5000000000000001E-3</v>
      </c>
    </row>
    <row r="356" spans="1:21" outlineLevel="1" x14ac:dyDescent="0.25">
      <c r="F356" s="422"/>
      <c r="G356" s="422"/>
      <c r="H356" s="422"/>
      <c r="I356" s="422"/>
    </row>
    <row r="357" spans="1:21" outlineLevel="1" x14ac:dyDescent="0.25">
      <c r="A357" s="575" t="s">
        <v>145</v>
      </c>
      <c r="F357" s="764"/>
      <c r="G357" s="764"/>
      <c r="H357" s="764"/>
      <c r="I357" s="764"/>
      <c r="J357" s="764"/>
      <c r="K357" s="764"/>
      <c r="L357" s="764"/>
      <c r="M357" s="764"/>
      <c r="N357" s="764"/>
      <c r="O357" s="764"/>
      <c r="P357" s="764"/>
      <c r="Q357" s="764"/>
      <c r="R357" s="764"/>
      <c r="S357" s="764"/>
      <c r="T357" s="764"/>
      <c r="U357" s="764"/>
    </row>
    <row r="358" spans="1:21" outlineLevel="1" x14ac:dyDescent="0.25">
      <c r="B358" s="558"/>
      <c r="C358" s="559"/>
      <c r="D358" s="559"/>
      <c r="E358" s="559" t="s">
        <v>319</v>
      </c>
      <c r="F358" s="568"/>
      <c r="G358" s="569"/>
      <c r="H358" s="569"/>
      <c r="I358" s="570"/>
      <c r="J358" s="568"/>
      <c r="K358" s="569"/>
      <c r="L358" s="569"/>
      <c r="M358" s="570"/>
      <c r="N358" s="568"/>
      <c r="O358" s="569"/>
      <c r="P358" s="569"/>
      <c r="Q358" s="570"/>
      <c r="R358" s="568"/>
      <c r="S358" s="569"/>
      <c r="T358" s="569"/>
      <c r="U358" s="570"/>
    </row>
    <row r="359" spans="1:21" outlineLevel="1" x14ac:dyDescent="0.25">
      <c r="B359" s="560"/>
      <c r="C359" s="561" t="s">
        <v>382</v>
      </c>
      <c r="D359" s="561"/>
      <c r="E359" s="561" t="s">
        <v>291</v>
      </c>
      <c r="F359" s="681">
        <f>'DUoS (t)'!$G$113*1</f>
        <v>0</v>
      </c>
      <c r="G359" s="571">
        <f>'TUoS (t)'!$G$113*1</f>
        <v>0</v>
      </c>
      <c r="H359" s="571">
        <f>'JSO (t)'!$G$113*1</f>
        <v>0</v>
      </c>
      <c r="I359" s="682">
        <f>SUM(F359:H359)</f>
        <v>0</v>
      </c>
      <c r="J359" s="752"/>
      <c r="K359" s="751">
        <f>-G359</f>
        <v>0</v>
      </c>
      <c r="L359" s="751"/>
      <c r="M359" s="682">
        <f>SUM(J359:L359)</f>
        <v>0</v>
      </c>
      <c r="N359" s="752"/>
      <c r="O359" s="751">
        <v>334.3</v>
      </c>
      <c r="P359" s="751"/>
      <c r="Q359" s="682">
        <f>SUM(N359:P359)</f>
        <v>334.3</v>
      </c>
      <c r="R359" s="681">
        <f t="shared" ref="R359:T362" si="44">SUM(F359,J359,N359)</f>
        <v>0</v>
      </c>
      <c r="S359" s="571">
        <f t="shared" si="44"/>
        <v>334.3</v>
      </c>
      <c r="T359" s="571">
        <f t="shared" si="44"/>
        <v>0</v>
      </c>
      <c r="U359" s="682">
        <f>SUM(R359:T359)</f>
        <v>334.3</v>
      </c>
    </row>
    <row r="360" spans="1:21" outlineLevel="1" x14ac:dyDescent="0.25">
      <c r="B360" s="560"/>
      <c r="C360" s="561" t="s">
        <v>383</v>
      </c>
      <c r="D360" s="561">
        <v>4</v>
      </c>
      <c r="E360" s="561" t="s">
        <v>298</v>
      </c>
      <c r="F360" s="681">
        <f>'DUoS (t)'!$S$113</f>
        <v>0</v>
      </c>
      <c r="G360" s="571">
        <f>'TUoS (t)'!$S$113</f>
        <v>0.10829999999999999</v>
      </c>
      <c r="H360" s="571">
        <f>'JSO (t)'!$S$113</f>
        <v>0</v>
      </c>
      <c r="I360" s="682">
        <f>SUM(F360:H360)</f>
        <v>0.10829999999999999</v>
      </c>
      <c r="J360" s="752"/>
      <c r="K360" s="751">
        <f>-G360</f>
        <v>-0.10829999999999999</v>
      </c>
      <c r="L360" s="751"/>
      <c r="M360" s="682">
        <f>SUM(J360:L360)</f>
        <v>-0.10829999999999999</v>
      </c>
      <c r="N360" s="752"/>
      <c r="O360" s="751">
        <v>0.2432</v>
      </c>
      <c r="P360" s="751"/>
      <c r="Q360" s="682">
        <f>SUM(N360:P360)</f>
        <v>0.2432</v>
      </c>
      <c r="R360" s="681">
        <f t="shared" si="44"/>
        <v>0</v>
      </c>
      <c r="S360" s="571">
        <f t="shared" si="44"/>
        <v>0.2432</v>
      </c>
      <c r="T360" s="571">
        <f t="shared" si="44"/>
        <v>0</v>
      </c>
      <c r="U360" s="682">
        <f>SUM(R360:T360)</f>
        <v>0.2432</v>
      </c>
    </row>
    <row r="361" spans="1:21" outlineLevel="1" x14ac:dyDescent="0.25">
      <c r="B361" s="560"/>
      <c r="C361" s="561" t="s">
        <v>384</v>
      </c>
      <c r="D361" s="561">
        <v>4</v>
      </c>
      <c r="E361" s="561" t="s">
        <v>298</v>
      </c>
      <c r="F361" s="681">
        <f>'DUoS (t)'!$T$113</f>
        <v>4.1399999999999999E-2</v>
      </c>
      <c r="G361" s="571">
        <f>'TUoS (t)'!$T$113</f>
        <v>0</v>
      </c>
      <c r="H361" s="571">
        <f>'JSO (t)'!$T$113</f>
        <v>0</v>
      </c>
      <c r="I361" s="682">
        <f>SUM(F361:H361)</f>
        <v>4.1399999999999999E-2</v>
      </c>
      <c r="J361" s="752"/>
      <c r="K361" s="751">
        <f>-G361</f>
        <v>0</v>
      </c>
      <c r="L361" s="751"/>
      <c r="M361" s="682">
        <f>SUM(J361:L361)</f>
        <v>0</v>
      </c>
      <c r="N361" s="752"/>
      <c r="O361" s="751"/>
      <c r="P361" s="751"/>
      <c r="Q361" s="682">
        <f>SUM(N361:P361)</f>
        <v>0</v>
      </c>
      <c r="R361" s="681">
        <f t="shared" si="44"/>
        <v>4.1399999999999999E-2</v>
      </c>
      <c r="S361" s="571">
        <f t="shared" si="44"/>
        <v>0</v>
      </c>
      <c r="T361" s="571">
        <f t="shared" si="44"/>
        <v>0</v>
      </c>
      <c r="U361" s="682">
        <f>SUM(R361:T361)</f>
        <v>4.1399999999999999E-2</v>
      </c>
    </row>
    <row r="362" spans="1:21" outlineLevel="1" x14ac:dyDescent="0.25">
      <c r="B362" s="562"/>
      <c r="C362" s="563" t="s">
        <v>297</v>
      </c>
      <c r="D362" s="563"/>
      <c r="E362" s="563" t="s">
        <v>292</v>
      </c>
      <c r="F362" s="572">
        <f>'DUoS (t)'!$H$113</f>
        <v>1.6000000000000001E-3</v>
      </c>
      <c r="G362" s="573">
        <f>'TUoS (t)'!$H$113</f>
        <v>8.2000000000000007E-3</v>
      </c>
      <c r="H362" s="573">
        <f>'JSO (t)'!$H$113</f>
        <v>8.9999999999999998E-4</v>
      </c>
      <c r="I362" s="574">
        <f>SUM(F362:H362)</f>
        <v>1.0700000000000001E-2</v>
      </c>
      <c r="J362" s="576"/>
      <c r="K362" s="577">
        <f>-G362</f>
        <v>-8.2000000000000007E-3</v>
      </c>
      <c r="L362" s="577"/>
      <c r="M362" s="574">
        <f>SUM(J362:L362)</f>
        <v>-8.2000000000000007E-3</v>
      </c>
      <c r="N362" s="576"/>
      <c r="O362" s="577"/>
      <c r="P362" s="577"/>
      <c r="Q362" s="574">
        <f>SUM(N362:P362)</f>
        <v>0</v>
      </c>
      <c r="R362" s="572">
        <f t="shared" si="44"/>
        <v>1.6000000000000001E-3</v>
      </c>
      <c r="S362" s="573">
        <f t="shared" si="44"/>
        <v>0</v>
      </c>
      <c r="T362" s="573">
        <f t="shared" si="44"/>
        <v>8.9999999999999998E-4</v>
      </c>
      <c r="U362" s="574">
        <f>SUM(R362:T362)</f>
        <v>2.5000000000000001E-3</v>
      </c>
    </row>
    <row r="363" spans="1:21" outlineLevel="1" x14ac:dyDescent="0.25">
      <c r="F363" s="422"/>
      <c r="G363" s="422"/>
      <c r="H363" s="422"/>
      <c r="I363" s="422"/>
    </row>
    <row r="364" spans="1:21" outlineLevel="1" x14ac:dyDescent="0.25">
      <c r="A364" s="575" t="s">
        <v>146</v>
      </c>
      <c r="F364" s="764"/>
      <c r="G364" s="764"/>
      <c r="H364" s="764"/>
      <c r="I364" s="764"/>
      <c r="J364" s="764"/>
      <c r="K364" s="764"/>
      <c r="L364" s="764"/>
      <c r="M364" s="764"/>
      <c r="N364" s="764"/>
      <c r="O364" s="764"/>
      <c r="P364" s="764"/>
      <c r="Q364" s="764"/>
      <c r="R364" s="764"/>
      <c r="S364" s="764"/>
      <c r="T364" s="764"/>
      <c r="U364" s="764"/>
    </row>
    <row r="365" spans="1:21" outlineLevel="1" x14ac:dyDescent="0.25">
      <c r="B365" s="558"/>
      <c r="C365" s="559"/>
      <c r="D365" s="559"/>
      <c r="E365" s="559" t="s">
        <v>319</v>
      </c>
      <c r="F365" s="568"/>
      <c r="G365" s="569"/>
      <c r="H365" s="569"/>
      <c r="I365" s="570"/>
      <c r="J365" s="568"/>
      <c r="K365" s="569"/>
      <c r="L365" s="569"/>
      <c r="M365" s="570"/>
      <c r="N365" s="568"/>
      <c r="O365" s="569"/>
      <c r="P365" s="569"/>
      <c r="Q365" s="570"/>
      <c r="R365" s="568"/>
      <c r="S365" s="569"/>
      <c r="T365" s="569"/>
      <c r="U365" s="570"/>
    </row>
    <row r="366" spans="1:21" outlineLevel="1" x14ac:dyDescent="0.25">
      <c r="B366" s="560"/>
      <c r="C366" s="561" t="s">
        <v>382</v>
      </c>
      <c r="D366" s="561"/>
      <c r="E366" s="561" t="s">
        <v>291</v>
      </c>
      <c r="F366" s="681">
        <f>'DUoS (t)'!$G$113*1</f>
        <v>0</v>
      </c>
      <c r="G366" s="571">
        <f>'TUoS (t)'!$G$113*1</f>
        <v>0</v>
      </c>
      <c r="H366" s="571">
        <f>'JSO (t)'!$G$113*1</f>
        <v>0</v>
      </c>
      <c r="I366" s="682">
        <f>SUM(F366:H366)</f>
        <v>0</v>
      </c>
      <c r="J366" s="752"/>
      <c r="K366" s="751">
        <f>-G366</f>
        <v>0</v>
      </c>
      <c r="L366" s="751"/>
      <c r="M366" s="682">
        <f>SUM(J366:L366)</f>
        <v>0</v>
      </c>
      <c r="N366" s="752"/>
      <c r="O366" s="751">
        <v>440</v>
      </c>
      <c r="P366" s="751"/>
      <c r="Q366" s="682">
        <f>SUM(N366:P366)</f>
        <v>440</v>
      </c>
      <c r="R366" s="681">
        <f t="shared" ref="R366:T369" si="45">SUM(F366,J366,N366)</f>
        <v>0</v>
      </c>
      <c r="S366" s="571">
        <f t="shared" si="45"/>
        <v>440</v>
      </c>
      <c r="T366" s="571">
        <f t="shared" si="45"/>
        <v>0</v>
      </c>
      <c r="U366" s="682">
        <f>SUM(R366:T366)</f>
        <v>440</v>
      </c>
    </row>
    <row r="367" spans="1:21" outlineLevel="1" x14ac:dyDescent="0.25">
      <c r="B367" s="560"/>
      <c r="C367" s="561" t="s">
        <v>383</v>
      </c>
      <c r="D367" s="561">
        <v>4</v>
      </c>
      <c r="E367" s="561" t="s">
        <v>298</v>
      </c>
      <c r="F367" s="681">
        <f>'DUoS (t)'!$S$113</f>
        <v>0</v>
      </c>
      <c r="G367" s="571">
        <f>'TUoS (t)'!$S$113</f>
        <v>0.10829999999999999</v>
      </c>
      <c r="H367" s="571">
        <f>'JSO (t)'!$S$113</f>
        <v>0</v>
      </c>
      <c r="I367" s="682">
        <f>SUM(F367:H367)</f>
        <v>0.10829999999999999</v>
      </c>
      <c r="J367" s="752"/>
      <c r="K367" s="751">
        <f>-G367</f>
        <v>-0.10829999999999999</v>
      </c>
      <c r="L367" s="751"/>
      <c r="M367" s="682">
        <f>SUM(J367:L367)</f>
        <v>-0.10829999999999999</v>
      </c>
      <c r="N367" s="752"/>
      <c r="O367" s="751">
        <v>0.27689999999999998</v>
      </c>
      <c r="P367" s="751"/>
      <c r="Q367" s="682">
        <f>SUM(N367:P367)</f>
        <v>0.27689999999999998</v>
      </c>
      <c r="R367" s="681">
        <f t="shared" si="45"/>
        <v>0</v>
      </c>
      <c r="S367" s="571">
        <f t="shared" si="45"/>
        <v>0.27689999999999998</v>
      </c>
      <c r="T367" s="571">
        <f t="shared" si="45"/>
        <v>0</v>
      </c>
      <c r="U367" s="682">
        <f>SUM(R367:T367)</f>
        <v>0.27689999999999998</v>
      </c>
    </row>
    <row r="368" spans="1:21" outlineLevel="1" x14ac:dyDescent="0.25">
      <c r="B368" s="560"/>
      <c r="C368" s="561" t="s">
        <v>384</v>
      </c>
      <c r="D368" s="561">
        <v>4</v>
      </c>
      <c r="E368" s="561" t="s">
        <v>298</v>
      </c>
      <c r="F368" s="681">
        <f>'DUoS (t)'!$T$113</f>
        <v>4.1399999999999999E-2</v>
      </c>
      <c r="G368" s="571">
        <f>'TUoS (t)'!$T$113</f>
        <v>0</v>
      </c>
      <c r="H368" s="571">
        <f>'JSO (t)'!$T$113</f>
        <v>0</v>
      </c>
      <c r="I368" s="682">
        <f>SUM(F368:H368)</f>
        <v>4.1399999999999999E-2</v>
      </c>
      <c r="J368" s="752"/>
      <c r="K368" s="751">
        <f>-G368</f>
        <v>0</v>
      </c>
      <c r="L368" s="751"/>
      <c r="M368" s="682">
        <f>SUM(J368:L368)</f>
        <v>0</v>
      </c>
      <c r="N368" s="752"/>
      <c r="O368" s="751"/>
      <c r="P368" s="751"/>
      <c r="Q368" s="682">
        <f>SUM(N368:P368)</f>
        <v>0</v>
      </c>
      <c r="R368" s="681">
        <f t="shared" si="45"/>
        <v>4.1399999999999999E-2</v>
      </c>
      <c r="S368" s="571">
        <f t="shared" si="45"/>
        <v>0</v>
      </c>
      <c r="T368" s="571">
        <f t="shared" si="45"/>
        <v>0</v>
      </c>
      <c r="U368" s="682">
        <f>SUM(R368:T368)</f>
        <v>4.1399999999999999E-2</v>
      </c>
    </row>
    <row r="369" spans="1:21" outlineLevel="1" x14ac:dyDescent="0.25">
      <c r="B369" s="562"/>
      <c r="C369" s="563" t="s">
        <v>297</v>
      </c>
      <c r="D369" s="563"/>
      <c r="E369" s="563" t="s">
        <v>292</v>
      </c>
      <c r="F369" s="572">
        <f>'DUoS (t)'!$H$113</f>
        <v>1.6000000000000001E-3</v>
      </c>
      <c r="G369" s="573">
        <f>'TUoS (t)'!$H$113</f>
        <v>8.2000000000000007E-3</v>
      </c>
      <c r="H369" s="573">
        <f>'JSO (t)'!$H$113</f>
        <v>8.9999999999999998E-4</v>
      </c>
      <c r="I369" s="574">
        <f>SUM(F369:H369)</f>
        <v>1.0700000000000001E-2</v>
      </c>
      <c r="J369" s="576"/>
      <c r="K369" s="577">
        <f>-G369</f>
        <v>-8.2000000000000007E-3</v>
      </c>
      <c r="L369" s="577"/>
      <c r="M369" s="574">
        <f>SUM(J369:L369)</f>
        <v>-8.2000000000000007E-3</v>
      </c>
      <c r="N369" s="576"/>
      <c r="O369" s="577"/>
      <c r="P369" s="577"/>
      <c r="Q369" s="574">
        <f>SUM(N369:P369)</f>
        <v>0</v>
      </c>
      <c r="R369" s="572">
        <f t="shared" si="45"/>
        <v>1.6000000000000001E-3</v>
      </c>
      <c r="S369" s="573">
        <f t="shared" si="45"/>
        <v>0</v>
      </c>
      <c r="T369" s="573">
        <f t="shared" si="45"/>
        <v>8.9999999999999998E-4</v>
      </c>
      <c r="U369" s="574">
        <f>SUM(R369:T369)</f>
        <v>2.5000000000000001E-3</v>
      </c>
    </row>
    <row r="370" spans="1:21" outlineLevel="1" x14ac:dyDescent="0.25">
      <c r="F370" s="422"/>
      <c r="G370" s="422"/>
      <c r="H370" s="422"/>
      <c r="I370" s="422"/>
    </row>
    <row r="371" spans="1:21" outlineLevel="1" x14ac:dyDescent="0.25">
      <c r="A371" s="575" t="s">
        <v>147</v>
      </c>
      <c r="F371" s="764"/>
      <c r="G371" s="764"/>
      <c r="H371" s="764"/>
      <c r="I371" s="764"/>
      <c r="J371" s="764"/>
      <c r="K371" s="764"/>
      <c r="L371" s="764"/>
      <c r="M371" s="764"/>
      <c r="N371" s="764"/>
      <c r="O371" s="764"/>
      <c r="P371" s="764"/>
      <c r="Q371" s="764"/>
      <c r="R371" s="764"/>
      <c r="S371" s="764"/>
      <c r="T371" s="764"/>
      <c r="U371" s="764"/>
    </row>
    <row r="372" spans="1:21" outlineLevel="1" x14ac:dyDescent="0.25">
      <c r="B372" s="558"/>
      <c r="C372" s="559"/>
      <c r="D372" s="559"/>
      <c r="E372" s="559" t="s">
        <v>319</v>
      </c>
      <c r="F372" s="568"/>
      <c r="G372" s="569"/>
      <c r="H372" s="569"/>
      <c r="I372" s="570"/>
      <c r="J372" s="568"/>
      <c r="K372" s="569"/>
      <c r="L372" s="569"/>
      <c r="M372" s="570"/>
      <c r="N372" s="568"/>
      <c r="O372" s="569"/>
      <c r="P372" s="569"/>
      <c r="Q372" s="570"/>
      <c r="R372" s="568"/>
      <c r="S372" s="569"/>
      <c r="T372" s="569"/>
      <c r="U372" s="570"/>
    </row>
    <row r="373" spans="1:21" outlineLevel="1" x14ac:dyDescent="0.25">
      <c r="B373" s="560"/>
      <c r="C373" s="561" t="s">
        <v>382</v>
      </c>
      <c r="D373" s="561"/>
      <c r="E373" s="561" t="s">
        <v>291</v>
      </c>
      <c r="F373" s="681">
        <f>'DUoS (t)'!$G$113*1</f>
        <v>0</v>
      </c>
      <c r="G373" s="571">
        <f>'TUoS (t)'!$G$113*1</f>
        <v>0</v>
      </c>
      <c r="H373" s="571">
        <f>'JSO (t)'!$G$113*1</f>
        <v>0</v>
      </c>
      <c r="I373" s="682">
        <f>SUM(F373:H373)</f>
        <v>0</v>
      </c>
      <c r="J373" s="752"/>
      <c r="K373" s="751">
        <f>-G373</f>
        <v>0</v>
      </c>
      <c r="L373" s="751"/>
      <c r="M373" s="682">
        <f>SUM(J373:L373)</f>
        <v>0</v>
      </c>
      <c r="N373" s="752"/>
      <c r="O373" s="751">
        <v>3613.1</v>
      </c>
      <c r="P373" s="751"/>
      <c r="Q373" s="682">
        <f>SUM(N373:P373)</f>
        <v>3613.1</v>
      </c>
      <c r="R373" s="681">
        <f t="shared" ref="R373:T376" si="46">SUM(F373,J373,N373)</f>
        <v>0</v>
      </c>
      <c r="S373" s="571">
        <f t="shared" si="46"/>
        <v>3613.1</v>
      </c>
      <c r="T373" s="571">
        <f t="shared" si="46"/>
        <v>0</v>
      </c>
      <c r="U373" s="682">
        <f>SUM(R373:T373)</f>
        <v>3613.1</v>
      </c>
    </row>
    <row r="374" spans="1:21" outlineLevel="1" x14ac:dyDescent="0.25">
      <c r="B374" s="560"/>
      <c r="C374" s="561" t="s">
        <v>383</v>
      </c>
      <c r="D374" s="561">
        <v>4</v>
      </c>
      <c r="E374" s="561" t="s">
        <v>298</v>
      </c>
      <c r="F374" s="681">
        <f>'DUoS (t)'!$S$113</f>
        <v>0</v>
      </c>
      <c r="G374" s="571">
        <f>'TUoS (t)'!$S$113</f>
        <v>0.10829999999999999</v>
      </c>
      <c r="H374" s="571">
        <f>'JSO (t)'!$S$113</f>
        <v>0</v>
      </c>
      <c r="I374" s="682">
        <f>SUM(F374:H374)</f>
        <v>0.10829999999999999</v>
      </c>
      <c r="J374" s="752"/>
      <c r="K374" s="751">
        <f>-G374</f>
        <v>-0.10829999999999999</v>
      </c>
      <c r="L374" s="751"/>
      <c r="M374" s="682">
        <f>SUM(J374:L374)</f>
        <v>-0.10829999999999999</v>
      </c>
      <c r="N374" s="752"/>
      <c r="O374" s="751"/>
      <c r="P374" s="751"/>
      <c r="Q374" s="682">
        <f>SUM(N374:P374)</f>
        <v>0</v>
      </c>
      <c r="R374" s="681">
        <f t="shared" si="46"/>
        <v>0</v>
      </c>
      <c r="S374" s="571">
        <f t="shared" si="46"/>
        <v>0</v>
      </c>
      <c r="T374" s="571">
        <f t="shared" si="46"/>
        <v>0</v>
      </c>
      <c r="U374" s="682">
        <f>SUM(R374:T374)</f>
        <v>0</v>
      </c>
    </row>
    <row r="375" spans="1:21" outlineLevel="1" x14ac:dyDescent="0.25">
      <c r="B375" s="560"/>
      <c r="C375" s="561" t="s">
        <v>384</v>
      </c>
      <c r="D375" s="561">
        <v>4</v>
      </c>
      <c r="E375" s="561" t="s">
        <v>298</v>
      </c>
      <c r="F375" s="681">
        <f>'DUoS (t)'!$T$113</f>
        <v>4.1399999999999999E-2</v>
      </c>
      <c r="G375" s="571">
        <f>'TUoS (t)'!$T$113</f>
        <v>0</v>
      </c>
      <c r="H375" s="571">
        <f>'JSO (t)'!$T$113</f>
        <v>0</v>
      </c>
      <c r="I375" s="682">
        <f>SUM(F375:H375)</f>
        <v>4.1399999999999999E-2</v>
      </c>
      <c r="J375" s="752"/>
      <c r="K375" s="751">
        <f>-G375</f>
        <v>0</v>
      </c>
      <c r="L375" s="751"/>
      <c r="M375" s="682">
        <f>SUM(J375:L375)</f>
        <v>0</v>
      </c>
      <c r="N375" s="752"/>
      <c r="O375" s="751"/>
      <c r="P375" s="751"/>
      <c r="Q375" s="682">
        <f>SUM(N375:P375)</f>
        <v>0</v>
      </c>
      <c r="R375" s="681">
        <f t="shared" si="46"/>
        <v>4.1399999999999999E-2</v>
      </c>
      <c r="S375" s="571">
        <f t="shared" si="46"/>
        <v>0</v>
      </c>
      <c r="T375" s="571">
        <f t="shared" si="46"/>
        <v>0</v>
      </c>
      <c r="U375" s="682">
        <f>SUM(R375:T375)</f>
        <v>4.1399999999999999E-2</v>
      </c>
    </row>
    <row r="376" spans="1:21" outlineLevel="1" x14ac:dyDescent="0.25">
      <c r="B376" s="562"/>
      <c r="C376" s="563" t="s">
        <v>297</v>
      </c>
      <c r="D376" s="563"/>
      <c r="E376" s="563" t="s">
        <v>292</v>
      </c>
      <c r="F376" s="572">
        <f>'DUoS (t)'!$H$113</f>
        <v>1.6000000000000001E-3</v>
      </c>
      <c r="G376" s="573">
        <f>'TUoS (t)'!$H$113</f>
        <v>8.2000000000000007E-3</v>
      </c>
      <c r="H376" s="573">
        <f>'JSO (t)'!$H$113</f>
        <v>8.9999999999999998E-4</v>
      </c>
      <c r="I376" s="574">
        <f>SUM(F376:H376)</f>
        <v>1.0700000000000001E-2</v>
      </c>
      <c r="J376" s="576"/>
      <c r="K376" s="577">
        <f>-G376</f>
        <v>-8.2000000000000007E-3</v>
      </c>
      <c r="L376" s="577"/>
      <c r="M376" s="574">
        <f>SUM(J376:L376)</f>
        <v>-8.2000000000000007E-3</v>
      </c>
      <c r="N376" s="576"/>
      <c r="O376" s="577"/>
      <c r="P376" s="577"/>
      <c r="Q376" s="574">
        <f>SUM(N376:P376)</f>
        <v>0</v>
      </c>
      <c r="R376" s="572">
        <f t="shared" si="46"/>
        <v>1.6000000000000001E-3</v>
      </c>
      <c r="S376" s="573">
        <f t="shared" si="46"/>
        <v>0</v>
      </c>
      <c r="T376" s="573">
        <f t="shared" si="46"/>
        <v>8.9999999999999998E-4</v>
      </c>
      <c r="U376" s="574">
        <f>SUM(R376:T376)</f>
        <v>2.5000000000000001E-3</v>
      </c>
    </row>
    <row r="377" spans="1:21" outlineLevel="1" x14ac:dyDescent="0.25">
      <c r="F377" s="422"/>
      <c r="G377" s="422"/>
      <c r="H377" s="422"/>
      <c r="I377" s="422"/>
    </row>
    <row r="378" spans="1:21" outlineLevel="1" x14ac:dyDescent="0.25">
      <c r="A378" s="575" t="s">
        <v>148</v>
      </c>
      <c r="F378" s="764"/>
      <c r="G378" s="764"/>
      <c r="H378" s="764"/>
      <c r="I378" s="764"/>
      <c r="J378" s="764"/>
      <c r="K378" s="764"/>
      <c r="L378" s="764"/>
      <c r="M378" s="764"/>
      <c r="N378" s="764"/>
      <c r="O378" s="764"/>
      <c r="P378" s="764"/>
      <c r="Q378" s="764"/>
      <c r="R378" s="764"/>
      <c r="S378" s="764"/>
      <c r="T378" s="764"/>
      <c r="U378" s="764"/>
    </row>
    <row r="379" spans="1:21" outlineLevel="1" x14ac:dyDescent="0.25">
      <c r="B379" s="558"/>
      <c r="C379" s="559"/>
      <c r="D379" s="559"/>
      <c r="E379" s="559" t="s">
        <v>319</v>
      </c>
      <c r="F379" s="568"/>
      <c r="G379" s="569"/>
      <c r="H379" s="569"/>
      <c r="I379" s="570"/>
      <c r="J379" s="568"/>
      <c r="K379" s="569"/>
      <c r="L379" s="569"/>
      <c r="M379" s="570"/>
      <c r="N379" s="568"/>
      <c r="O379" s="569"/>
      <c r="P379" s="569"/>
      <c r="Q379" s="570"/>
      <c r="R379" s="568"/>
      <c r="S379" s="569"/>
      <c r="T379" s="569"/>
      <c r="U379" s="570"/>
    </row>
    <row r="380" spans="1:21" outlineLevel="1" x14ac:dyDescent="0.25">
      <c r="B380" s="560"/>
      <c r="C380" s="561" t="s">
        <v>382</v>
      </c>
      <c r="D380" s="561"/>
      <c r="E380" s="561" t="s">
        <v>291</v>
      </c>
      <c r="F380" s="681">
        <f>'DUoS (t)'!$G$113*1</f>
        <v>0</v>
      </c>
      <c r="G380" s="571">
        <f>'TUoS (t)'!$G$113*1</f>
        <v>0</v>
      </c>
      <c r="H380" s="571">
        <f>'JSO (t)'!$G$113*1</f>
        <v>0</v>
      </c>
      <c r="I380" s="682">
        <f>SUM(F380:H380)</f>
        <v>0</v>
      </c>
      <c r="J380" s="752"/>
      <c r="K380" s="751">
        <f>-G380</f>
        <v>0</v>
      </c>
      <c r="L380" s="751"/>
      <c r="M380" s="682">
        <f>SUM(J380:L380)</f>
        <v>0</v>
      </c>
      <c r="N380" s="752"/>
      <c r="O380" s="751">
        <v>1768.7</v>
      </c>
      <c r="P380" s="751"/>
      <c r="Q380" s="682">
        <f>SUM(N380:P380)</f>
        <v>1768.7</v>
      </c>
      <c r="R380" s="681">
        <f t="shared" ref="R380:T383" si="47">SUM(F380,J380,N380)</f>
        <v>0</v>
      </c>
      <c r="S380" s="571">
        <f t="shared" si="47"/>
        <v>1768.7</v>
      </c>
      <c r="T380" s="571">
        <f t="shared" si="47"/>
        <v>0</v>
      </c>
      <c r="U380" s="682">
        <f>SUM(R380:T380)</f>
        <v>1768.7</v>
      </c>
    </row>
    <row r="381" spans="1:21" outlineLevel="1" x14ac:dyDescent="0.25">
      <c r="B381" s="560"/>
      <c r="C381" s="561" t="s">
        <v>383</v>
      </c>
      <c r="D381" s="561">
        <v>4</v>
      </c>
      <c r="E381" s="561" t="s">
        <v>298</v>
      </c>
      <c r="F381" s="681">
        <f>'DUoS (t)'!$S$113</f>
        <v>0</v>
      </c>
      <c r="G381" s="571">
        <f>'TUoS (t)'!$S$113</f>
        <v>0.10829999999999999</v>
      </c>
      <c r="H381" s="571">
        <f>'JSO (t)'!$S$113</f>
        <v>0</v>
      </c>
      <c r="I381" s="682">
        <f>SUM(F381:H381)</f>
        <v>0.10829999999999999</v>
      </c>
      <c r="J381" s="752"/>
      <c r="K381" s="751">
        <f>-G381</f>
        <v>-0.10829999999999999</v>
      </c>
      <c r="L381" s="751"/>
      <c r="M381" s="682">
        <f>SUM(J381:L381)</f>
        <v>-0.10829999999999999</v>
      </c>
      <c r="N381" s="752"/>
      <c r="O381" s="751"/>
      <c r="P381" s="751"/>
      <c r="Q381" s="682">
        <f>SUM(N381:P381)</f>
        <v>0</v>
      </c>
      <c r="R381" s="681">
        <f t="shared" si="47"/>
        <v>0</v>
      </c>
      <c r="S381" s="571">
        <f t="shared" si="47"/>
        <v>0</v>
      </c>
      <c r="T381" s="571">
        <f t="shared" si="47"/>
        <v>0</v>
      </c>
      <c r="U381" s="682">
        <f>SUM(R381:T381)</f>
        <v>0</v>
      </c>
    </row>
    <row r="382" spans="1:21" outlineLevel="1" x14ac:dyDescent="0.25">
      <c r="B382" s="560"/>
      <c r="C382" s="561" t="s">
        <v>384</v>
      </c>
      <c r="D382" s="561">
        <v>4</v>
      </c>
      <c r="E382" s="561" t="s">
        <v>298</v>
      </c>
      <c r="F382" s="681">
        <f>'DUoS (t)'!$T$113</f>
        <v>4.1399999999999999E-2</v>
      </c>
      <c r="G382" s="571">
        <f>'TUoS (t)'!$T$113</f>
        <v>0</v>
      </c>
      <c r="H382" s="571">
        <f>'JSO (t)'!$T$113</f>
        <v>0</v>
      </c>
      <c r="I382" s="682">
        <f>SUM(F382:H382)</f>
        <v>4.1399999999999999E-2</v>
      </c>
      <c r="J382" s="752"/>
      <c r="K382" s="751">
        <f>-G382</f>
        <v>0</v>
      </c>
      <c r="L382" s="751"/>
      <c r="M382" s="682">
        <f>SUM(J382:L382)</f>
        <v>0</v>
      </c>
      <c r="N382" s="752"/>
      <c r="O382" s="751"/>
      <c r="P382" s="751"/>
      <c r="Q382" s="682">
        <f>SUM(N382:P382)</f>
        <v>0</v>
      </c>
      <c r="R382" s="681">
        <f t="shared" si="47"/>
        <v>4.1399999999999999E-2</v>
      </c>
      <c r="S382" s="571">
        <f t="shared" si="47"/>
        <v>0</v>
      </c>
      <c r="T382" s="571">
        <f t="shared" si="47"/>
        <v>0</v>
      </c>
      <c r="U382" s="682">
        <f>SUM(R382:T382)</f>
        <v>4.1399999999999999E-2</v>
      </c>
    </row>
    <row r="383" spans="1:21" outlineLevel="1" x14ac:dyDescent="0.25">
      <c r="B383" s="562"/>
      <c r="C383" s="563" t="s">
        <v>297</v>
      </c>
      <c r="D383" s="563"/>
      <c r="E383" s="563" t="s">
        <v>292</v>
      </c>
      <c r="F383" s="572">
        <f>'DUoS (t)'!$H$113</f>
        <v>1.6000000000000001E-3</v>
      </c>
      <c r="G383" s="573">
        <f>'TUoS (t)'!$H$113</f>
        <v>8.2000000000000007E-3</v>
      </c>
      <c r="H383" s="573">
        <f>'JSO (t)'!$H$113</f>
        <v>8.9999999999999998E-4</v>
      </c>
      <c r="I383" s="574">
        <f>SUM(F383:H383)</f>
        <v>1.0700000000000001E-2</v>
      </c>
      <c r="J383" s="576"/>
      <c r="K383" s="577">
        <f>-G383</f>
        <v>-8.2000000000000007E-3</v>
      </c>
      <c r="L383" s="577"/>
      <c r="M383" s="574">
        <f>SUM(J383:L383)</f>
        <v>-8.2000000000000007E-3</v>
      </c>
      <c r="N383" s="576"/>
      <c r="O383" s="577"/>
      <c r="P383" s="577"/>
      <c r="Q383" s="574">
        <f>SUM(N383:P383)</f>
        <v>0</v>
      </c>
      <c r="R383" s="572">
        <f t="shared" si="47"/>
        <v>1.6000000000000001E-3</v>
      </c>
      <c r="S383" s="573">
        <f t="shared" si="47"/>
        <v>0</v>
      </c>
      <c r="T383" s="573">
        <f t="shared" si="47"/>
        <v>8.9999999999999998E-4</v>
      </c>
      <c r="U383" s="574">
        <f>SUM(R383:T383)</f>
        <v>2.5000000000000001E-3</v>
      </c>
    </row>
    <row r="384" spans="1:21" outlineLevel="1" x14ac:dyDescent="0.25">
      <c r="B384" s="578"/>
      <c r="C384" s="578"/>
      <c r="D384" s="578"/>
      <c r="E384" s="578"/>
      <c r="F384" s="571"/>
      <c r="G384" s="571"/>
      <c r="H384" s="571"/>
      <c r="I384" s="571"/>
      <c r="J384" s="571"/>
      <c r="K384" s="571"/>
      <c r="L384" s="571"/>
      <c r="M384" s="571"/>
      <c r="N384" s="571"/>
      <c r="O384" s="571"/>
      <c r="P384" s="571"/>
      <c r="Q384" s="571"/>
      <c r="R384" s="571"/>
      <c r="S384" s="571"/>
      <c r="T384" s="571"/>
      <c r="U384" s="571"/>
    </row>
    <row r="385" spans="1:21" outlineLevel="1" x14ac:dyDescent="0.25">
      <c r="A385" s="575" t="s">
        <v>149</v>
      </c>
      <c r="F385" s="764"/>
      <c r="G385" s="764"/>
      <c r="H385" s="764"/>
      <c r="I385" s="764"/>
      <c r="J385" s="764"/>
      <c r="K385" s="764"/>
      <c r="L385" s="764"/>
      <c r="M385" s="764"/>
      <c r="N385" s="764"/>
      <c r="O385" s="764"/>
      <c r="P385" s="764"/>
      <c r="Q385" s="764"/>
      <c r="R385" s="764"/>
      <c r="S385" s="764"/>
      <c r="T385" s="764"/>
      <c r="U385" s="764"/>
    </row>
    <row r="386" spans="1:21" outlineLevel="1" x14ac:dyDescent="0.25">
      <c r="B386" s="558"/>
      <c r="C386" s="559"/>
      <c r="D386" s="559"/>
      <c r="E386" s="559" t="s">
        <v>319</v>
      </c>
      <c r="F386" s="568"/>
      <c r="G386" s="569"/>
      <c r="H386" s="569"/>
      <c r="I386" s="570"/>
      <c r="J386" s="568"/>
      <c r="K386" s="569"/>
      <c r="L386" s="569"/>
      <c r="M386" s="570"/>
      <c r="N386" s="568"/>
      <c r="O386" s="569"/>
      <c r="P386" s="569"/>
      <c r="Q386" s="570"/>
      <c r="R386" s="568"/>
      <c r="S386" s="569"/>
      <c r="T386" s="569"/>
      <c r="U386" s="570"/>
    </row>
    <row r="387" spans="1:21" outlineLevel="1" x14ac:dyDescent="0.25">
      <c r="B387" s="560"/>
      <c r="C387" s="561" t="s">
        <v>382</v>
      </c>
      <c r="D387" s="561"/>
      <c r="E387" s="561" t="s">
        <v>291</v>
      </c>
      <c r="F387" s="681">
        <f>'DUoS (t)'!$G$113*1</f>
        <v>0</v>
      </c>
      <c r="G387" s="571">
        <f>'TUoS (t)'!$G$113*1</f>
        <v>0</v>
      </c>
      <c r="H387" s="571">
        <f>'JSO (t)'!$G$113*1</f>
        <v>0</v>
      </c>
      <c r="I387" s="682">
        <f>SUM(F387:H387)</f>
        <v>0</v>
      </c>
      <c r="J387" s="752"/>
      <c r="K387" s="751">
        <f>-G387</f>
        <v>0</v>
      </c>
      <c r="L387" s="751"/>
      <c r="M387" s="682">
        <f>SUM(J387:L387)</f>
        <v>0</v>
      </c>
      <c r="N387" s="752"/>
      <c r="O387" s="751">
        <v>940.97</v>
      </c>
      <c r="P387" s="751"/>
      <c r="Q387" s="682">
        <f>SUM(N387:P387)</f>
        <v>940.97</v>
      </c>
      <c r="R387" s="681">
        <f t="shared" ref="R387:T390" si="48">SUM(F387,J387,N387)</f>
        <v>0</v>
      </c>
      <c r="S387" s="571">
        <f t="shared" si="48"/>
        <v>940.97</v>
      </c>
      <c r="T387" s="571">
        <f t="shared" si="48"/>
        <v>0</v>
      </c>
      <c r="U387" s="682">
        <f>SUM(R387:T387)</f>
        <v>940.97</v>
      </c>
    </row>
    <row r="388" spans="1:21" outlineLevel="1" x14ac:dyDescent="0.25">
      <c r="B388" s="560"/>
      <c r="C388" s="561" t="s">
        <v>383</v>
      </c>
      <c r="D388" s="561">
        <v>4</v>
      </c>
      <c r="E388" s="561" t="s">
        <v>298</v>
      </c>
      <c r="F388" s="681">
        <f>'DUoS (t)'!$S$113</f>
        <v>0</v>
      </c>
      <c r="G388" s="571">
        <f>'TUoS (t)'!$S$113</f>
        <v>0.10829999999999999</v>
      </c>
      <c r="H388" s="571">
        <f>'JSO (t)'!$S$113</f>
        <v>0</v>
      </c>
      <c r="I388" s="682">
        <f>SUM(F388:H388)</f>
        <v>0.10829999999999999</v>
      </c>
      <c r="J388" s="752"/>
      <c r="K388" s="751">
        <f>-G388</f>
        <v>-0.10829999999999999</v>
      </c>
      <c r="L388" s="751"/>
      <c r="M388" s="682">
        <f>SUM(J388:L388)</f>
        <v>-0.10829999999999999</v>
      </c>
      <c r="N388" s="752"/>
      <c r="O388" s="751"/>
      <c r="P388" s="751"/>
      <c r="Q388" s="682">
        <f>SUM(N388:P388)</f>
        <v>0</v>
      </c>
      <c r="R388" s="681">
        <f t="shared" si="48"/>
        <v>0</v>
      </c>
      <c r="S388" s="571">
        <f t="shared" si="48"/>
        <v>0</v>
      </c>
      <c r="T388" s="571">
        <f t="shared" si="48"/>
        <v>0</v>
      </c>
      <c r="U388" s="682">
        <f t="shared" ref="U388:U390" si="49">SUM(R388:T388)</f>
        <v>0</v>
      </c>
    </row>
    <row r="389" spans="1:21" outlineLevel="1" x14ac:dyDescent="0.25">
      <c r="B389" s="560"/>
      <c r="C389" s="561" t="s">
        <v>384</v>
      </c>
      <c r="D389" s="561">
        <v>4</v>
      </c>
      <c r="E389" s="561" t="s">
        <v>298</v>
      </c>
      <c r="F389" s="681">
        <f>'DUoS (t)'!$T$113</f>
        <v>4.1399999999999999E-2</v>
      </c>
      <c r="G389" s="571">
        <f>'TUoS (t)'!$T$113</f>
        <v>0</v>
      </c>
      <c r="H389" s="571">
        <f>'JSO (t)'!$T$113</f>
        <v>0</v>
      </c>
      <c r="I389" s="682">
        <f>SUM(F389:H389)</f>
        <v>4.1399999999999999E-2</v>
      </c>
      <c r="J389" s="752"/>
      <c r="K389" s="751">
        <f>-G389</f>
        <v>0</v>
      </c>
      <c r="L389" s="751"/>
      <c r="M389" s="682">
        <f>SUM(J389:L389)</f>
        <v>0</v>
      </c>
      <c r="N389" s="752"/>
      <c r="O389" s="751"/>
      <c r="P389" s="751"/>
      <c r="Q389" s="682">
        <f>SUM(N389:P389)</f>
        <v>0</v>
      </c>
      <c r="R389" s="681">
        <f t="shared" si="48"/>
        <v>4.1399999999999999E-2</v>
      </c>
      <c r="S389" s="571">
        <f t="shared" si="48"/>
        <v>0</v>
      </c>
      <c r="T389" s="571">
        <f t="shared" si="48"/>
        <v>0</v>
      </c>
      <c r="U389" s="682">
        <f t="shared" si="49"/>
        <v>4.1399999999999999E-2</v>
      </c>
    </row>
    <row r="390" spans="1:21" outlineLevel="1" x14ac:dyDescent="0.25">
      <c r="B390" s="562"/>
      <c r="C390" s="563" t="s">
        <v>297</v>
      </c>
      <c r="D390" s="563"/>
      <c r="E390" s="563" t="s">
        <v>292</v>
      </c>
      <c r="F390" s="572">
        <f>'DUoS (t)'!$H$113</f>
        <v>1.6000000000000001E-3</v>
      </c>
      <c r="G390" s="573">
        <f>'TUoS (t)'!$H$113</f>
        <v>8.2000000000000007E-3</v>
      </c>
      <c r="H390" s="573">
        <f>'JSO (t)'!$H$113</f>
        <v>8.9999999999999998E-4</v>
      </c>
      <c r="I390" s="574">
        <f>SUM(F390:H390)</f>
        <v>1.0700000000000001E-2</v>
      </c>
      <c r="J390" s="576"/>
      <c r="K390" s="577">
        <f>-G390</f>
        <v>-8.2000000000000007E-3</v>
      </c>
      <c r="L390" s="577"/>
      <c r="M390" s="574">
        <f>SUM(J390:L390)</f>
        <v>-8.2000000000000007E-3</v>
      </c>
      <c r="N390" s="576"/>
      <c r="O390" s="577"/>
      <c r="P390" s="577"/>
      <c r="Q390" s="574">
        <f>SUM(N390:P390)</f>
        <v>0</v>
      </c>
      <c r="R390" s="572">
        <f t="shared" si="48"/>
        <v>1.6000000000000001E-3</v>
      </c>
      <c r="S390" s="573">
        <f t="shared" si="48"/>
        <v>0</v>
      </c>
      <c r="T390" s="573">
        <f t="shared" si="48"/>
        <v>8.9999999999999998E-4</v>
      </c>
      <c r="U390" s="574">
        <f t="shared" si="49"/>
        <v>2.5000000000000001E-3</v>
      </c>
    </row>
    <row r="391" spans="1:21" outlineLevel="1" x14ac:dyDescent="0.25"/>
    <row r="392" spans="1:21" outlineLevel="1" x14ac:dyDescent="0.25"/>
    <row r="393" spans="1:21" x14ac:dyDescent="0.25">
      <c r="A393" s="579" t="s">
        <v>391</v>
      </c>
      <c r="N393" s="422" t="str">
        <f>C387</f>
        <v>Customers/Supply Ch</v>
      </c>
      <c r="O393" s="422">
        <f>SUMIF($C$8:$C$392,N393,$O$8:$O$392)</f>
        <v>35581.899999999994</v>
      </c>
    </row>
    <row r="394" spans="1:21" x14ac:dyDescent="0.25">
      <c r="N394" s="422" t="s">
        <v>383</v>
      </c>
      <c r="O394" s="422">
        <f>SUMIF($C$8:$C$392,N394,$O$8:$O$392)</f>
        <v>1.7382000000000002</v>
      </c>
    </row>
    <row r="395" spans="1:21" x14ac:dyDescent="0.25">
      <c r="N395" s="422" t="s">
        <v>384</v>
      </c>
      <c r="O395" s="422">
        <f>SUMIF($C$8:$C$392,N395,$O$8:$O$392)</f>
        <v>0</v>
      </c>
    </row>
    <row r="396" spans="1:21" x14ac:dyDescent="0.25">
      <c r="N396" s="422" t="s">
        <v>580</v>
      </c>
      <c r="O396" s="422">
        <f>SUMIF($C$8:$C$392,N396,$O$8:$O$392)</f>
        <v>0</v>
      </c>
    </row>
    <row r="397" spans="1:21" x14ac:dyDescent="0.25">
      <c r="N397" s="422" t="s">
        <v>581</v>
      </c>
      <c r="O397" s="422">
        <f>SUMIF($C$8:$C$392,N397,$O$8:$O$392)</f>
        <v>0</v>
      </c>
    </row>
  </sheetData>
  <mergeCells count="28">
    <mergeCell ref="F327:I327"/>
    <mergeCell ref="J327:M327"/>
    <mergeCell ref="N327:Q327"/>
    <mergeCell ref="R327:U327"/>
    <mergeCell ref="F228:I228"/>
    <mergeCell ref="J228:M228"/>
    <mergeCell ref="N228:Q228"/>
    <mergeCell ref="R228:U228"/>
    <mergeCell ref="F302:I302"/>
    <mergeCell ref="J302:M302"/>
    <mergeCell ref="N302:Q302"/>
    <mergeCell ref="R302:U302"/>
    <mergeCell ref="F182:I182"/>
    <mergeCell ref="J182:M182"/>
    <mergeCell ref="N182:Q182"/>
    <mergeCell ref="R182:U182"/>
    <mergeCell ref="F3:I3"/>
    <mergeCell ref="J3:M3"/>
    <mergeCell ref="N3:Q3"/>
    <mergeCell ref="R3:U3"/>
    <mergeCell ref="F6:I6"/>
    <mergeCell ref="J6:M6"/>
    <mergeCell ref="N6:Q6"/>
    <mergeCell ref="R6:U6"/>
    <mergeCell ref="F106:I106"/>
    <mergeCell ref="J106:M106"/>
    <mergeCell ref="N106:Q106"/>
    <mergeCell ref="R106:U106"/>
  </mergeCells>
  <pageMargins left="0.25" right="0.25" top="0.75" bottom="0.75" header="0.3" footer="0.3"/>
  <pageSetup paperSize="8" scale="53" fitToHeight="0" orientation="portrait" r:id="rId1"/>
  <rowBreaks count="3" manualBreakCount="3">
    <brk id="104" max="25" man="1"/>
    <brk id="180" max="25" man="1"/>
    <brk id="300" max="25"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F696-F943-46A0-B2A4-36EC8BABAFDC}">
  <sheetPr>
    <tabColor rgb="FFFFC000"/>
  </sheetPr>
  <dimension ref="A1:CB174"/>
  <sheetViews>
    <sheetView showGridLines="0" topLeftCell="A79" zoomScaleNormal="100" workbookViewId="0">
      <selection activeCell="BM6" sqref="BM6:BM105"/>
    </sheetView>
  </sheetViews>
  <sheetFormatPr defaultRowHeight="12.75" x14ac:dyDescent="0.2"/>
  <cols>
    <col min="1" max="1" width="1.5703125" style="3" customWidth="1"/>
    <col min="2" max="2" width="15.5703125" style="3" customWidth="1"/>
    <col min="3" max="3" width="14.7109375" style="3" customWidth="1"/>
    <col min="4" max="4" width="43.85546875" style="3" customWidth="1"/>
    <col min="5" max="5" width="11.7109375" style="624" customWidth="1"/>
    <col min="6" max="8" width="10.7109375" style="624" customWidth="1"/>
    <col min="9" max="9" width="11.7109375" style="624" customWidth="1"/>
    <col min="10" max="12" width="10.7109375" style="624" customWidth="1"/>
    <col min="13" max="13" width="12.42578125" style="624" bestFit="1" customWidth="1"/>
    <col min="14" max="14" width="14.28515625" style="624" bestFit="1" customWidth="1"/>
    <col min="15" max="15" width="10.7109375" style="624" customWidth="1"/>
    <col min="16" max="16" width="12.28515625" style="624" bestFit="1" customWidth="1"/>
    <col min="17" max="19" width="10.7109375" style="624" customWidth="1"/>
    <col min="20" max="20" width="12.28515625" style="624" bestFit="1" customWidth="1"/>
    <col min="21" max="21" width="2.28515625" style="3" customWidth="1"/>
    <col min="22" max="22" width="15.5703125" style="3" customWidth="1"/>
    <col min="23" max="23" width="14.7109375" style="3" customWidth="1"/>
    <col min="24" max="24" width="43.85546875" style="3" customWidth="1"/>
    <col min="25" max="25" width="11.7109375" style="624" customWidth="1"/>
    <col min="26" max="28" width="10.7109375" style="624" customWidth="1"/>
    <col min="29" max="29" width="11.7109375" style="624" customWidth="1"/>
    <col min="30" max="32" width="10.7109375" style="624" customWidth="1"/>
    <col min="33" max="33" width="12.42578125" style="624" bestFit="1" customWidth="1"/>
    <col min="34" max="34" width="14.28515625" style="624" bestFit="1" customWidth="1"/>
    <col min="35" max="35" width="10.7109375" style="624" customWidth="1"/>
    <col min="36" max="36" width="12.28515625" style="624" bestFit="1" customWidth="1"/>
    <col min="37" max="39" width="10.7109375" style="624" customWidth="1"/>
    <col min="40" max="40" width="12.28515625" style="624" bestFit="1" customWidth="1"/>
    <col min="41" max="41" width="2" style="3" customWidth="1"/>
    <col min="42" max="42" width="15.5703125" style="3" customWidth="1"/>
    <col min="43" max="43" width="14.7109375" style="3" customWidth="1"/>
    <col min="44" max="44" width="43.85546875" style="3" customWidth="1"/>
    <col min="45" max="45" width="11.7109375" style="624" customWidth="1"/>
    <col min="46" max="48" width="10.7109375" style="624" customWidth="1"/>
    <col min="49" max="49" width="11.7109375" style="624" customWidth="1"/>
    <col min="50" max="52" width="10.7109375" style="624" customWidth="1"/>
    <col min="53" max="53" width="12.42578125" style="624" bestFit="1" customWidth="1"/>
    <col min="54" max="54" width="14.28515625" style="624" bestFit="1" customWidth="1"/>
    <col min="55" max="55" width="10.7109375" style="624" customWidth="1"/>
    <col min="56" max="56" width="12.28515625" style="624" bestFit="1" customWidth="1"/>
    <col min="57" max="59" width="10.7109375" style="624" customWidth="1"/>
    <col min="60" max="60" width="12.28515625" style="624" bestFit="1" customWidth="1"/>
    <col min="61" max="61" width="3" style="3" customWidth="1"/>
    <col min="62" max="62" width="15.5703125" style="3" customWidth="1"/>
    <col min="63" max="63" width="14.7109375" style="3" customWidth="1"/>
    <col min="64" max="64" width="43.85546875" style="3" customWidth="1"/>
    <col min="65" max="65" width="11.7109375" style="624" customWidth="1"/>
    <col min="66" max="68" width="10.7109375" style="624" customWidth="1"/>
    <col min="69" max="69" width="11.7109375" style="624" customWidth="1"/>
    <col min="70" max="72" width="10.7109375" style="624" customWidth="1"/>
    <col min="73" max="73" width="12.42578125" style="624" bestFit="1" customWidth="1"/>
    <col min="74" max="74" width="14.28515625" style="624" bestFit="1" customWidth="1"/>
    <col min="75" max="75" width="10.7109375" style="624" customWidth="1"/>
    <col min="76" max="76" width="12.28515625" style="624" bestFit="1" customWidth="1"/>
    <col min="77" max="79" width="10.7109375" style="624" customWidth="1"/>
    <col min="80" max="80" width="12.28515625" style="624" bestFit="1" customWidth="1"/>
    <col min="81" max="81" width="3.42578125" style="3" customWidth="1"/>
    <col min="82" max="16384" width="9.140625" style="3"/>
  </cols>
  <sheetData>
    <row r="1" spans="2:80" ht="24" customHeight="1" x14ac:dyDescent="0.25">
      <c r="B1" s="652" t="str">
        <f>'Model Update'!D5</f>
        <v>SA Power Networks</v>
      </c>
      <c r="C1" s="2"/>
      <c r="E1" s="683"/>
      <c r="V1" s="652"/>
      <c r="W1" s="2"/>
      <c r="Y1" s="683"/>
      <c r="AP1" s="652"/>
      <c r="AQ1" s="2"/>
      <c r="AS1" s="683"/>
      <c r="BJ1" s="652"/>
      <c r="BK1" s="2"/>
      <c r="BM1" s="683"/>
    </row>
    <row r="2" spans="2:80" ht="21.75" customHeight="1" x14ac:dyDescent="0.25">
      <c r="B2" s="653" t="s">
        <v>540</v>
      </c>
      <c r="C2" s="2"/>
      <c r="F2" s="684"/>
      <c r="G2" s="684"/>
      <c r="H2" s="684"/>
      <c r="I2" s="684"/>
      <c r="V2" s="653"/>
      <c r="W2" s="2"/>
      <c r="Z2" s="684"/>
      <c r="AA2" s="684"/>
      <c r="AB2" s="684"/>
      <c r="AC2" s="684"/>
      <c r="AP2" s="653"/>
      <c r="AQ2" s="2"/>
      <c r="AT2" s="684"/>
      <c r="AU2" s="684"/>
      <c r="AV2" s="684"/>
      <c r="AW2" s="684"/>
      <c r="BJ2" s="653"/>
      <c r="BK2" s="2"/>
      <c r="BN2" s="684"/>
      <c r="BO2" s="684"/>
      <c r="BP2" s="684"/>
      <c r="BQ2" s="684"/>
    </row>
    <row r="3" spans="2:80" ht="18" customHeight="1" x14ac:dyDescent="0.2">
      <c r="B3" s="8"/>
      <c r="C3" s="2"/>
      <c r="F3" s="684"/>
      <c r="G3" s="684"/>
      <c r="H3" s="684"/>
      <c r="I3" s="684"/>
      <c r="V3" s="8"/>
      <c r="W3" s="2"/>
      <c r="Z3" s="684"/>
      <c r="AA3" s="684"/>
      <c r="AB3" s="684"/>
      <c r="AC3" s="684"/>
      <c r="AP3" s="8"/>
      <c r="AQ3" s="2"/>
      <c r="AT3" s="684"/>
      <c r="AU3" s="684"/>
      <c r="AV3" s="684"/>
      <c r="AW3" s="684"/>
      <c r="BJ3" s="8"/>
      <c r="BK3" s="2"/>
      <c r="BN3" s="684"/>
      <c r="BO3" s="684"/>
      <c r="BP3" s="684"/>
      <c r="BQ3" s="684"/>
    </row>
    <row r="4" spans="2:80" ht="18.75" x14ac:dyDescent="0.3">
      <c r="B4" s="666" t="s">
        <v>548</v>
      </c>
      <c r="C4" s="2"/>
      <c r="V4" s="666" t="s">
        <v>559</v>
      </c>
      <c r="W4" s="2"/>
      <c r="AP4" s="666" t="s">
        <v>561</v>
      </c>
      <c r="AQ4" s="2"/>
      <c r="BJ4" s="666" t="s">
        <v>560</v>
      </c>
      <c r="BK4" s="2"/>
    </row>
    <row r="5" spans="2:80" ht="13.5" thickBot="1" x14ac:dyDescent="0.25">
      <c r="D5" s="9"/>
      <c r="P5" s="685"/>
      <c r="U5" s="656"/>
      <c r="X5" s="9"/>
      <c r="AJ5" s="685"/>
      <c r="AR5" s="9"/>
      <c r="BD5" s="685"/>
      <c r="BL5" s="9"/>
      <c r="BX5" s="685"/>
    </row>
    <row r="6" spans="2:80" ht="15" customHeight="1" x14ac:dyDescent="0.2">
      <c r="B6" s="657"/>
      <c r="C6" s="658"/>
      <c r="D6" s="659"/>
      <c r="E6" s="686" t="s">
        <v>544</v>
      </c>
      <c r="F6" s="879" t="s">
        <v>545</v>
      </c>
      <c r="G6" s="880"/>
      <c r="H6" s="880"/>
      <c r="I6" s="883"/>
      <c r="J6" s="879" t="s">
        <v>661</v>
      </c>
      <c r="K6" s="880"/>
      <c r="L6" s="879" t="s">
        <v>546</v>
      </c>
      <c r="M6" s="880"/>
      <c r="N6" s="883"/>
      <c r="O6" s="880" t="s">
        <v>547</v>
      </c>
      <c r="P6" s="880"/>
      <c r="Q6" s="879" t="s">
        <v>545</v>
      </c>
      <c r="R6" s="880"/>
      <c r="S6" s="880"/>
      <c r="T6" s="881"/>
      <c r="V6" s="657"/>
      <c r="W6" s="658"/>
      <c r="X6" s="659"/>
      <c r="Y6" s="686" t="s">
        <v>544</v>
      </c>
      <c r="Z6" s="879" t="s">
        <v>545</v>
      </c>
      <c r="AA6" s="880"/>
      <c r="AB6" s="880"/>
      <c r="AC6" s="883"/>
      <c r="AD6" s="879" t="s">
        <v>661</v>
      </c>
      <c r="AE6" s="880"/>
      <c r="AF6" s="879" t="s">
        <v>546</v>
      </c>
      <c r="AG6" s="880"/>
      <c r="AH6" s="883"/>
      <c r="AI6" s="880" t="s">
        <v>547</v>
      </c>
      <c r="AJ6" s="880"/>
      <c r="AK6" s="879" t="s">
        <v>545</v>
      </c>
      <c r="AL6" s="880"/>
      <c r="AM6" s="880"/>
      <c r="AN6" s="881"/>
      <c r="AP6" s="657"/>
      <c r="AQ6" s="658"/>
      <c r="AR6" s="659"/>
      <c r="AS6" s="686" t="s">
        <v>544</v>
      </c>
      <c r="AT6" s="879" t="s">
        <v>545</v>
      </c>
      <c r="AU6" s="880"/>
      <c r="AV6" s="880"/>
      <c r="AW6" s="883"/>
      <c r="AX6" s="879" t="s">
        <v>661</v>
      </c>
      <c r="AY6" s="880"/>
      <c r="AZ6" s="879" t="s">
        <v>546</v>
      </c>
      <c r="BA6" s="880"/>
      <c r="BB6" s="883"/>
      <c r="BC6" s="880" t="s">
        <v>547</v>
      </c>
      <c r="BD6" s="880"/>
      <c r="BE6" s="879" t="s">
        <v>545</v>
      </c>
      <c r="BF6" s="880"/>
      <c r="BG6" s="880"/>
      <c r="BH6" s="881"/>
      <c r="BJ6" s="657"/>
      <c r="BK6" s="658"/>
      <c r="BL6" s="659"/>
      <c r="BM6" s="686" t="s">
        <v>544</v>
      </c>
      <c r="BN6" s="879" t="s">
        <v>545</v>
      </c>
      <c r="BO6" s="880"/>
      <c r="BP6" s="880"/>
      <c r="BQ6" s="883"/>
      <c r="BR6" s="879" t="s">
        <v>661</v>
      </c>
      <c r="BS6" s="880"/>
      <c r="BT6" s="879" t="s">
        <v>546</v>
      </c>
      <c r="BU6" s="880"/>
      <c r="BV6" s="883"/>
      <c r="BW6" s="880" t="s">
        <v>547</v>
      </c>
      <c r="BX6" s="880"/>
      <c r="BY6" s="879" t="s">
        <v>545</v>
      </c>
      <c r="BZ6" s="880"/>
      <c r="CA6" s="880"/>
      <c r="CB6" s="881"/>
    </row>
    <row r="7" spans="2:80" ht="15" customHeight="1" x14ac:dyDescent="0.3">
      <c r="B7" s="667" t="str">
        <f>"SA Power Networks' Tariffs "&amp;'Model Update'!D9</f>
        <v>SA Power Networks' Tariffs 2020/21</v>
      </c>
      <c r="C7" s="656"/>
      <c r="D7" s="10"/>
      <c r="E7" s="687" t="s">
        <v>541</v>
      </c>
      <c r="F7" s="856" t="s">
        <v>19</v>
      </c>
      <c r="G7" s="857"/>
      <c r="H7" s="857"/>
      <c r="I7" s="858"/>
      <c r="J7" s="859" t="s">
        <v>662</v>
      </c>
      <c r="K7" s="884"/>
      <c r="L7" s="856" t="s">
        <v>21</v>
      </c>
      <c r="M7" s="857"/>
      <c r="N7" s="858"/>
      <c r="O7" s="857" t="s">
        <v>663</v>
      </c>
      <c r="P7" s="857"/>
      <c r="Q7" s="856" t="s">
        <v>20</v>
      </c>
      <c r="R7" s="857"/>
      <c r="S7" s="857"/>
      <c r="T7" s="882"/>
      <c r="V7" s="667" t="str">
        <f>"SA Power Networks' Tariffs "&amp;'Model Update'!X9</f>
        <v xml:space="preserve">SA Power Networks' Tariffs </v>
      </c>
      <c r="W7" s="656"/>
      <c r="X7" s="10"/>
      <c r="Y7" s="687" t="s">
        <v>541</v>
      </c>
      <c r="Z7" s="856" t="s">
        <v>19</v>
      </c>
      <c r="AA7" s="857"/>
      <c r="AB7" s="857"/>
      <c r="AC7" s="858"/>
      <c r="AD7" s="859" t="s">
        <v>662</v>
      </c>
      <c r="AE7" s="884"/>
      <c r="AF7" s="856" t="s">
        <v>21</v>
      </c>
      <c r="AG7" s="857"/>
      <c r="AH7" s="858"/>
      <c r="AI7" s="857" t="s">
        <v>663</v>
      </c>
      <c r="AJ7" s="857"/>
      <c r="AK7" s="856" t="s">
        <v>20</v>
      </c>
      <c r="AL7" s="857"/>
      <c r="AM7" s="857"/>
      <c r="AN7" s="882"/>
      <c r="AP7" s="667" t="str">
        <f>"SA Power Networks' Tariffs "&amp;'Model Update'!AR9</f>
        <v xml:space="preserve">SA Power Networks' Tariffs </v>
      </c>
      <c r="AQ7" s="656"/>
      <c r="AR7" s="10"/>
      <c r="AS7" s="687" t="s">
        <v>541</v>
      </c>
      <c r="AT7" s="856" t="s">
        <v>19</v>
      </c>
      <c r="AU7" s="857"/>
      <c r="AV7" s="857"/>
      <c r="AW7" s="858"/>
      <c r="AX7" s="859" t="s">
        <v>662</v>
      </c>
      <c r="AY7" s="884"/>
      <c r="AZ7" s="856" t="s">
        <v>21</v>
      </c>
      <c r="BA7" s="857"/>
      <c r="BB7" s="858"/>
      <c r="BC7" s="857" t="s">
        <v>663</v>
      </c>
      <c r="BD7" s="857"/>
      <c r="BE7" s="856" t="s">
        <v>20</v>
      </c>
      <c r="BF7" s="857"/>
      <c r="BG7" s="857"/>
      <c r="BH7" s="882"/>
      <c r="BJ7" s="667" t="str">
        <f>"SA Power Networks' Tariffs "&amp;'Model Update'!BL9</f>
        <v xml:space="preserve">SA Power Networks' Tariffs </v>
      </c>
      <c r="BK7" s="656"/>
      <c r="BL7" s="10"/>
      <c r="BM7" s="687" t="s">
        <v>541</v>
      </c>
      <c r="BN7" s="856" t="s">
        <v>19</v>
      </c>
      <c r="BO7" s="857"/>
      <c r="BP7" s="857"/>
      <c r="BQ7" s="858"/>
      <c r="BR7" s="859" t="s">
        <v>662</v>
      </c>
      <c r="BS7" s="884"/>
      <c r="BT7" s="856" t="s">
        <v>21</v>
      </c>
      <c r="BU7" s="857"/>
      <c r="BV7" s="858"/>
      <c r="BW7" s="857" t="s">
        <v>663</v>
      </c>
      <c r="BX7" s="857"/>
      <c r="BY7" s="856" t="s">
        <v>20</v>
      </c>
      <c r="BZ7" s="857"/>
      <c r="CA7" s="857"/>
      <c r="CB7" s="882"/>
    </row>
    <row r="8" spans="2:80" ht="15" customHeight="1" x14ac:dyDescent="0.3">
      <c r="B8" s="667" t="str">
        <f>"Price Schedule - " &amp;B4</f>
        <v xml:space="preserve">Price Schedule - Network Use of Service (NUoS) </v>
      </c>
      <c r="C8" s="656"/>
      <c r="D8" s="10"/>
      <c r="E8" s="687" t="s">
        <v>542</v>
      </c>
      <c r="F8" s="688" t="s">
        <v>292</v>
      </c>
      <c r="G8" s="689" t="s">
        <v>292</v>
      </c>
      <c r="H8" s="689" t="s">
        <v>292</v>
      </c>
      <c r="I8" s="690" t="s">
        <v>292</v>
      </c>
      <c r="J8" s="689" t="s">
        <v>543</v>
      </c>
      <c r="K8" s="808" t="s">
        <v>543</v>
      </c>
      <c r="L8" s="783" t="s">
        <v>543</v>
      </c>
      <c r="M8" s="784" t="s">
        <v>543</v>
      </c>
      <c r="N8" s="785" t="s">
        <v>543</v>
      </c>
      <c r="O8" s="689" t="s">
        <v>551</v>
      </c>
      <c r="P8" s="784" t="s">
        <v>551</v>
      </c>
      <c r="Q8" s="783" t="s">
        <v>292</v>
      </c>
      <c r="R8" s="784" t="s">
        <v>292</v>
      </c>
      <c r="S8" s="784" t="s">
        <v>292</v>
      </c>
      <c r="T8" s="786" t="s">
        <v>292</v>
      </c>
      <c r="V8" s="667" t="str">
        <f>"Price Schedule - " &amp;V4</f>
        <v xml:space="preserve">Price Schedule - Distribution Use of Service (DUoS) </v>
      </c>
      <c r="W8" s="656"/>
      <c r="X8" s="10"/>
      <c r="Y8" s="687" t="s">
        <v>542</v>
      </c>
      <c r="Z8" s="783" t="s">
        <v>292</v>
      </c>
      <c r="AA8" s="784" t="s">
        <v>292</v>
      </c>
      <c r="AB8" s="784" t="s">
        <v>292</v>
      </c>
      <c r="AC8" s="785" t="s">
        <v>292</v>
      </c>
      <c r="AD8" s="784" t="s">
        <v>543</v>
      </c>
      <c r="AE8" s="808" t="s">
        <v>543</v>
      </c>
      <c r="AF8" s="783" t="s">
        <v>543</v>
      </c>
      <c r="AG8" s="784" t="s">
        <v>543</v>
      </c>
      <c r="AH8" s="785" t="s">
        <v>543</v>
      </c>
      <c r="AI8" s="784" t="s">
        <v>551</v>
      </c>
      <c r="AJ8" s="784" t="s">
        <v>551</v>
      </c>
      <c r="AK8" s="783" t="s">
        <v>292</v>
      </c>
      <c r="AL8" s="784" t="s">
        <v>292</v>
      </c>
      <c r="AM8" s="784" t="s">
        <v>292</v>
      </c>
      <c r="AN8" s="786" t="s">
        <v>292</v>
      </c>
      <c r="AP8" s="667" t="str">
        <f>"Price Schedule - " &amp;AP4</f>
        <v xml:space="preserve">Price Schedule - Transmission Use of Service (TUoS) </v>
      </c>
      <c r="AQ8" s="656"/>
      <c r="AR8" s="10"/>
      <c r="AS8" s="687" t="s">
        <v>542</v>
      </c>
      <c r="AT8" s="783" t="s">
        <v>292</v>
      </c>
      <c r="AU8" s="784" t="s">
        <v>292</v>
      </c>
      <c r="AV8" s="784" t="s">
        <v>292</v>
      </c>
      <c r="AW8" s="785" t="s">
        <v>292</v>
      </c>
      <c r="AX8" s="784" t="s">
        <v>543</v>
      </c>
      <c r="AY8" s="808" t="s">
        <v>543</v>
      </c>
      <c r="AZ8" s="783" t="s">
        <v>543</v>
      </c>
      <c r="BA8" s="784" t="s">
        <v>543</v>
      </c>
      <c r="BB8" s="785" t="s">
        <v>543</v>
      </c>
      <c r="BC8" s="784" t="s">
        <v>551</v>
      </c>
      <c r="BD8" s="784" t="s">
        <v>551</v>
      </c>
      <c r="BE8" s="783" t="s">
        <v>292</v>
      </c>
      <c r="BF8" s="784" t="s">
        <v>292</v>
      </c>
      <c r="BG8" s="784" t="s">
        <v>292</v>
      </c>
      <c r="BH8" s="786" t="s">
        <v>292</v>
      </c>
      <c r="BJ8" s="667" t="str">
        <f>"Price Schedule - " &amp;BJ4</f>
        <v xml:space="preserve">Price Schedule - Jurisdication Obligation Scheme (JSO) </v>
      </c>
      <c r="BK8" s="656"/>
      <c r="BL8" s="10"/>
      <c r="BM8" s="687" t="s">
        <v>542</v>
      </c>
      <c r="BN8" s="783" t="s">
        <v>292</v>
      </c>
      <c r="BO8" s="784" t="s">
        <v>292</v>
      </c>
      <c r="BP8" s="784" t="s">
        <v>292</v>
      </c>
      <c r="BQ8" s="785" t="s">
        <v>292</v>
      </c>
      <c r="BR8" s="784" t="s">
        <v>543</v>
      </c>
      <c r="BS8" s="808" t="s">
        <v>543</v>
      </c>
      <c r="BT8" s="783" t="s">
        <v>543</v>
      </c>
      <c r="BU8" s="784" t="s">
        <v>543</v>
      </c>
      <c r="BV8" s="785" t="s">
        <v>543</v>
      </c>
      <c r="BW8" s="784" t="s">
        <v>551</v>
      </c>
      <c r="BX8" s="784" t="s">
        <v>551</v>
      </c>
      <c r="BY8" s="783" t="s">
        <v>292</v>
      </c>
      <c r="BZ8" s="784" t="s">
        <v>292</v>
      </c>
      <c r="CA8" s="784" t="s">
        <v>292</v>
      </c>
      <c r="CB8" s="786" t="s">
        <v>292</v>
      </c>
    </row>
    <row r="9" spans="2:80" s="21" customFormat="1" ht="15" customHeight="1" x14ac:dyDescent="0.2">
      <c r="B9" s="660" t="s">
        <v>27</v>
      </c>
      <c r="C9" s="655" t="s">
        <v>27</v>
      </c>
      <c r="D9" s="22" t="s">
        <v>28</v>
      </c>
      <c r="E9" s="687"/>
      <c r="F9" s="688" t="s">
        <v>30</v>
      </c>
      <c r="G9" s="689" t="s">
        <v>31</v>
      </c>
      <c r="H9" s="689" t="s">
        <v>32</v>
      </c>
      <c r="I9" s="690" t="s">
        <v>33</v>
      </c>
      <c r="J9" s="688"/>
      <c r="K9" s="784"/>
      <c r="L9" s="783"/>
      <c r="M9" s="784"/>
      <c r="N9" s="785"/>
      <c r="O9" s="689" t="s">
        <v>34</v>
      </c>
      <c r="P9" s="784"/>
      <c r="Q9" s="783" t="s">
        <v>30</v>
      </c>
      <c r="R9" s="784" t="s">
        <v>31</v>
      </c>
      <c r="S9" s="784" t="s">
        <v>32</v>
      </c>
      <c r="T9" s="786" t="s">
        <v>33</v>
      </c>
      <c r="V9" s="660" t="s">
        <v>27</v>
      </c>
      <c r="W9" s="655" t="s">
        <v>27</v>
      </c>
      <c r="X9" s="654" t="s">
        <v>28</v>
      </c>
      <c r="Y9" s="687"/>
      <c r="Z9" s="783" t="s">
        <v>30</v>
      </c>
      <c r="AA9" s="784" t="s">
        <v>31</v>
      </c>
      <c r="AB9" s="784" t="s">
        <v>32</v>
      </c>
      <c r="AC9" s="785" t="s">
        <v>33</v>
      </c>
      <c r="AD9" s="783"/>
      <c r="AE9" s="784"/>
      <c r="AF9" s="783"/>
      <c r="AG9" s="784"/>
      <c r="AH9" s="785"/>
      <c r="AI9" s="784" t="s">
        <v>34</v>
      </c>
      <c r="AJ9" s="784"/>
      <c r="AK9" s="783" t="s">
        <v>30</v>
      </c>
      <c r="AL9" s="784" t="s">
        <v>31</v>
      </c>
      <c r="AM9" s="784" t="s">
        <v>32</v>
      </c>
      <c r="AN9" s="786" t="s">
        <v>33</v>
      </c>
      <c r="AP9" s="660" t="s">
        <v>27</v>
      </c>
      <c r="AQ9" s="655" t="s">
        <v>27</v>
      </c>
      <c r="AR9" s="654" t="s">
        <v>28</v>
      </c>
      <c r="AS9" s="687"/>
      <c r="AT9" s="783" t="s">
        <v>30</v>
      </c>
      <c r="AU9" s="784" t="s">
        <v>31</v>
      </c>
      <c r="AV9" s="784" t="s">
        <v>32</v>
      </c>
      <c r="AW9" s="785" t="s">
        <v>33</v>
      </c>
      <c r="AX9" s="783"/>
      <c r="AY9" s="784"/>
      <c r="AZ9" s="783"/>
      <c r="BA9" s="784"/>
      <c r="BB9" s="785"/>
      <c r="BC9" s="784" t="s">
        <v>34</v>
      </c>
      <c r="BD9" s="784"/>
      <c r="BE9" s="783" t="s">
        <v>30</v>
      </c>
      <c r="BF9" s="784" t="s">
        <v>31</v>
      </c>
      <c r="BG9" s="784" t="s">
        <v>32</v>
      </c>
      <c r="BH9" s="786" t="s">
        <v>33</v>
      </c>
      <c r="BJ9" s="660" t="s">
        <v>27</v>
      </c>
      <c r="BK9" s="655" t="s">
        <v>27</v>
      </c>
      <c r="BL9" s="654" t="s">
        <v>28</v>
      </c>
      <c r="BM9" s="687"/>
      <c r="BN9" s="783" t="s">
        <v>30</v>
      </c>
      <c r="BO9" s="784" t="s">
        <v>31</v>
      </c>
      <c r="BP9" s="784" t="s">
        <v>32</v>
      </c>
      <c r="BQ9" s="785" t="s">
        <v>33</v>
      </c>
      <c r="BR9" s="783"/>
      <c r="BS9" s="784"/>
      <c r="BT9" s="783"/>
      <c r="BU9" s="784"/>
      <c r="BV9" s="785"/>
      <c r="BW9" s="784" t="s">
        <v>34</v>
      </c>
      <c r="BX9" s="784"/>
      <c r="BY9" s="783" t="s">
        <v>30</v>
      </c>
      <c r="BZ9" s="784" t="s">
        <v>31</v>
      </c>
      <c r="CA9" s="784" t="s">
        <v>32</v>
      </c>
      <c r="CB9" s="786" t="s">
        <v>33</v>
      </c>
    </row>
    <row r="10" spans="2:80" s="21" customFormat="1" ht="15" customHeight="1" x14ac:dyDescent="0.2">
      <c r="B10" s="661" t="s">
        <v>36</v>
      </c>
      <c r="C10" s="27" t="s">
        <v>37</v>
      </c>
      <c r="D10" s="28" t="s">
        <v>38</v>
      </c>
      <c r="E10" s="692"/>
      <c r="F10" s="693" t="s">
        <v>30</v>
      </c>
      <c r="G10" s="694" t="s">
        <v>31</v>
      </c>
      <c r="H10" s="694" t="s">
        <v>39</v>
      </c>
      <c r="I10" s="695" t="s">
        <v>32</v>
      </c>
      <c r="J10" s="693" t="s">
        <v>665</v>
      </c>
      <c r="K10" s="694" t="s">
        <v>664</v>
      </c>
      <c r="L10" s="693" t="s">
        <v>40</v>
      </c>
      <c r="M10" s="694" t="s">
        <v>666</v>
      </c>
      <c r="N10" s="695" t="s">
        <v>667</v>
      </c>
      <c r="O10" s="694" t="s">
        <v>34</v>
      </c>
      <c r="P10" s="694" t="s">
        <v>664</v>
      </c>
      <c r="Q10" s="783" t="s">
        <v>30</v>
      </c>
      <c r="R10" s="784"/>
      <c r="S10" s="784"/>
      <c r="T10" s="786"/>
      <c r="V10" s="661" t="s">
        <v>36</v>
      </c>
      <c r="W10" s="27" t="s">
        <v>37</v>
      </c>
      <c r="X10" s="28" t="s">
        <v>38</v>
      </c>
      <c r="Y10" s="692"/>
      <c r="Z10" s="693" t="s">
        <v>30</v>
      </c>
      <c r="AA10" s="694" t="s">
        <v>31</v>
      </c>
      <c r="AB10" s="694" t="s">
        <v>39</v>
      </c>
      <c r="AC10" s="695" t="s">
        <v>32</v>
      </c>
      <c r="AD10" s="693" t="s">
        <v>665</v>
      </c>
      <c r="AE10" s="694" t="s">
        <v>664</v>
      </c>
      <c r="AF10" s="693" t="s">
        <v>40</v>
      </c>
      <c r="AG10" s="694" t="s">
        <v>666</v>
      </c>
      <c r="AH10" s="695" t="s">
        <v>667</v>
      </c>
      <c r="AI10" s="694" t="s">
        <v>34</v>
      </c>
      <c r="AJ10" s="694" t="s">
        <v>664</v>
      </c>
      <c r="AK10" s="783" t="s">
        <v>30</v>
      </c>
      <c r="AL10" s="784"/>
      <c r="AM10" s="784"/>
      <c r="AN10" s="786"/>
      <c r="AP10" s="661" t="s">
        <v>36</v>
      </c>
      <c r="AQ10" s="27" t="s">
        <v>37</v>
      </c>
      <c r="AR10" s="28" t="s">
        <v>38</v>
      </c>
      <c r="AS10" s="692"/>
      <c r="AT10" s="693" t="s">
        <v>30</v>
      </c>
      <c r="AU10" s="694" t="s">
        <v>31</v>
      </c>
      <c r="AV10" s="694" t="s">
        <v>39</v>
      </c>
      <c r="AW10" s="695" t="s">
        <v>32</v>
      </c>
      <c r="AX10" s="693" t="s">
        <v>665</v>
      </c>
      <c r="AY10" s="694" t="s">
        <v>664</v>
      </c>
      <c r="AZ10" s="693" t="s">
        <v>40</v>
      </c>
      <c r="BA10" s="694" t="s">
        <v>666</v>
      </c>
      <c r="BB10" s="695" t="s">
        <v>667</v>
      </c>
      <c r="BC10" s="694" t="s">
        <v>34</v>
      </c>
      <c r="BD10" s="694" t="s">
        <v>664</v>
      </c>
      <c r="BE10" s="783" t="s">
        <v>30</v>
      </c>
      <c r="BF10" s="784"/>
      <c r="BG10" s="784"/>
      <c r="BH10" s="786"/>
      <c r="BJ10" s="661" t="s">
        <v>36</v>
      </c>
      <c r="BK10" s="27" t="s">
        <v>37</v>
      </c>
      <c r="BL10" s="28" t="s">
        <v>38</v>
      </c>
      <c r="BM10" s="692"/>
      <c r="BN10" s="693" t="s">
        <v>30</v>
      </c>
      <c r="BO10" s="694" t="s">
        <v>31</v>
      </c>
      <c r="BP10" s="694" t="s">
        <v>39</v>
      </c>
      <c r="BQ10" s="695" t="s">
        <v>32</v>
      </c>
      <c r="BR10" s="693" t="s">
        <v>665</v>
      </c>
      <c r="BS10" s="694" t="s">
        <v>664</v>
      </c>
      <c r="BT10" s="693" t="s">
        <v>40</v>
      </c>
      <c r="BU10" s="694" t="s">
        <v>666</v>
      </c>
      <c r="BV10" s="695" t="s">
        <v>667</v>
      </c>
      <c r="BW10" s="694" t="s">
        <v>34</v>
      </c>
      <c r="BX10" s="694" t="s">
        <v>664</v>
      </c>
      <c r="BY10" s="783" t="s">
        <v>30</v>
      </c>
      <c r="BZ10" s="784"/>
      <c r="CA10" s="784"/>
      <c r="CB10" s="786"/>
    </row>
    <row r="11" spans="2:80" ht="15" customHeight="1" x14ac:dyDescent="0.2">
      <c r="B11" s="662" t="s">
        <v>42</v>
      </c>
      <c r="C11" s="12"/>
      <c r="D11" s="13"/>
      <c r="E11" s="696"/>
      <c r="F11" s="696"/>
      <c r="G11" s="697"/>
      <c r="H11" s="697"/>
      <c r="I11" s="697"/>
      <c r="J11" s="696"/>
      <c r="K11" s="697"/>
      <c r="L11" s="696"/>
      <c r="M11" s="697"/>
      <c r="N11" s="700"/>
      <c r="O11" s="697"/>
      <c r="P11" s="697"/>
      <c r="Q11" s="698"/>
      <c r="R11" s="699"/>
      <c r="S11" s="699"/>
      <c r="T11" s="812"/>
      <c r="V11" s="662" t="s">
        <v>42</v>
      </c>
      <c r="W11" s="12"/>
      <c r="X11" s="13"/>
      <c r="Y11" s="696"/>
      <c r="Z11" s="696"/>
      <c r="AA11" s="697"/>
      <c r="AB11" s="697"/>
      <c r="AC11" s="697"/>
      <c r="AD11" s="696"/>
      <c r="AE11" s="697"/>
      <c r="AF11" s="696"/>
      <c r="AG11" s="697"/>
      <c r="AH11" s="700"/>
      <c r="AI11" s="697"/>
      <c r="AJ11" s="697"/>
      <c r="AK11" s="698"/>
      <c r="AL11" s="699"/>
      <c r="AM11" s="699"/>
      <c r="AN11" s="812"/>
      <c r="AP11" s="662" t="s">
        <v>42</v>
      </c>
      <c r="AQ11" s="12"/>
      <c r="AR11" s="13"/>
      <c r="AS11" s="696"/>
      <c r="AT11" s="696"/>
      <c r="AU11" s="697"/>
      <c r="AV11" s="697"/>
      <c r="AW11" s="697"/>
      <c r="AX11" s="696"/>
      <c r="AY11" s="697"/>
      <c r="AZ11" s="696"/>
      <c r="BA11" s="697"/>
      <c r="BB11" s="700"/>
      <c r="BC11" s="697"/>
      <c r="BD11" s="697"/>
      <c r="BE11" s="698"/>
      <c r="BF11" s="699"/>
      <c r="BG11" s="699"/>
      <c r="BH11" s="812"/>
      <c r="BJ11" s="662" t="s">
        <v>42</v>
      </c>
      <c r="BK11" s="12"/>
      <c r="BL11" s="13"/>
      <c r="BM11" s="696"/>
      <c r="BN11" s="696"/>
      <c r="BO11" s="697"/>
      <c r="BP11" s="697"/>
      <c r="BQ11" s="697"/>
      <c r="BR11" s="696"/>
      <c r="BS11" s="697"/>
      <c r="BT11" s="696"/>
      <c r="BU11" s="697"/>
      <c r="BV11" s="700"/>
      <c r="BW11" s="697"/>
      <c r="BX11" s="697"/>
      <c r="BY11" s="698"/>
      <c r="BZ11" s="699"/>
      <c r="CA11" s="699"/>
      <c r="CB11" s="812"/>
    </row>
    <row r="12" spans="2:80" ht="15" customHeight="1" x14ac:dyDescent="0.2">
      <c r="B12" s="663" t="s">
        <v>43</v>
      </c>
      <c r="C12" s="37"/>
      <c r="D12" s="10"/>
      <c r="E12" s="688"/>
      <c r="F12" s="688"/>
      <c r="G12" s="689"/>
      <c r="H12" s="689"/>
      <c r="I12" s="689"/>
      <c r="J12" s="688"/>
      <c r="K12" s="689"/>
      <c r="L12" s="783"/>
      <c r="M12" s="784"/>
      <c r="N12" s="785"/>
      <c r="O12" s="784"/>
      <c r="P12" s="784"/>
      <c r="Q12" s="701"/>
      <c r="R12" s="685"/>
      <c r="S12" s="685"/>
      <c r="T12" s="813"/>
      <c r="V12" s="663" t="s">
        <v>43</v>
      </c>
      <c r="W12" s="37"/>
      <c r="X12" s="10"/>
      <c r="Y12" s="849"/>
      <c r="Z12" s="783"/>
      <c r="AA12" s="784"/>
      <c r="AB12" s="784"/>
      <c r="AC12" s="784"/>
      <c r="AD12" s="783"/>
      <c r="AE12" s="784"/>
      <c r="AF12" s="783"/>
      <c r="AG12" s="784"/>
      <c r="AH12" s="785"/>
      <c r="AI12" s="784"/>
      <c r="AJ12" s="784"/>
      <c r="AK12" s="701"/>
      <c r="AL12" s="685"/>
      <c r="AM12" s="685"/>
      <c r="AN12" s="813"/>
      <c r="AP12" s="663" t="s">
        <v>43</v>
      </c>
      <c r="AQ12" s="37"/>
      <c r="AR12" s="10"/>
      <c r="AS12" s="849"/>
      <c r="AT12" s="783"/>
      <c r="AU12" s="784"/>
      <c r="AV12" s="784"/>
      <c r="AW12" s="784"/>
      <c r="AX12" s="783"/>
      <c r="AY12" s="784"/>
      <c r="AZ12" s="783"/>
      <c r="BA12" s="784"/>
      <c r="BB12" s="785"/>
      <c r="BC12" s="784"/>
      <c r="BD12" s="784"/>
      <c r="BE12" s="701"/>
      <c r="BF12" s="685"/>
      <c r="BG12" s="685"/>
      <c r="BH12" s="813"/>
      <c r="BJ12" s="663" t="s">
        <v>43</v>
      </c>
      <c r="BK12" s="37"/>
      <c r="BL12" s="10"/>
      <c r="BM12" s="849"/>
      <c r="BN12" s="783"/>
      <c r="BO12" s="784"/>
      <c r="BP12" s="784"/>
      <c r="BQ12" s="784"/>
      <c r="BR12" s="783"/>
      <c r="BS12" s="784"/>
      <c r="BT12" s="783"/>
      <c r="BU12" s="784"/>
      <c r="BV12" s="785"/>
      <c r="BW12" s="784"/>
      <c r="BX12" s="784"/>
      <c r="BY12" s="701"/>
      <c r="BZ12" s="685"/>
      <c r="CA12" s="685"/>
      <c r="CB12" s="813"/>
    </row>
    <row r="13" spans="2:80" ht="15" customHeight="1" x14ac:dyDescent="0.2">
      <c r="B13" s="668" t="s">
        <v>672</v>
      </c>
      <c r="C13" s="669" t="str">
        <f>B13</f>
        <v>RSR/RSROPCL</v>
      </c>
      <c r="D13" s="670" t="s">
        <v>669</v>
      </c>
      <c r="E13" s="702">
        <f>'NUoS (t)'!G18</f>
        <v>0.46579999999999999</v>
      </c>
      <c r="F13" s="703">
        <f>'NUoS (t)'!H18</f>
        <v>0.13779999999999998</v>
      </c>
      <c r="G13" s="702"/>
      <c r="H13" s="702"/>
      <c r="I13" s="702"/>
      <c r="J13" s="707"/>
      <c r="K13" s="705"/>
      <c r="L13" s="707"/>
      <c r="M13" s="705"/>
      <c r="N13" s="706"/>
      <c r="O13" s="705"/>
      <c r="P13" s="705"/>
      <c r="Q13" s="703">
        <f>'NUoS (t)'!L19</f>
        <v>6.9000000000000006E-2</v>
      </c>
      <c r="R13" s="702"/>
      <c r="S13" s="702"/>
      <c r="T13" s="725"/>
      <c r="V13" s="668" t="s">
        <v>672</v>
      </c>
      <c r="W13" s="669" t="str">
        <f>V13</f>
        <v>RSR/RSROPCL</v>
      </c>
      <c r="X13" s="670" t="s">
        <v>669</v>
      </c>
      <c r="Y13" s="702">
        <f>'DUoS (t)'!G18</f>
        <v>0.42470000000000002</v>
      </c>
      <c r="Z13" s="703">
        <f>'DUoS (t)'!H18</f>
        <v>9.2299999999999993E-2</v>
      </c>
      <c r="AA13" s="702"/>
      <c r="AB13" s="702"/>
      <c r="AC13" s="702"/>
      <c r="AD13" s="707"/>
      <c r="AE13" s="705"/>
      <c r="AF13" s="707"/>
      <c r="AG13" s="705"/>
      <c r="AH13" s="706"/>
      <c r="AI13" s="705"/>
      <c r="AJ13" s="705"/>
      <c r="AK13" s="703">
        <f>'DUoS (t)'!L19</f>
        <v>4.6199999999999998E-2</v>
      </c>
      <c r="AL13" s="702"/>
      <c r="AM13" s="702"/>
      <c r="AN13" s="725"/>
      <c r="AP13" s="668" t="s">
        <v>672</v>
      </c>
      <c r="AQ13" s="669" t="str">
        <f>AP13</f>
        <v>RSR/RSROPCL</v>
      </c>
      <c r="AR13" s="670" t="s">
        <v>669</v>
      </c>
      <c r="AS13" s="702">
        <f>'TUoS (t)'!G18</f>
        <v>0</v>
      </c>
      <c r="AT13" s="703">
        <f>'TUoS (t)'!H18</f>
        <v>3.39E-2</v>
      </c>
      <c r="AU13" s="702"/>
      <c r="AV13" s="702"/>
      <c r="AW13" s="702"/>
      <c r="AX13" s="707"/>
      <c r="AY13" s="705"/>
      <c r="AZ13" s="707"/>
      <c r="BA13" s="705"/>
      <c r="BB13" s="706"/>
      <c r="BC13" s="705"/>
      <c r="BD13" s="705"/>
      <c r="BE13" s="703">
        <f>'TUoS (t)'!L19</f>
        <v>1.7000000000000001E-2</v>
      </c>
      <c r="BF13" s="702"/>
      <c r="BG13" s="702"/>
      <c r="BH13" s="725"/>
      <c r="BJ13" s="668" t="s">
        <v>672</v>
      </c>
      <c r="BK13" s="669" t="str">
        <f>BJ13</f>
        <v>RSR/RSROPCL</v>
      </c>
      <c r="BL13" s="670" t="s">
        <v>669</v>
      </c>
      <c r="BM13" s="702">
        <f>'JSO (t)'!G18</f>
        <v>4.1099999999999998E-2</v>
      </c>
      <c r="BN13" s="703">
        <f>'JSO (t)'!H18</f>
        <v>1.1599999999999999E-2</v>
      </c>
      <c r="BO13" s="702"/>
      <c r="BP13" s="702"/>
      <c r="BQ13" s="702"/>
      <c r="BR13" s="707"/>
      <c r="BS13" s="705"/>
      <c r="BT13" s="707"/>
      <c r="BU13" s="705"/>
      <c r="BV13" s="706"/>
      <c r="BW13" s="705"/>
      <c r="BX13" s="705"/>
      <c r="BY13" s="703">
        <f>'JSO (t)'!L19</f>
        <v>5.7999999999999996E-3</v>
      </c>
      <c r="BZ13" s="702"/>
      <c r="CA13" s="702"/>
      <c r="CB13" s="725"/>
    </row>
    <row r="14" spans="2:80" ht="15" customHeight="1" x14ac:dyDescent="0.2">
      <c r="B14" s="668" t="s">
        <v>554</v>
      </c>
      <c r="C14" s="669" t="s">
        <v>554</v>
      </c>
      <c r="D14" s="670" t="s">
        <v>668</v>
      </c>
      <c r="E14" s="702">
        <f>'NUoS (t)'!G21</f>
        <v>0.46579999999999999</v>
      </c>
      <c r="F14" s="703">
        <f>'NUoS (t)'!H21</f>
        <v>0.13779999999999998</v>
      </c>
      <c r="G14" s="702"/>
      <c r="H14" s="702"/>
      <c r="I14" s="702"/>
      <c r="J14" s="707"/>
      <c r="K14" s="705"/>
      <c r="L14" s="707"/>
      <c r="M14" s="705"/>
      <c r="N14" s="706"/>
      <c r="O14" s="705"/>
      <c r="P14" s="705"/>
      <c r="Q14" s="703"/>
      <c r="R14" s="702">
        <f>'NUoS (t)'!M21</f>
        <v>0.17230000000000001</v>
      </c>
      <c r="S14" s="702">
        <f>'NUoS (t)'!N21</f>
        <v>6.9000000000000006E-2</v>
      </c>
      <c r="T14" s="725">
        <f>'NUoS (t)'!O21</f>
        <v>3.4500000000000003E-2</v>
      </c>
      <c r="V14" s="668" t="s">
        <v>554</v>
      </c>
      <c r="W14" s="669" t="s">
        <v>554</v>
      </c>
      <c r="X14" s="670" t="s">
        <v>668</v>
      </c>
      <c r="Y14" s="702">
        <f>'DUoS (t)'!G21</f>
        <v>0.42470000000000002</v>
      </c>
      <c r="Z14" s="703">
        <f>'DUoS (t)'!H21</f>
        <v>9.2299999999999993E-2</v>
      </c>
      <c r="AA14" s="702"/>
      <c r="AB14" s="702"/>
      <c r="AC14" s="702"/>
      <c r="AD14" s="707"/>
      <c r="AE14" s="705"/>
      <c r="AF14" s="707"/>
      <c r="AG14" s="705"/>
      <c r="AH14" s="706"/>
      <c r="AI14" s="705"/>
      <c r="AJ14" s="705"/>
      <c r="AK14" s="703"/>
      <c r="AL14" s="702">
        <f>'DUoS (t)'!M21</f>
        <v>0.1154</v>
      </c>
      <c r="AM14" s="702">
        <f>'DUoS (t)'!N21</f>
        <v>4.6199999999999998E-2</v>
      </c>
      <c r="AN14" s="725">
        <f>'DUoS (t)'!O21</f>
        <v>2.3099999999999999E-2</v>
      </c>
      <c r="AP14" s="668" t="s">
        <v>554</v>
      </c>
      <c r="AQ14" s="669" t="s">
        <v>554</v>
      </c>
      <c r="AR14" s="670" t="s">
        <v>668</v>
      </c>
      <c r="AS14" s="702">
        <f>'TUoS (t)'!G21</f>
        <v>0</v>
      </c>
      <c r="AT14" s="703">
        <f>'TUoS (t)'!H21</f>
        <v>3.39E-2</v>
      </c>
      <c r="AU14" s="702"/>
      <c r="AV14" s="702"/>
      <c r="AW14" s="702"/>
      <c r="AX14" s="707"/>
      <c r="AY14" s="705"/>
      <c r="AZ14" s="707"/>
      <c r="BA14" s="705"/>
      <c r="BB14" s="706"/>
      <c r="BC14" s="705"/>
      <c r="BD14" s="705"/>
      <c r="BE14" s="703"/>
      <c r="BF14" s="702">
        <f>'TUoS (t)'!M21</f>
        <v>4.24E-2</v>
      </c>
      <c r="BG14" s="702">
        <f>'TUoS (t)'!N21</f>
        <v>1.7000000000000001E-2</v>
      </c>
      <c r="BH14" s="725">
        <f>'TUoS (t)'!O21</f>
        <v>8.5000000000000006E-3</v>
      </c>
      <c r="BJ14" s="668" t="s">
        <v>554</v>
      </c>
      <c r="BK14" s="669" t="s">
        <v>554</v>
      </c>
      <c r="BL14" s="670" t="s">
        <v>668</v>
      </c>
      <c r="BM14" s="702">
        <f>'JSO (t)'!G21</f>
        <v>4.1099999999999998E-2</v>
      </c>
      <c r="BN14" s="703">
        <f>'JSO (t)'!H21</f>
        <v>1.1599999999999999E-2</v>
      </c>
      <c r="BO14" s="702"/>
      <c r="BP14" s="702"/>
      <c r="BQ14" s="702"/>
      <c r="BR14" s="707"/>
      <c r="BS14" s="705"/>
      <c r="BT14" s="707"/>
      <c r="BU14" s="705"/>
      <c r="BV14" s="706"/>
      <c r="BW14" s="705"/>
      <c r="BX14" s="705"/>
      <c r="BY14" s="703"/>
      <c r="BZ14" s="702">
        <f>'JSO (t)'!M21</f>
        <v>1.4500000000000001E-2</v>
      </c>
      <c r="CA14" s="702">
        <f>'JSO (t)'!N21</f>
        <v>5.7999999999999996E-3</v>
      </c>
      <c r="CB14" s="725">
        <f>'JSO (t)'!O21</f>
        <v>2.8999999999999998E-3</v>
      </c>
    </row>
    <row r="15" spans="2:80" ht="15" customHeight="1" x14ac:dyDescent="0.2">
      <c r="B15" s="790" t="s">
        <v>555</v>
      </c>
      <c r="C15" s="791" t="str">
        <f t="shared" ref="C15:C16" si="0">B15</f>
        <v>RTOU/RTOUCL</v>
      </c>
      <c r="D15" s="107" t="s">
        <v>50</v>
      </c>
      <c r="E15" s="709">
        <f>'NUoS (t)'!G22</f>
        <v>0.46579999999999999</v>
      </c>
      <c r="F15" s="792"/>
      <c r="G15" s="709">
        <f>'NUoS (t)'!I22</f>
        <v>0.17230000000000001</v>
      </c>
      <c r="H15" s="709">
        <f>'NUoS (t)'!J22</f>
        <v>6.9000000000000006E-2</v>
      </c>
      <c r="I15" s="709">
        <f>'NUoS (t)'!K22</f>
        <v>3.4500000000000003E-2</v>
      </c>
      <c r="J15" s="795"/>
      <c r="K15" s="793"/>
      <c r="L15" s="795"/>
      <c r="M15" s="793"/>
      <c r="N15" s="794"/>
      <c r="O15" s="793"/>
      <c r="P15" s="793"/>
      <c r="Q15" s="792"/>
      <c r="R15" s="709">
        <f>'NUoS (t)'!M23</f>
        <v>0.17230000000000001</v>
      </c>
      <c r="S15" s="709">
        <f>'NUoS (t)'!N23</f>
        <v>6.9000000000000006E-2</v>
      </c>
      <c r="T15" s="805">
        <f>'NUoS (t)'!O23</f>
        <v>3.4500000000000003E-2</v>
      </c>
      <c r="V15" s="790" t="s">
        <v>555</v>
      </c>
      <c r="W15" s="791" t="str">
        <f t="shared" ref="W15:W16" si="1">V15</f>
        <v>RTOU/RTOUCL</v>
      </c>
      <c r="X15" s="107" t="s">
        <v>50</v>
      </c>
      <c r="Y15" s="709">
        <f>'DUoS (t)'!G22</f>
        <v>0.42470000000000002</v>
      </c>
      <c r="Z15" s="792"/>
      <c r="AA15" s="709">
        <f>'DUoS (t)'!I22</f>
        <v>0.1154</v>
      </c>
      <c r="AB15" s="709">
        <f>'DUoS (t)'!J22</f>
        <v>4.6199999999999998E-2</v>
      </c>
      <c r="AC15" s="709">
        <f>'DUoS (t)'!K22</f>
        <v>2.3099999999999999E-2</v>
      </c>
      <c r="AD15" s="795"/>
      <c r="AE15" s="793"/>
      <c r="AF15" s="795"/>
      <c r="AG15" s="793"/>
      <c r="AH15" s="794"/>
      <c r="AI15" s="793"/>
      <c r="AJ15" s="793"/>
      <c r="AK15" s="792"/>
      <c r="AL15" s="709">
        <f>'DUoS (t)'!M23</f>
        <v>0.1154</v>
      </c>
      <c r="AM15" s="709">
        <f>'DUoS (t)'!N23</f>
        <v>4.6199999999999998E-2</v>
      </c>
      <c r="AN15" s="805">
        <f>'DUoS (t)'!O23</f>
        <v>2.3099999999999999E-2</v>
      </c>
      <c r="AP15" s="790" t="s">
        <v>555</v>
      </c>
      <c r="AQ15" s="791" t="str">
        <f t="shared" ref="AQ15:AQ16" si="2">AP15</f>
        <v>RTOU/RTOUCL</v>
      </c>
      <c r="AR15" s="107" t="s">
        <v>50</v>
      </c>
      <c r="AS15" s="709">
        <f>'TUoS (t)'!G22</f>
        <v>0</v>
      </c>
      <c r="AT15" s="792"/>
      <c r="AU15" s="709">
        <f>'TUoS (t)'!I22</f>
        <v>4.24E-2</v>
      </c>
      <c r="AV15" s="709">
        <f>'TUoS (t)'!J22</f>
        <v>1.7000000000000001E-2</v>
      </c>
      <c r="AW15" s="709">
        <f>'TUoS (t)'!K22</f>
        <v>8.5000000000000006E-3</v>
      </c>
      <c r="AX15" s="795"/>
      <c r="AY15" s="793"/>
      <c r="AZ15" s="795"/>
      <c r="BA15" s="793"/>
      <c r="BB15" s="794"/>
      <c r="BC15" s="793"/>
      <c r="BD15" s="793"/>
      <c r="BE15" s="792"/>
      <c r="BF15" s="709">
        <f>'TUoS (t)'!M23</f>
        <v>4.24E-2</v>
      </c>
      <c r="BG15" s="709">
        <f>'TUoS (t)'!N23</f>
        <v>1.7000000000000001E-2</v>
      </c>
      <c r="BH15" s="805">
        <f>'TUoS (t)'!O23</f>
        <v>8.5000000000000006E-3</v>
      </c>
      <c r="BJ15" s="790" t="s">
        <v>555</v>
      </c>
      <c r="BK15" s="791" t="str">
        <f t="shared" ref="BK15:BK16" si="3">BJ15</f>
        <v>RTOU/RTOUCL</v>
      </c>
      <c r="BL15" s="107" t="s">
        <v>50</v>
      </c>
      <c r="BM15" s="709">
        <f>'JSO (t)'!G22</f>
        <v>4.1099999999999998E-2</v>
      </c>
      <c r="BN15" s="792"/>
      <c r="BO15" s="709">
        <f>'JSO (t)'!I22</f>
        <v>1.4500000000000001E-2</v>
      </c>
      <c r="BP15" s="709">
        <f>'JSO (t)'!J22</f>
        <v>5.7999999999999996E-3</v>
      </c>
      <c r="BQ15" s="709">
        <f>'JSO (t)'!K22</f>
        <v>2.8999999999999998E-3</v>
      </c>
      <c r="BR15" s="795"/>
      <c r="BS15" s="793"/>
      <c r="BT15" s="795"/>
      <c r="BU15" s="793"/>
      <c r="BV15" s="794"/>
      <c r="BW15" s="793"/>
      <c r="BX15" s="793"/>
      <c r="BY15" s="792"/>
      <c r="BZ15" s="709">
        <f>'JSO (t)'!M23</f>
        <v>1.4500000000000001E-2</v>
      </c>
      <c r="CA15" s="709">
        <f>'JSO (t)'!N23</f>
        <v>5.7999999999999996E-3</v>
      </c>
      <c r="CB15" s="805">
        <f>'JSO (t)'!O23</f>
        <v>2.8999999999999998E-3</v>
      </c>
    </row>
    <row r="16" spans="2:80" ht="15" customHeight="1" x14ac:dyDescent="0.2">
      <c r="B16" s="790" t="s">
        <v>556</v>
      </c>
      <c r="C16" s="791" t="str">
        <f t="shared" si="0"/>
        <v>RPRO/RPROCL</v>
      </c>
      <c r="D16" s="107" t="s">
        <v>54</v>
      </c>
      <c r="E16" s="709">
        <f>'NUoS (t)'!G24</f>
        <v>0.46579999999999999</v>
      </c>
      <c r="F16" s="796"/>
      <c r="G16" s="797">
        <f>'NUoS (t)'!I24</f>
        <v>0.10329999999999999</v>
      </c>
      <c r="H16" s="797">
        <f>'NUoS (t)'!J24</f>
        <v>4.1400000000000006E-2</v>
      </c>
      <c r="I16" s="797">
        <f>'NUoS (t)'!K24</f>
        <v>2.06E-2</v>
      </c>
      <c r="J16" s="795"/>
      <c r="K16" s="793"/>
      <c r="L16" s="795"/>
      <c r="M16" s="793"/>
      <c r="N16" s="794"/>
      <c r="O16" s="797">
        <f>'NUoS (t)'!U24</f>
        <v>0.7661</v>
      </c>
      <c r="P16" s="793"/>
      <c r="Q16" s="796"/>
      <c r="R16" s="797">
        <f>'NUoS (t)'!M25</f>
        <v>0.17230000000000001</v>
      </c>
      <c r="S16" s="797">
        <f>'NUoS (t)'!N25</f>
        <v>6.9000000000000006E-2</v>
      </c>
      <c r="T16" s="814">
        <f>'NUoS (t)'!O25</f>
        <v>3.4500000000000003E-2</v>
      </c>
      <c r="V16" s="790" t="s">
        <v>556</v>
      </c>
      <c r="W16" s="791" t="str">
        <f t="shared" si="1"/>
        <v>RPRO/RPROCL</v>
      </c>
      <c r="X16" s="107" t="s">
        <v>54</v>
      </c>
      <c r="Y16" s="709">
        <f>'DUoS (t)'!G24</f>
        <v>0.42470000000000002</v>
      </c>
      <c r="Z16" s="796"/>
      <c r="AA16" s="797">
        <f>'DUoS (t)'!I24</f>
        <v>6.9199999999999998E-2</v>
      </c>
      <c r="AB16" s="797">
        <f>'DUoS (t)'!J24</f>
        <v>2.7699999999999999E-2</v>
      </c>
      <c r="AC16" s="797">
        <f>'DUoS (t)'!K24</f>
        <v>1.38E-2</v>
      </c>
      <c r="AD16" s="795"/>
      <c r="AE16" s="793"/>
      <c r="AF16" s="795"/>
      <c r="AG16" s="793"/>
      <c r="AH16" s="794"/>
      <c r="AI16" s="797">
        <f>'DUoS (t)'!U24</f>
        <v>0.51319999999999999</v>
      </c>
      <c r="AJ16" s="793"/>
      <c r="AK16" s="796"/>
      <c r="AL16" s="797">
        <f>'DUoS (t)'!M25</f>
        <v>0.1154</v>
      </c>
      <c r="AM16" s="797">
        <f>'DUoS (t)'!N25</f>
        <v>4.6199999999999998E-2</v>
      </c>
      <c r="AN16" s="814">
        <f>'DUoS (t)'!O25</f>
        <v>2.3099999999999999E-2</v>
      </c>
      <c r="AP16" s="790" t="s">
        <v>556</v>
      </c>
      <c r="AQ16" s="791" t="str">
        <f t="shared" si="2"/>
        <v>RPRO/RPROCL</v>
      </c>
      <c r="AR16" s="107" t="s">
        <v>54</v>
      </c>
      <c r="AS16" s="709">
        <f>'TUoS (t)'!G24</f>
        <v>0</v>
      </c>
      <c r="AT16" s="796"/>
      <c r="AU16" s="797">
        <f>'TUoS (t)'!I24</f>
        <v>2.5399999999999999E-2</v>
      </c>
      <c r="AV16" s="797">
        <f>'TUoS (t)'!J24</f>
        <v>1.0200000000000001E-2</v>
      </c>
      <c r="AW16" s="797">
        <f>'TUoS (t)'!K24</f>
        <v>5.1000000000000004E-3</v>
      </c>
      <c r="AX16" s="795"/>
      <c r="AY16" s="793"/>
      <c r="AZ16" s="795"/>
      <c r="BA16" s="793"/>
      <c r="BB16" s="794"/>
      <c r="BC16" s="797">
        <f>'TUoS (t)'!U24</f>
        <v>0.18870000000000001</v>
      </c>
      <c r="BD16" s="793"/>
      <c r="BE16" s="796"/>
      <c r="BF16" s="797">
        <f>'TUoS (t)'!M25</f>
        <v>4.24E-2</v>
      </c>
      <c r="BG16" s="797">
        <f>'TUoS (t)'!N25</f>
        <v>1.7000000000000001E-2</v>
      </c>
      <c r="BH16" s="814">
        <f>'TUoS (t)'!O25</f>
        <v>8.5000000000000006E-3</v>
      </c>
      <c r="BJ16" s="790" t="s">
        <v>556</v>
      </c>
      <c r="BK16" s="791" t="str">
        <f t="shared" si="3"/>
        <v>RPRO/RPROCL</v>
      </c>
      <c r="BL16" s="107" t="s">
        <v>54</v>
      </c>
      <c r="BM16" s="709">
        <f>'JSO (t)'!G24</f>
        <v>4.1099999999999998E-2</v>
      </c>
      <c r="BN16" s="796"/>
      <c r="BO16" s="797">
        <f>'JSO (t)'!I24</f>
        <v>8.6999999999999994E-3</v>
      </c>
      <c r="BP16" s="797">
        <f>'JSO (t)'!J24</f>
        <v>3.5000000000000001E-3</v>
      </c>
      <c r="BQ16" s="797">
        <f>'JSO (t)'!K24</f>
        <v>1.6999999999999999E-3</v>
      </c>
      <c r="BR16" s="795"/>
      <c r="BS16" s="793"/>
      <c r="BT16" s="795"/>
      <c r="BU16" s="793"/>
      <c r="BV16" s="794"/>
      <c r="BW16" s="797">
        <f>'JSO (t)'!U24</f>
        <v>6.4199999999999993E-2</v>
      </c>
      <c r="BX16" s="793"/>
      <c r="BY16" s="796"/>
      <c r="BZ16" s="797">
        <f>'JSO (t)'!M25</f>
        <v>1.4500000000000001E-2</v>
      </c>
      <c r="CA16" s="797">
        <f>'JSO (t)'!N25</f>
        <v>5.7999999999999996E-3</v>
      </c>
      <c r="CB16" s="814">
        <f>'JSO (t)'!O25</f>
        <v>2.8999999999999998E-3</v>
      </c>
    </row>
    <row r="17" spans="2:80" ht="15" customHeight="1" x14ac:dyDescent="0.2">
      <c r="B17" s="662" t="s">
        <v>58</v>
      </c>
      <c r="C17" s="14"/>
      <c r="D17" s="13"/>
      <c r="E17" s="708"/>
      <c r="F17" s="696"/>
      <c r="G17" s="697"/>
      <c r="H17" s="697"/>
      <c r="I17" s="700"/>
      <c r="J17" s="696"/>
      <c r="K17" s="697"/>
      <c r="L17" s="696"/>
      <c r="M17" s="697"/>
      <c r="N17" s="700"/>
      <c r="O17" s="697"/>
      <c r="P17" s="697"/>
      <c r="Q17" s="792"/>
      <c r="R17" s="709"/>
      <c r="S17" s="709"/>
      <c r="T17" s="805"/>
      <c r="V17" s="662" t="s">
        <v>58</v>
      </c>
      <c r="W17" s="14"/>
      <c r="X17" s="13"/>
      <c r="Y17" s="708"/>
      <c r="Z17" s="696"/>
      <c r="AA17" s="697"/>
      <c r="AB17" s="697"/>
      <c r="AC17" s="700"/>
      <c r="AD17" s="696"/>
      <c r="AE17" s="697"/>
      <c r="AF17" s="696"/>
      <c r="AG17" s="697"/>
      <c r="AH17" s="700"/>
      <c r="AI17" s="697"/>
      <c r="AJ17" s="697"/>
      <c r="AK17" s="792"/>
      <c r="AL17" s="709"/>
      <c r="AM17" s="709"/>
      <c r="AN17" s="805"/>
      <c r="AP17" s="662" t="s">
        <v>58</v>
      </c>
      <c r="AQ17" s="14"/>
      <c r="AR17" s="13"/>
      <c r="AS17" s="708"/>
      <c r="AT17" s="696"/>
      <c r="AU17" s="697"/>
      <c r="AV17" s="697"/>
      <c r="AW17" s="700"/>
      <c r="AX17" s="696"/>
      <c r="AY17" s="697"/>
      <c r="AZ17" s="696"/>
      <c r="BA17" s="697"/>
      <c r="BB17" s="700"/>
      <c r="BC17" s="697"/>
      <c r="BD17" s="697"/>
      <c r="BE17" s="792"/>
      <c r="BF17" s="709"/>
      <c r="BG17" s="709"/>
      <c r="BH17" s="805"/>
      <c r="BJ17" s="662" t="s">
        <v>58</v>
      </c>
      <c r="BK17" s="14"/>
      <c r="BL17" s="13"/>
      <c r="BM17" s="708"/>
      <c r="BN17" s="696"/>
      <c r="BO17" s="697"/>
      <c r="BP17" s="697"/>
      <c r="BQ17" s="700"/>
      <c r="BR17" s="696"/>
      <c r="BS17" s="697"/>
      <c r="BT17" s="696"/>
      <c r="BU17" s="697"/>
      <c r="BV17" s="700"/>
      <c r="BW17" s="697"/>
      <c r="BX17" s="697"/>
      <c r="BY17" s="792"/>
      <c r="BZ17" s="709"/>
      <c r="CA17" s="709"/>
      <c r="CB17" s="805"/>
    </row>
    <row r="18" spans="2:80" ht="15" customHeight="1" x14ac:dyDescent="0.2">
      <c r="B18" s="663" t="s">
        <v>59</v>
      </c>
      <c r="C18" s="37"/>
      <c r="D18" s="10"/>
      <c r="E18" s="685"/>
      <c r="F18" s="688"/>
      <c r="G18" s="689"/>
      <c r="H18" s="689"/>
      <c r="I18" s="690"/>
      <c r="J18" s="688"/>
      <c r="K18" s="689"/>
      <c r="L18" s="783"/>
      <c r="M18" s="784"/>
      <c r="N18" s="785"/>
      <c r="O18" s="784"/>
      <c r="P18" s="784"/>
      <c r="Q18" s="792"/>
      <c r="R18" s="709"/>
      <c r="S18" s="709"/>
      <c r="T18" s="805"/>
      <c r="V18" s="663" t="s">
        <v>59</v>
      </c>
      <c r="W18" s="37"/>
      <c r="X18" s="10"/>
      <c r="Y18" s="685"/>
      <c r="Z18" s="783"/>
      <c r="AA18" s="784"/>
      <c r="AB18" s="784"/>
      <c r="AC18" s="785"/>
      <c r="AD18" s="783"/>
      <c r="AE18" s="784"/>
      <c r="AF18" s="783"/>
      <c r="AG18" s="784"/>
      <c r="AH18" s="785"/>
      <c r="AI18" s="784"/>
      <c r="AJ18" s="784"/>
      <c r="AK18" s="792"/>
      <c r="AL18" s="709"/>
      <c r="AM18" s="709"/>
      <c r="AN18" s="805"/>
      <c r="AP18" s="663" t="s">
        <v>59</v>
      </c>
      <c r="AQ18" s="37"/>
      <c r="AR18" s="10"/>
      <c r="AS18" s="685"/>
      <c r="AT18" s="783"/>
      <c r="AU18" s="784"/>
      <c r="AV18" s="784"/>
      <c r="AW18" s="785"/>
      <c r="AX18" s="783"/>
      <c r="AY18" s="784"/>
      <c r="AZ18" s="783"/>
      <c r="BA18" s="784"/>
      <c r="BB18" s="785"/>
      <c r="BC18" s="784"/>
      <c r="BD18" s="784"/>
      <c r="BE18" s="792"/>
      <c r="BF18" s="709"/>
      <c r="BG18" s="709"/>
      <c r="BH18" s="805"/>
      <c r="BJ18" s="663" t="s">
        <v>59</v>
      </c>
      <c r="BK18" s="37"/>
      <c r="BL18" s="10"/>
      <c r="BM18" s="685"/>
      <c r="BN18" s="783"/>
      <c r="BO18" s="784"/>
      <c r="BP18" s="784"/>
      <c r="BQ18" s="785"/>
      <c r="BR18" s="783"/>
      <c r="BS18" s="784"/>
      <c r="BT18" s="783"/>
      <c r="BU18" s="784"/>
      <c r="BV18" s="785"/>
      <c r="BW18" s="784"/>
      <c r="BX18" s="784"/>
      <c r="BY18" s="792"/>
      <c r="BZ18" s="709"/>
      <c r="CA18" s="709"/>
      <c r="CB18" s="805"/>
    </row>
    <row r="19" spans="2:80" ht="15" customHeight="1" x14ac:dyDescent="0.2">
      <c r="B19" s="668" t="s">
        <v>60</v>
      </c>
      <c r="C19" s="669" t="str">
        <f t="shared" ref="C19:C20" si="4">B19</f>
        <v>LVUU</v>
      </c>
      <c r="D19" s="670" t="s">
        <v>61</v>
      </c>
      <c r="E19" s="702">
        <f>'NUoS (t)'!G28</f>
        <v>0</v>
      </c>
      <c r="F19" s="703">
        <f>'NUoS (t)'!H28</f>
        <v>9.8400000000000001E-2</v>
      </c>
      <c r="G19" s="711"/>
      <c r="H19" s="711"/>
      <c r="I19" s="712"/>
      <c r="J19" s="713"/>
      <c r="K19" s="711"/>
      <c r="L19" s="713"/>
      <c r="M19" s="711"/>
      <c r="N19" s="712"/>
      <c r="O19" s="711"/>
      <c r="P19" s="711"/>
      <c r="Q19" s="713"/>
      <c r="R19" s="711"/>
      <c r="S19" s="711"/>
      <c r="T19" s="714"/>
      <c r="V19" s="668" t="s">
        <v>60</v>
      </c>
      <c r="W19" s="669" t="str">
        <f t="shared" ref="W19:W20" si="5">V19</f>
        <v>LVUU</v>
      </c>
      <c r="X19" s="670" t="s">
        <v>61</v>
      </c>
      <c r="Y19" s="702">
        <f>'DUoS (t)'!G28</f>
        <v>0</v>
      </c>
      <c r="Z19" s="703">
        <f>'DUoS (t)'!H28</f>
        <v>6.8000000000000005E-2</v>
      </c>
      <c r="AA19" s="711"/>
      <c r="AB19" s="711"/>
      <c r="AC19" s="712"/>
      <c r="AD19" s="713"/>
      <c r="AE19" s="711"/>
      <c r="AF19" s="713"/>
      <c r="AG19" s="711"/>
      <c r="AH19" s="712"/>
      <c r="AI19" s="711"/>
      <c r="AJ19" s="711"/>
      <c r="AK19" s="713"/>
      <c r="AL19" s="711"/>
      <c r="AM19" s="711"/>
      <c r="AN19" s="714"/>
      <c r="AP19" s="668" t="s">
        <v>60</v>
      </c>
      <c r="AQ19" s="669" t="str">
        <f t="shared" ref="AQ19:AQ20" si="6">AP19</f>
        <v>LVUU</v>
      </c>
      <c r="AR19" s="670" t="s">
        <v>61</v>
      </c>
      <c r="AS19" s="702">
        <f>'TUoS (t)'!G28</f>
        <v>0</v>
      </c>
      <c r="AT19" s="703">
        <f>'TUoS (t)'!H28</f>
        <v>2.52E-2</v>
      </c>
      <c r="AU19" s="711"/>
      <c r="AV19" s="711"/>
      <c r="AW19" s="712"/>
      <c r="AX19" s="713"/>
      <c r="AY19" s="711"/>
      <c r="AZ19" s="713"/>
      <c r="BA19" s="711"/>
      <c r="BB19" s="712"/>
      <c r="BC19" s="711"/>
      <c r="BD19" s="711"/>
      <c r="BE19" s="713"/>
      <c r="BF19" s="711"/>
      <c r="BG19" s="711"/>
      <c r="BH19" s="714"/>
      <c r="BJ19" s="668" t="s">
        <v>60</v>
      </c>
      <c r="BK19" s="669" t="str">
        <f t="shared" ref="BK19:BK20" si="7">BJ19</f>
        <v>LVUU</v>
      </c>
      <c r="BL19" s="670" t="s">
        <v>61</v>
      </c>
      <c r="BM19" s="702">
        <f>'JSO (t)'!G28</f>
        <v>0</v>
      </c>
      <c r="BN19" s="703">
        <f>'JSO (t)'!H28</f>
        <v>5.1999999999999998E-3</v>
      </c>
      <c r="BO19" s="711"/>
      <c r="BP19" s="711"/>
      <c r="BQ19" s="712"/>
      <c r="BR19" s="713"/>
      <c r="BS19" s="711"/>
      <c r="BT19" s="713"/>
      <c r="BU19" s="711"/>
      <c r="BV19" s="712"/>
      <c r="BW19" s="711"/>
      <c r="BX19" s="711"/>
      <c r="BY19" s="713"/>
      <c r="BZ19" s="711"/>
      <c r="CA19" s="711"/>
      <c r="CB19" s="714"/>
    </row>
    <row r="20" spans="2:80" ht="15" customHeight="1" x14ac:dyDescent="0.2">
      <c r="B20" s="668" t="s">
        <v>62</v>
      </c>
      <c r="C20" s="669" t="str">
        <f t="shared" si="4"/>
        <v>LVUU24</v>
      </c>
      <c r="D20" s="670" t="s">
        <v>63</v>
      </c>
      <c r="E20" s="702">
        <f>'NUoS (t)'!G29</f>
        <v>0</v>
      </c>
      <c r="F20" s="703">
        <f>'NUoS (t)'!H29</f>
        <v>9.8400000000000001E-2</v>
      </c>
      <c r="G20" s="711"/>
      <c r="H20" s="711"/>
      <c r="I20" s="712"/>
      <c r="J20" s="713"/>
      <c r="K20" s="711"/>
      <c r="L20" s="713"/>
      <c r="M20" s="711"/>
      <c r="N20" s="712"/>
      <c r="O20" s="711"/>
      <c r="P20" s="711"/>
      <c r="Q20" s="713"/>
      <c r="R20" s="711"/>
      <c r="S20" s="711"/>
      <c r="T20" s="714"/>
      <c r="V20" s="668" t="s">
        <v>62</v>
      </c>
      <c r="W20" s="669" t="str">
        <f t="shared" si="5"/>
        <v>LVUU24</v>
      </c>
      <c r="X20" s="670" t="s">
        <v>63</v>
      </c>
      <c r="Y20" s="702">
        <f>'DUoS (t)'!G29</f>
        <v>0</v>
      </c>
      <c r="Z20" s="703">
        <f>'DUoS (t)'!H29</f>
        <v>6.8000000000000005E-2</v>
      </c>
      <c r="AA20" s="711"/>
      <c r="AB20" s="711"/>
      <c r="AC20" s="712"/>
      <c r="AD20" s="713"/>
      <c r="AE20" s="711"/>
      <c r="AF20" s="713"/>
      <c r="AG20" s="711"/>
      <c r="AH20" s="712"/>
      <c r="AI20" s="711"/>
      <c r="AJ20" s="711"/>
      <c r="AK20" s="713"/>
      <c r="AL20" s="711"/>
      <c r="AM20" s="711"/>
      <c r="AN20" s="714"/>
      <c r="AP20" s="668" t="s">
        <v>62</v>
      </c>
      <c r="AQ20" s="669" t="str">
        <f t="shared" si="6"/>
        <v>LVUU24</v>
      </c>
      <c r="AR20" s="670" t="s">
        <v>63</v>
      </c>
      <c r="AS20" s="702">
        <f>'TUoS (t)'!G29</f>
        <v>0</v>
      </c>
      <c r="AT20" s="703">
        <f>'TUoS (t)'!H29</f>
        <v>2.52E-2</v>
      </c>
      <c r="AU20" s="711"/>
      <c r="AV20" s="711"/>
      <c r="AW20" s="712"/>
      <c r="AX20" s="713"/>
      <c r="AY20" s="711"/>
      <c r="AZ20" s="713"/>
      <c r="BA20" s="711"/>
      <c r="BB20" s="712"/>
      <c r="BC20" s="711"/>
      <c r="BD20" s="711"/>
      <c r="BE20" s="713"/>
      <c r="BF20" s="711"/>
      <c r="BG20" s="711"/>
      <c r="BH20" s="714"/>
      <c r="BJ20" s="668" t="s">
        <v>62</v>
      </c>
      <c r="BK20" s="669" t="str">
        <f t="shared" si="7"/>
        <v>LVUU24</v>
      </c>
      <c r="BL20" s="670" t="s">
        <v>63</v>
      </c>
      <c r="BM20" s="702">
        <f>'JSO (t)'!G29</f>
        <v>0</v>
      </c>
      <c r="BN20" s="703">
        <f>'JSO (t)'!H29</f>
        <v>5.1999999999999998E-3</v>
      </c>
      <c r="BO20" s="711"/>
      <c r="BP20" s="711"/>
      <c r="BQ20" s="712"/>
      <c r="BR20" s="713"/>
      <c r="BS20" s="711"/>
      <c r="BT20" s="713"/>
      <c r="BU20" s="711"/>
      <c r="BV20" s="712"/>
      <c r="BW20" s="711"/>
      <c r="BX20" s="711"/>
      <c r="BY20" s="713"/>
      <c r="BZ20" s="711"/>
      <c r="CA20" s="711"/>
      <c r="CB20" s="714"/>
    </row>
    <row r="21" spans="2:80" ht="15" customHeight="1" x14ac:dyDescent="0.2">
      <c r="B21" s="664" t="s">
        <v>64</v>
      </c>
      <c r="C21" s="85"/>
      <c r="D21" s="85"/>
      <c r="E21" s="685"/>
      <c r="F21" s="715"/>
      <c r="G21" s="716"/>
      <c r="H21" s="716"/>
      <c r="I21" s="717"/>
      <c r="J21" s="715"/>
      <c r="K21" s="716"/>
      <c r="L21" s="715"/>
      <c r="M21" s="716"/>
      <c r="N21" s="717"/>
      <c r="O21" s="716"/>
      <c r="P21" s="716"/>
      <c r="Q21" s="715"/>
      <c r="R21" s="716"/>
      <c r="S21" s="716"/>
      <c r="T21" s="718"/>
      <c r="V21" s="664" t="s">
        <v>64</v>
      </c>
      <c r="W21" s="85"/>
      <c r="X21" s="85"/>
      <c r="Y21" s="685"/>
      <c r="Z21" s="715"/>
      <c r="AA21" s="716"/>
      <c r="AB21" s="716"/>
      <c r="AC21" s="717"/>
      <c r="AD21" s="715"/>
      <c r="AE21" s="716"/>
      <c r="AF21" s="715"/>
      <c r="AG21" s="716"/>
      <c r="AH21" s="717"/>
      <c r="AI21" s="716"/>
      <c r="AJ21" s="716"/>
      <c r="AK21" s="715"/>
      <c r="AL21" s="716"/>
      <c r="AM21" s="716"/>
      <c r="AN21" s="718"/>
      <c r="AP21" s="664" t="s">
        <v>64</v>
      </c>
      <c r="AQ21" s="85"/>
      <c r="AR21" s="85"/>
      <c r="AS21" s="685"/>
      <c r="AT21" s="715"/>
      <c r="AU21" s="716"/>
      <c r="AV21" s="716"/>
      <c r="AW21" s="717"/>
      <c r="AX21" s="715"/>
      <c r="AY21" s="716"/>
      <c r="AZ21" s="715"/>
      <c r="BA21" s="716"/>
      <c r="BB21" s="717"/>
      <c r="BC21" s="716"/>
      <c r="BD21" s="716"/>
      <c r="BE21" s="715"/>
      <c r="BF21" s="716"/>
      <c r="BG21" s="716"/>
      <c r="BH21" s="718"/>
      <c r="BJ21" s="664" t="s">
        <v>64</v>
      </c>
      <c r="BK21" s="85"/>
      <c r="BL21" s="85"/>
      <c r="BM21" s="685"/>
      <c r="BN21" s="715"/>
      <c r="BO21" s="716"/>
      <c r="BP21" s="716"/>
      <c r="BQ21" s="717"/>
      <c r="BR21" s="715"/>
      <c r="BS21" s="716"/>
      <c r="BT21" s="715"/>
      <c r="BU21" s="716"/>
      <c r="BV21" s="717"/>
      <c r="BW21" s="716"/>
      <c r="BX21" s="716"/>
      <c r="BY21" s="715"/>
      <c r="BZ21" s="716"/>
      <c r="CA21" s="716"/>
      <c r="CB21" s="718"/>
    </row>
    <row r="22" spans="2:80" ht="15" customHeight="1" x14ac:dyDescent="0.2">
      <c r="B22" s="668" t="s">
        <v>557</v>
      </c>
      <c r="C22" s="669" t="str">
        <f t="shared" ref="C22:C24" si="8">B22</f>
        <v>BSR/BSRCL</v>
      </c>
      <c r="D22" s="670" t="s">
        <v>66</v>
      </c>
      <c r="E22" s="702">
        <f>'NUoS (t)'!G31</f>
        <v>0.50680000000000003</v>
      </c>
      <c r="F22" s="703">
        <f>'NUoS (t)'!H31</f>
        <v>0.15009999999999998</v>
      </c>
      <c r="G22" s="702"/>
      <c r="H22" s="702"/>
      <c r="I22" s="704"/>
      <c r="J22" s="713"/>
      <c r="K22" s="711"/>
      <c r="L22" s="713"/>
      <c r="M22" s="711"/>
      <c r="N22" s="712"/>
      <c r="O22" s="711"/>
      <c r="P22" s="711"/>
      <c r="Q22" s="703">
        <f>'NUoS (t)'!L32</f>
        <v>7.1500000000000008E-2</v>
      </c>
      <c r="R22" s="711"/>
      <c r="S22" s="711"/>
      <c r="T22" s="714"/>
      <c r="V22" s="668" t="s">
        <v>557</v>
      </c>
      <c r="W22" s="669" t="str">
        <f t="shared" ref="W22:W24" si="9">V22</f>
        <v>BSR/BSRCL</v>
      </c>
      <c r="X22" s="670" t="s">
        <v>66</v>
      </c>
      <c r="Y22" s="702">
        <f>'DUoS (t)'!G31</f>
        <v>0.4657</v>
      </c>
      <c r="Z22" s="703">
        <f>'DUoS (t)'!H31</f>
        <v>0.1045</v>
      </c>
      <c r="AA22" s="702"/>
      <c r="AB22" s="702"/>
      <c r="AC22" s="704"/>
      <c r="AD22" s="713"/>
      <c r="AE22" s="711"/>
      <c r="AF22" s="713"/>
      <c r="AG22" s="711"/>
      <c r="AH22" s="712"/>
      <c r="AI22" s="711"/>
      <c r="AJ22" s="711"/>
      <c r="AK22" s="703">
        <f>'DUoS (t)'!L32</f>
        <v>4.6199999999999998E-2</v>
      </c>
      <c r="AL22" s="711"/>
      <c r="AM22" s="711"/>
      <c r="AN22" s="714"/>
      <c r="AP22" s="668" t="s">
        <v>557</v>
      </c>
      <c r="AQ22" s="669" t="str">
        <f t="shared" ref="AQ22:AQ24" si="10">AP22</f>
        <v>BSR/BSRCL</v>
      </c>
      <c r="AR22" s="670" t="s">
        <v>66</v>
      </c>
      <c r="AS22" s="702">
        <f>'TUoS (t)'!G31</f>
        <v>0</v>
      </c>
      <c r="AT22" s="703">
        <f>'TUoS (t)'!H31</f>
        <v>3.7199999999999997E-2</v>
      </c>
      <c r="AU22" s="702"/>
      <c r="AV22" s="702"/>
      <c r="AW22" s="704"/>
      <c r="AX22" s="713"/>
      <c r="AY22" s="711"/>
      <c r="AZ22" s="713"/>
      <c r="BA22" s="711"/>
      <c r="BB22" s="712"/>
      <c r="BC22" s="711"/>
      <c r="BD22" s="711"/>
      <c r="BE22" s="703">
        <f>'TUoS (t)'!L32</f>
        <v>1.7000000000000001E-2</v>
      </c>
      <c r="BF22" s="711"/>
      <c r="BG22" s="711"/>
      <c r="BH22" s="714"/>
      <c r="BJ22" s="668" t="s">
        <v>557</v>
      </c>
      <c r="BK22" s="669" t="str">
        <f t="shared" ref="BK22:BK24" si="11">BJ22</f>
        <v>BSR/BSRCL</v>
      </c>
      <c r="BL22" s="670" t="s">
        <v>66</v>
      </c>
      <c r="BM22" s="702">
        <f>'JSO (t)'!G31</f>
        <v>4.1099999999999998E-2</v>
      </c>
      <c r="BN22" s="703">
        <f>'JSO (t)'!H31</f>
        <v>8.3999999999999995E-3</v>
      </c>
      <c r="BO22" s="702"/>
      <c r="BP22" s="702"/>
      <c r="BQ22" s="704"/>
      <c r="BR22" s="713"/>
      <c r="BS22" s="711"/>
      <c r="BT22" s="713"/>
      <c r="BU22" s="711"/>
      <c r="BV22" s="712"/>
      <c r="BW22" s="711"/>
      <c r="BX22" s="711"/>
      <c r="BY22" s="703">
        <f>'JSO (t)'!L32</f>
        <v>8.3000000000000001E-3</v>
      </c>
      <c r="BZ22" s="711"/>
      <c r="CA22" s="711"/>
      <c r="CB22" s="714"/>
    </row>
    <row r="23" spans="2:80" ht="15" customHeight="1" x14ac:dyDescent="0.2">
      <c r="B23" s="668" t="s">
        <v>558</v>
      </c>
      <c r="C23" s="669" t="str">
        <f t="shared" si="8"/>
        <v>B2R/B2RCL</v>
      </c>
      <c r="D23" s="670" t="s">
        <v>70</v>
      </c>
      <c r="E23" s="702">
        <f>'NUoS (t)'!G33</f>
        <v>0.50680000000000003</v>
      </c>
      <c r="F23" s="703"/>
      <c r="G23" s="702">
        <f>'NUoS (t)'!I33</f>
        <v>0.16930000000000001</v>
      </c>
      <c r="H23" s="702"/>
      <c r="I23" s="704">
        <f>'NUoS (t)'!K33</f>
        <v>8.4599999999999995E-2</v>
      </c>
      <c r="J23" s="713"/>
      <c r="K23" s="711"/>
      <c r="L23" s="713"/>
      <c r="M23" s="711"/>
      <c r="N23" s="712"/>
      <c r="O23" s="711"/>
      <c r="P23" s="711"/>
      <c r="Q23" s="703">
        <f>'NUoS (t)'!L34</f>
        <v>7.1500000000000008E-2</v>
      </c>
      <c r="R23" s="711"/>
      <c r="S23" s="711"/>
      <c r="T23" s="714"/>
      <c r="V23" s="668" t="s">
        <v>558</v>
      </c>
      <c r="W23" s="669" t="str">
        <f t="shared" si="9"/>
        <v>B2R/B2RCL</v>
      </c>
      <c r="X23" s="670" t="s">
        <v>70</v>
      </c>
      <c r="Y23" s="702">
        <f>'DUoS (t)'!G33</f>
        <v>0.4657</v>
      </c>
      <c r="Z23" s="703"/>
      <c r="AA23" s="702">
        <f>'DUoS (t)'!I33</f>
        <v>0.1178</v>
      </c>
      <c r="AB23" s="702"/>
      <c r="AC23" s="704">
        <f>'DUoS (t)'!K33</f>
        <v>5.8900000000000001E-2</v>
      </c>
      <c r="AD23" s="713"/>
      <c r="AE23" s="711"/>
      <c r="AF23" s="713"/>
      <c r="AG23" s="711"/>
      <c r="AH23" s="712"/>
      <c r="AI23" s="711"/>
      <c r="AJ23" s="711"/>
      <c r="AK23" s="703">
        <f>'DUoS (t)'!L34</f>
        <v>4.6199999999999998E-2</v>
      </c>
      <c r="AL23" s="711"/>
      <c r="AM23" s="711"/>
      <c r="AN23" s="714"/>
      <c r="AP23" s="668" t="s">
        <v>558</v>
      </c>
      <c r="AQ23" s="669" t="str">
        <f t="shared" si="10"/>
        <v>B2R/B2RCL</v>
      </c>
      <c r="AR23" s="670" t="s">
        <v>70</v>
      </c>
      <c r="AS23" s="702">
        <f>'TUoS (t)'!G33</f>
        <v>0</v>
      </c>
      <c r="AT23" s="703"/>
      <c r="AU23" s="702">
        <f>'TUoS (t)'!I33</f>
        <v>4.2000000000000003E-2</v>
      </c>
      <c r="AV23" s="702"/>
      <c r="AW23" s="704">
        <f>'TUoS (t)'!K33</f>
        <v>2.1000000000000001E-2</v>
      </c>
      <c r="AX23" s="713"/>
      <c r="AY23" s="711"/>
      <c r="AZ23" s="713"/>
      <c r="BA23" s="711"/>
      <c r="BB23" s="712"/>
      <c r="BC23" s="711"/>
      <c r="BD23" s="711"/>
      <c r="BE23" s="703">
        <f>'TUoS (t)'!L34</f>
        <v>1.7000000000000001E-2</v>
      </c>
      <c r="BF23" s="711"/>
      <c r="BG23" s="711"/>
      <c r="BH23" s="714"/>
      <c r="BJ23" s="668" t="s">
        <v>558</v>
      </c>
      <c r="BK23" s="669" t="str">
        <f t="shared" si="11"/>
        <v>B2R/B2RCL</v>
      </c>
      <c r="BL23" s="670" t="s">
        <v>70</v>
      </c>
      <c r="BM23" s="702">
        <f>'JSO (t)'!G33</f>
        <v>4.1099999999999998E-2</v>
      </c>
      <c r="BN23" s="703"/>
      <c r="BO23" s="702">
        <f>'JSO (t)'!I33</f>
        <v>9.4999999999999998E-3</v>
      </c>
      <c r="BP23" s="702"/>
      <c r="BQ23" s="704">
        <f>'JSO (t)'!K33</f>
        <v>4.7000000000000002E-3</v>
      </c>
      <c r="BR23" s="713"/>
      <c r="BS23" s="711"/>
      <c r="BT23" s="713"/>
      <c r="BU23" s="711"/>
      <c r="BV23" s="712"/>
      <c r="BW23" s="711"/>
      <c r="BX23" s="711"/>
      <c r="BY23" s="703">
        <f>'JSO (t)'!L34</f>
        <v>8.3000000000000001E-3</v>
      </c>
      <c r="BZ23" s="711"/>
      <c r="CA23" s="711"/>
      <c r="CB23" s="714"/>
    </row>
    <row r="24" spans="2:80" ht="15" customHeight="1" x14ac:dyDescent="0.2">
      <c r="B24" s="790" t="s">
        <v>73</v>
      </c>
      <c r="C24" s="791" t="str">
        <f t="shared" si="8"/>
        <v>BCL</v>
      </c>
      <c r="D24" s="107" t="s">
        <v>74</v>
      </c>
      <c r="E24" s="709">
        <f>'NUoS (t)'!G35</f>
        <v>0</v>
      </c>
      <c r="F24" s="792"/>
      <c r="G24" s="709"/>
      <c r="H24" s="709"/>
      <c r="I24" s="710"/>
      <c r="J24" s="715"/>
      <c r="K24" s="716"/>
      <c r="L24" s="715"/>
      <c r="M24" s="716"/>
      <c r="N24" s="717"/>
      <c r="O24" s="716"/>
      <c r="P24" s="716"/>
      <c r="Q24" s="792">
        <f>'NUoS (t)'!L35</f>
        <v>7.1500000000000008E-2</v>
      </c>
      <c r="R24" s="716"/>
      <c r="S24" s="716"/>
      <c r="T24" s="718"/>
      <c r="V24" s="790" t="s">
        <v>73</v>
      </c>
      <c r="W24" s="791" t="str">
        <f t="shared" si="9"/>
        <v>BCL</v>
      </c>
      <c r="X24" s="107" t="s">
        <v>74</v>
      </c>
      <c r="Y24" s="709">
        <f>'DUoS (t)'!G35</f>
        <v>0</v>
      </c>
      <c r="Z24" s="792"/>
      <c r="AA24" s="709"/>
      <c r="AB24" s="709"/>
      <c r="AC24" s="710"/>
      <c r="AD24" s="715"/>
      <c r="AE24" s="716"/>
      <c r="AF24" s="715"/>
      <c r="AG24" s="716"/>
      <c r="AH24" s="717"/>
      <c r="AI24" s="716"/>
      <c r="AJ24" s="716"/>
      <c r="AK24" s="792">
        <f>'DUoS (t)'!L35</f>
        <v>4.6199999999999998E-2</v>
      </c>
      <c r="AL24" s="716"/>
      <c r="AM24" s="716"/>
      <c r="AN24" s="718"/>
      <c r="AP24" s="790" t="s">
        <v>73</v>
      </c>
      <c r="AQ24" s="791" t="str">
        <f t="shared" si="10"/>
        <v>BCL</v>
      </c>
      <c r="AR24" s="107" t="s">
        <v>74</v>
      </c>
      <c r="AS24" s="709">
        <f>'TUoS (t)'!G35</f>
        <v>0</v>
      </c>
      <c r="AT24" s="792"/>
      <c r="AU24" s="709"/>
      <c r="AV24" s="709"/>
      <c r="AW24" s="710"/>
      <c r="AX24" s="715"/>
      <c r="AY24" s="716"/>
      <c r="AZ24" s="715"/>
      <c r="BA24" s="716"/>
      <c r="BB24" s="717"/>
      <c r="BC24" s="716"/>
      <c r="BD24" s="716"/>
      <c r="BE24" s="792">
        <f>'TUoS (t)'!L35</f>
        <v>1.7000000000000001E-2</v>
      </c>
      <c r="BF24" s="716"/>
      <c r="BG24" s="716"/>
      <c r="BH24" s="718"/>
      <c r="BJ24" s="790" t="s">
        <v>73</v>
      </c>
      <c r="BK24" s="791" t="str">
        <f t="shared" si="11"/>
        <v>BCL</v>
      </c>
      <c r="BL24" s="107" t="s">
        <v>74</v>
      </c>
      <c r="BM24" s="709">
        <f>'JSO (t)'!G35</f>
        <v>0</v>
      </c>
      <c r="BN24" s="792"/>
      <c r="BO24" s="709"/>
      <c r="BP24" s="709"/>
      <c r="BQ24" s="710"/>
      <c r="BR24" s="715"/>
      <c r="BS24" s="716"/>
      <c r="BT24" s="715"/>
      <c r="BU24" s="716"/>
      <c r="BV24" s="717"/>
      <c r="BW24" s="716"/>
      <c r="BX24" s="716"/>
      <c r="BY24" s="792">
        <f>'JSO (t)'!L35</f>
        <v>8.3000000000000001E-3</v>
      </c>
      <c r="BZ24" s="716"/>
      <c r="CA24" s="716"/>
      <c r="CB24" s="718"/>
    </row>
    <row r="25" spans="2:80" ht="15" customHeight="1" x14ac:dyDescent="0.2">
      <c r="B25" s="664" t="s">
        <v>75</v>
      </c>
      <c r="C25" s="85"/>
      <c r="D25" s="85"/>
      <c r="E25" s="685"/>
      <c r="F25" s="715"/>
      <c r="G25" s="716"/>
      <c r="H25" s="716"/>
      <c r="I25" s="717"/>
      <c r="J25" s="715"/>
      <c r="K25" s="716"/>
      <c r="L25" s="715"/>
      <c r="M25" s="716"/>
      <c r="N25" s="717"/>
      <c r="O25" s="716"/>
      <c r="P25" s="716"/>
      <c r="Q25" s="715"/>
      <c r="R25" s="716"/>
      <c r="S25" s="716"/>
      <c r="T25" s="718"/>
      <c r="V25" s="664" t="s">
        <v>75</v>
      </c>
      <c r="W25" s="85"/>
      <c r="X25" s="85"/>
      <c r="Y25" s="685"/>
      <c r="Z25" s="715"/>
      <c r="AA25" s="716"/>
      <c r="AB25" s="716"/>
      <c r="AC25" s="717"/>
      <c r="AD25" s="715"/>
      <c r="AE25" s="716"/>
      <c r="AF25" s="715"/>
      <c r="AG25" s="716"/>
      <c r="AH25" s="717"/>
      <c r="AI25" s="716"/>
      <c r="AJ25" s="716"/>
      <c r="AK25" s="715"/>
      <c r="AL25" s="716"/>
      <c r="AM25" s="716"/>
      <c r="AN25" s="718"/>
      <c r="AP25" s="664" t="s">
        <v>75</v>
      </c>
      <c r="AQ25" s="85"/>
      <c r="AR25" s="85"/>
      <c r="AS25" s="685"/>
      <c r="AT25" s="715"/>
      <c r="AU25" s="716"/>
      <c r="AV25" s="716"/>
      <c r="AW25" s="717"/>
      <c r="AX25" s="715"/>
      <c r="AY25" s="716"/>
      <c r="AZ25" s="715"/>
      <c r="BA25" s="716"/>
      <c r="BB25" s="717"/>
      <c r="BC25" s="716"/>
      <c r="BD25" s="716"/>
      <c r="BE25" s="715"/>
      <c r="BF25" s="716"/>
      <c r="BG25" s="716"/>
      <c r="BH25" s="718"/>
      <c r="BJ25" s="664" t="s">
        <v>75</v>
      </c>
      <c r="BK25" s="85"/>
      <c r="BL25" s="85"/>
      <c r="BM25" s="685"/>
      <c r="BN25" s="715"/>
      <c r="BO25" s="716"/>
      <c r="BP25" s="716"/>
      <c r="BQ25" s="717"/>
      <c r="BR25" s="715"/>
      <c r="BS25" s="716"/>
      <c r="BT25" s="715"/>
      <c r="BU25" s="716"/>
      <c r="BV25" s="717"/>
      <c r="BW25" s="716"/>
      <c r="BX25" s="716"/>
      <c r="BY25" s="715"/>
      <c r="BZ25" s="716"/>
      <c r="CA25" s="716"/>
      <c r="CB25" s="718"/>
    </row>
    <row r="26" spans="2:80" ht="15" customHeight="1" x14ac:dyDescent="0.2">
      <c r="B26" s="668" t="s">
        <v>76</v>
      </c>
      <c r="C26" s="669" t="str">
        <f t="shared" ref="C26:C28" si="12">B26</f>
        <v>SBTOU</v>
      </c>
      <c r="D26" s="670" t="s">
        <v>77</v>
      </c>
      <c r="E26" s="702">
        <f>'NUoS (t)'!G37</f>
        <v>0.50680000000000003</v>
      </c>
      <c r="F26" s="703"/>
      <c r="G26" s="702">
        <f>'NUoS (t)'!I37</f>
        <v>0.2253</v>
      </c>
      <c r="H26" s="702">
        <f>'NUoS (t)'!J37</f>
        <v>0.15679999999999999</v>
      </c>
      <c r="I26" s="704">
        <f>'NUoS (t)'!K37</f>
        <v>8.4599999999999995E-2</v>
      </c>
      <c r="J26" s="713"/>
      <c r="K26" s="711"/>
      <c r="L26" s="713"/>
      <c r="M26" s="711"/>
      <c r="N26" s="712"/>
      <c r="O26" s="711"/>
      <c r="P26" s="711"/>
      <c r="Q26" s="713"/>
      <c r="R26" s="711"/>
      <c r="S26" s="711"/>
      <c r="T26" s="714"/>
      <c r="V26" s="668" t="s">
        <v>76</v>
      </c>
      <c r="W26" s="669" t="str">
        <f t="shared" ref="W26:W28" si="13">V26</f>
        <v>SBTOU</v>
      </c>
      <c r="X26" s="670" t="s">
        <v>77</v>
      </c>
      <c r="Y26" s="702">
        <f>'DUoS (t)'!G37</f>
        <v>0.4657</v>
      </c>
      <c r="Z26" s="703"/>
      <c r="AA26" s="702">
        <f>'DUoS (t)'!I37</f>
        <v>0.15679999999999999</v>
      </c>
      <c r="AB26" s="702">
        <f>'DUoS (t)'!J37</f>
        <v>0.1091</v>
      </c>
      <c r="AC26" s="704">
        <f>'DUoS (t)'!K37</f>
        <v>5.8900000000000001E-2</v>
      </c>
      <c r="AD26" s="713"/>
      <c r="AE26" s="711"/>
      <c r="AF26" s="713"/>
      <c r="AG26" s="711"/>
      <c r="AH26" s="712"/>
      <c r="AI26" s="711"/>
      <c r="AJ26" s="711"/>
      <c r="AK26" s="713"/>
      <c r="AL26" s="711"/>
      <c r="AM26" s="711"/>
      <c r="AN26" s="714"/>
      <c r="AP26" s="668" t="s">
        <v>76</v>
      </c>
      <c r="AQ26" s="669" t="str">
        <f t="shared" ref="AQ26:AQ28" si="14">AP26</f>
        <v>SBTOU</v>
      </c>
      <c r="AR26" s="670" t="s">
        <v>77</v>
      </c>
      <c r="AS26" s="702">
        <f>'TUoS (t)'!G37</f>
        <v>0</v>
      </c>
      <c r="AT26" s="703"/>
      <c r="AU26" s="702">
        <f>'TUoS (t)'!I37</f>
        <v>5.5899999999999998E-2</v>
      </c>
      <c r="AV26" s="702">
        <f>'TUoS (t)'!J37</f>
        <v>3.8899999999999997E-2</v>
      </c>
      <c r="AW26" s="704">
        <f>'TUoS (t)'!K37</f>
        <v>2.1000000000000001E-2</v>
      </c>
      <c r="AX26" s="713"/>
      <c r="AY26" s="711"/>
      <c r="AZ26" s="713"/>
      <c r="BA26" s="711"/>
      <c r="BB26" s="712"/>
      <c r="BC26" s="711"/>
      <c r="BD26" s="711"/>
      <c r="BE26" s="713"/>
      <c r="BF26" s="711"/>
      <c r="BG26" s="711"/>
      <c r="BH26" s="714"/>
      <c r="BJ26" s="668" t="s">
        <v>76</v>
      </c>
      <c r="BK26" s="669" t="str">
        <f t="shared" ref="BK26:BK28" si="15">BJ26</f>
        <v>SBTOU</v>
      </c>
      <c r="BL26" s="670" t="s">
        <v>77</v>
      </c>
      <c r="BM26" s="702">
        <f>'JSO (t)'!G37</f>
        <v>4.1099999999999998E-2</v>
      </c>
      <c r="BN26" s="703"/>
      <c r="BO26" s="702">
        <f>'JSO (t)'!I37</f>
        <v>1.26E-2</v>
      </c>
      <c r="BP26" s="702">
        <f>'JSO (t)'!J37</f>
        <v>8.8000000000000005E-3</v>
      </c>
      <c r="BQ26" s="704">
        <f>'JSO (t)'!K37</f>
        <v>4.7000000000000002E-3</v>
      </c>
      <c r="BR26" s="713"/>
      <c r="BS26" s="711"/>
      <c r="BT26" s="713"/>
      <c r="BU26" s="711"/>
      <c r="BV26" s="712"/>
      <c r="BW26" s="711"/>
      <c r="BX26" s="711"/>
      <c r="BY26" s="713"/>
      <c r="BZ26" s="711"/>
      <c r="CA26" s="711"/>
      <c r="CB26" s="714"/>
    </row>
    <row r="27" spans="2:80" ht="15" customHeight="1" x14ac:dyDescent="0.2">
      <c r="B27" s="668" t="s">
        <v>78</v>
      </c>
      <c r="C27" s="669" t="str">
        <f t="shared" si="12"/>
        <v>SBTOUD</v>
      </c>
      <c r="D27" s="670" t="s">
        <v>79</v>
      </c>
      <c r="E27" s="702">
        <f>'NUoS (t)'!G38</f>
        <v>0.50680000000000003</v>
      </c>
      <c r="F27" s="703"/>
      <c r="G27" s="702">
        <f>'NUoS (t)'!I38</f>
        <v>0.18029999999999999</v>
      </c>
      <c r="H27" s="702">
        <f>'NUoS (t)'!J38</f>
        <v>0.12540000000000001</v>
      </c>
      <c r="I27" s="704">
        <f>'NUoS (t)'!K38</f>
        <v>6.7699999999999996E-2</v>
      </c>
      <c r="J27" s="713"/>
      <c r="K27" s="702">
        <f>'NUoS (t)'!T38</f>
        <v>8.14E-2</v>
      </c>
      <c r="L27" s="713"/>
      <c r="M27" s="711"/>
      <c r="N27" s="712"/>
      <c r="O27" s="711"/>
      <c r="P27" s="711"/>
      <c r="Q27" s="713"/>
      <c r="R27" s="711"/>
      <c r="S27" s="711"/>
      <c r="T27" s="714"/>
      <c r="V27" s="668" t="s">
        <v>78</v>
      </c>
      <c r="W27" s="669" t="str">
        <f t="shared" si="13"/>
        <v>SBTOUD</v>
      </c>
      <c r="X27" s="670" t="s">
        <v>79</v>
      </c>
      <c r="Y27" s="702">
        <f>'DUoS (t)'!G38</f>
        <v>0.4657</v>
      </c>
      <c r="Z27" s="703"/>
      <c r="AA27" s="702">
        <f>'DUoS (t)'!I38</f>
        <v>0.1255</v>
      </c>
      <c r="AB27" s="702">
        <f>'DUoS (t)'!J38</f>
        <v>8.7300000000000003E-2</v>
      </c>
      <c r="AC27" s="704">
        <f>'DUoS (t)'!K38</f>
        <v>4.7100000000000003E-2</v>
      </c>
      <c r="AD27" s="713"/>
      <c r="AE27" s="702">
        <f>'DUoS (t)'!T38</f>
        <v>8.14E-2</v>
      </c>
      <c r="AF27" s="713"/>
      <c r="AG27" s="711"/>
      <c r="AH27" s="712"/>
      <c r="AI27" s="711"/>
      <c r="AJ27" s="711"/>
      <c r="AK27" s="713"/>
      <c r="AL27" s="711"/>
      <c r="AM27" s="711"/>
      <c r="AN27" s="714"/>
      <c r="AP27" s="668" t="s">
        <v>78</v>
      </c>
      <c r="AQ27" s="669" t="str">
        <f t="shared" si="14"/>
        <v>SBTOUD</v>
      </c>
      <c r="AR27" s="670" t="s">
        <v>79</v>
      </c>
      <c r="AS27" s="702">
        <f>'TUoS (t)'!G38</f>
        <v>0</v>
      </c>
      <c r="AT27" s="703"/>
      <c r="AU27" s="702">
        <f>'TUoS (t)'!I38</f>
        <v>4.4699999999999997E-2</v>
      </c>
      <c r="AV27" s="702">
        <f>'TUoS (t)'!J38</f>
        <v>3.1099999999999999E-2</v>
      </c>
      <c r="AW27" s="704">
        <f>'TUoS (t)'!K38</f>
        <v>1.6799999999999999E-2</v>
      </c>
      <c r="AX27" s="713"/>
      <c r="AY27" s="702">
        <f>'TUoS (t)'!T38</f>
        <v>0</v>
      </c>
      <c r="AZ27" s="713"/>
      <c r="BA27" s="711"/>
      <c r="BB27" s="712"/>
      <c r="BC27" s="711"/>
      <c r="BD27" s="711"/>
      <c r="BE27" s="713"/>
      <c r="BF27" s="711"/>
      <c r="BG27" s="711"/>
      <c r="BH27" s="714"/>
      <c r="BJ27" s="668" t="s">
        <v>78</v>
      </c>
      <c r="BK27" s="669" t="str">
        <f t="shared" si="15"/>
        <v>SBTOUD</v>
      </c>
      <c r="BL27" s="670" t="s">
        <v>79</v>
      </c>
      <c r="BM27" s="702">
        <f>'JSO (t)'!G38</f>
        <v>4.1099999999999998E-2</v>
      </c>
      <c r="BN27" s="703"/>
      <c r="BO27" s="702">
        <f>'JSO (t)'!I38</f>
        <v>1.01E-2</v>
      </c>
      <c r="BP27" s="702">
        <f>'JSO (t)'!J38</f>
        <v>7.0000000000000001E-3</v>
      </c>
      <c r="BQ27" s="704">
        <f>'JSO (t)'!K38</f>
        <v>3.8E-3</v>
      </c>
      <c r="BR27" s="713"/>
      <c r="BS27" s="702">
        <f>'JSO (t)'!T38</f>
        <v>0</v>
      </c>
      <c r="BT27" s="713"/>
      <c r="BU27" s="711"/>
      <c r="BV27" s="712"/>
      <c r="BW27" s="711"/>
      <c r="BX27" s="711"/>
      <c r="BY27" s="713"/>
      <c r="BZ27" s="711"/>
      <c r="CA27" s="711"/>
      <c r="CB27" s="714"/>
    </row>
    <row r="28" spans="2:80" ht="15" customHeight="1" x14ac:dyDescent="0.2">
      <c r="B28" s="798" t="s">
        <v>80</v>
      </c>
      <c r="C28" s="799" t="str">
        <f t="shared" si="12"/>
        <v>SBD</v>
      </c>
      <c r="D28" s="800" t="s">
        <v>81</v>
      </c>
      <c r="E28" s="709">
        <f>'NUoS (t)'!G39</f>
        <v>2.7808000000000002</v>
      </c>
      <c r="F28" s="792">
        <f>'NUoS (t)'!H39</f>
        <v>7.8899999999999998E-2</v>
      </c>
      <c r="G28" s="709"/>
      <c r="H28" s="709"/>
      <c r="I28" s="710"/>
      <c r="J28" s="802"/>
      <c r="K28" s="801"/>
      <c r="L28" s="792"/>
      <c r="M28" s="709">
        <f>'NUoS (t)'!Q39</f>
        <v>0.3962</v>
      </c>
      <c r="N28" s="710">
        <f>'NUoS (t)'!R39</f>
        <v>0.19600000000000001</v>
      </c>
      <c r="O28" s="801"/>
      <c r="P28" s="801"/>
      <c r="Q28" s="802"/>
      <c r="R28" s="801"/>
      <c r="S28" s="801"/>
      <c r="T28" s="803"/>
      <c r="V28" s="798" t="s">
        <v>80</v>
      </c>
      <c r="W28" s="799" t="str">
        <f t="shared" si="13"/>
        <v>SBD</v>
      </c>
      <c r="X28" s="800" t="s">
        <v>81</v>
      </c>
      <c r="Y28" s="709">
        <f>'DUoS (t)'!G39</f>
        <v>2.7397</v>
      </c>
      <c r="Z28" s="792">
        <f>'DUoS (t)'!H39</f>
        <v>5.1499999999999997E-2</v>
      </c>
      <c r="AA28" s="709"/>
      <c r="AB28" s="709"/>
      <c r="AC28" s="710"/>
      <c r="AD28" s="802"/>
      <c r="AE28" s="801"/>
      <c r="AF28" s="792"/>
      <c r="AG28" s="709">
        <f>'DUoS (t)'!Q39</f>
        <v>0.30940000000000001</v>
      </c>
      <c r="AH28" s="710">
        <f>'DUoS (t)'!R39</f>
        <v>0.15310000000000001</v>
      </c>
      <c r="AI28" s="801"/>
      <c r="AJ28" s="801"/>
      <c r="AK28" s="802"/>
      <c r="AL28" s="801"/>
      <c r="AM28" s="801"/>
      <c r="AN28" s="803"/>
      <c r="AP28" s="798" t="s">
        <v>80</v>
      </c>
      <c r="AQ28" s="799" t="str">
        <f t="shared" si="14"/>
        <v>SBD</v>
      </c>
      <c r="AR28" s="800" t="s">
        <v>81</v>
      </c>
      <c r="AS28" s="709">
        <f>'TUoS (t)'!G39</f>
        <v>0</v>
      </c>
      <c r="AT28" s="792">
        <f>'TUoS (t)'!H39</f>
        <v>2.0299999999999999E-2</v>
      </c>
      <c r="AU28" s="709"/>
      <c r="AV28" s="709"/>
      <c r="AW28" s="710"/>
      <c r="AX28" s="802"/>
      <c r="AY28" s="801"/>
      <c r="AZ28" s="792"/>
      <c r="BA28" s="709">
        <f>'TUoS (t)'!Q39</f>
        <v>8.6800000000000002E-2</v>
      </c>
      <c r="BB28" s="710">
        <f>'TUoS (t)'!R39</f>
        <v>4.2900000000000001E-2</v>
      </c>
      <c r="BC28" s="801"/>
      <c r="BD28" s="801"/>
      <c r="BE28" s="802"/>
      <c r="BF28" s="801"/>
      <c r="BG28" s="801"/>
      <c r="BH28" s="803"/>
      <c r="BJ28" s="798" t="s">
        <v>80</v>
      </c>
      <c r="BK28" s="799" t="str">
        <f t="shared" si="15"/>
        <v>SBD</v>
      </c>
      <c r="BL28" s="800" t="s">
        <v>81</v>
      </c>
      <c r="BM28" s="709">
        <f>'JSO (t)'!G39</f>
        <v>4.1099999999999998E-2</v>
      </c>
      <c r="BN28" s="792">
        <f>'JSO (t)'!H39</f>
        <v>7.1000000000000004E-3</v>
      </c>
      <c r="BO28" s="709"/>
      <c r="BP28" s="709"/>
      <c r="BQ28" s="710"/>
      <c r="BR28" s="802"/>
      <c r="BS28" s="801"/>
      <c r="BT28" s="792"/>
      <c r="BU28" s="709">
        <f>'JSO (t)'!Q39</f>
        <v>0</v>
      </c>
      <c r="BV28" s="710">
        <f>'JSO (t)'!R39</f>
        <v>0</v>
      </c>
      <c r="BW28" s="801"/>
      <c r="BX28" s="801"/>
      <c r="BY28" s="802"/>
      <c r="BZ28" s="801"/>
      <c r="CA28" s="801"/>
      <c r="CB28" s="803"/>
    </row>
    <row r="29" spans="2:80" ht="15" customHeight="1" x14ac:dyDescent="0.2">
      <c r="B29" s="662" t="s">
        <v>83</v>
      </c>
      <c r="C29" s="14"/>
      <c r="D29" s="99"/>
      <c r="E29" s="719"/>
      <c r="F29" s="720"/>
      <c r="G29" s="721"/>
      <c r="H29" s="721"/>
      <c r="I29" s="722"/>
      <c r="J29" s="720"/>
      <c r="K29" s="721"/>
      <c r="L29" s="720"/>
      <c r="M29" s="721"/>
      <c r="N29" s="722"/>
      <c r="O29" s="721"/>
      <c r="P29" s="721"/>
      <c r="Q29" s="720"/>
      <c r="R29" s="721"/>
      <c r="S29" s="721"/>
      <c r="T29" s="723"/>
      <c r="V29" s="662" t="s">
        <v>83</v>
      </c>
      <c r="W29" s="14"/>
      <c r="X29" s="99"/>
      <c r="Y29" s="719"/>
      <c r="Z29" s="720"/>
      <c r="AA29" s="721"/>
      <c r="AB29" s="721"/>
      <c r="AC29" s="722"/>
      <c r="AD29" s="720"/>
      <c r="AE29" s="721"/>
      <c r="AF29" s="720"/>
      <c r="AG29" s="721"/>
      <c r="AH29" s="722"/>
      <c r="AI29" s="721"/>
      <c r="AJ29" s="721"/>
      <c r="AK29" s="720"/>
      <c r="AL29" s="721"/>
      <c r="AM29" s="721"/>
      <c r="AN29" s="723"/>
      <c r="AP29" s="662" t="s">
        <v>83</v>
      </c>
      <c r="AQ29" s="14"/>
      <c r="AR29" s="99"/>
      <c r="AS29" s="719"/>
      <c r="AT29" s="720"/>
      <c r="AU29" s="721"/>
      <c r="AV29" s="721"/>
      <c r="AW29" s="722"/>
      <c r="AX29" s="720"/>
      <c r="AY29" s="721"/>
      <c r="AZ29" s="720"/>
      <c r="BA29" s="721"/>
      <c r="BB29" s="722"/>
      <c r="BC29" s="721"/>
      <c r="BD29" s="721"/>
      <c r="BE29" s="720"/>
      <c r="BF29" s="721"/>
      <c r="BG29" s="721"/>
      <c r="BH29" s="723"/>
      <c r="BJ29" s="662" t="s">
        <v>83</v>
      </c>
      <c r="BK29" s="14"/>
      <c r="BL29" s="99"/>
      <c r="BM29" s="719"/>
      <c r="BN29" s="720"/>
      <c r="BO29" s="721"/>
      <c r="BP29" s="721"/>
      <c r="BQ29" s="722"/>
      <c r="BR29" s="720"/>
      <c r="BS29" s="721"/>
      <c r="BT29" s="720"/>
      <c r="BU29" s="721"/>
      <c r="BV29" s="722"/>
      <c r="BW29" s="721"/>
      <c r="BX29" s="721"/>
      <c r="BY29" s="720"/>
      <c r="BZ29" s="721"/>
      <c r="CA29" s="721"/>
      <c r="CB29" s="723"/>
    </row>
    <row r="30" spans="2:80" ht="15" customHeight="1" x14ac:dyDescent="0.2">
      <c r="B30" s="663" t="s">
        <v>84</v>
      </c>
      <c r="C30" s="37"/>
      <c r="D30" s="85"/>
      <c r="E30" s="724"/>
      <c r="F30" s="715"/>
      <c r="G30" s="716"/>
      <c r="H30" s="716"/>
      <c r="I30" s="717"/>
      <c r="J30" s="715"/>
      <c r="K30" s="716"/>
      <c r="L30" s="715"/>
      <c r="M30" s="716"/>
      <c r="N30" s="717"/>
      <c r="O30" s="716"/>
      <c r="P30" s="716"/>
      <c r="Q30" s="715"/>
      <c r="R30" s="716"/>
      <c r="S30" s="716"/>
      <c r="T30" s="718"/>
      <c r="V30" s="663" t="s">
        <v>84</v>
      </c>
      <c r="W30" s="37"/>
      <c r="X30" s="85"/>
      <c r="Y30" s="724"/>
      <c r="Z30" s="715"/>
      <c r="AA30" s="716"/>
      <c r="AB30" s="716"/>
      <c r="AC30" s="717"/>
      <c r="AD30" s="715"/>
      <c r="AE30" s="716"/>
      <c r="AF30" s="715"/>
      <c r="AG30" s="716"/>
      <c r="AH30" s="717"/>
      <c r="AI30" s="716"/>
      <c r="AJ30" s="716"/>
      <c r="AK30" s="715"/>
      <c r="AL30" s="716"/>
      <c r="AM30" s="716"/>
      <c r="AN30" s="718"/>
      <c r="AP30" s="663" t="s">
        <v>84</v>
      </c>
      <c r="AQ30" s="37"/>
      <c r="AR30" s="85"/>
      <c r="AS30" s="724"/>
      <c r="AT30" s="715"/>
      <c r="AU30" s="716"/>
      <c r="AV30" s="716"/>
      <c r="AW30" s="717"/>
      <c r="AX30" s="715"/>
      <c r="AY30" s="716"/>
      <c r="AZ30" s="715"/>
      <c r="BA30" s="716"/>
      <c r="BB30" s="717"/>
      <c r="BC30" s="716"/>
      <c r="BD30" s="716"/>
      <c r="BE30" s="715"/>
      <c r="BF30" s="716"/>
      <c r="BG30" s="716"/>
      <c r="BH30" s="718"/>
      <c r="BJ30" s="663" t="s">
        <v>84</v>
      </c>
      <c r="BK30" s="37"/>
      <c r="BL30" s="85"/>
      <c r="BM30" s="724"/>
      <c r="BN30" s="715"/>
      <c r="BO30" s="716"/>
      <c r="BP30" s="716"/>
      <c r="BQ30" s="717"/>
      <c r="BR30" s="715"/>
      <c r="BS30" s="716"/>
      <c r="BT30" s="715"/>
      <c r="BU30" s="716"/>
      <c r="BV30" s="717"/>
      <c r="BW30" s="716"/>
      <c r="BX30" s="716"/>
      <c r="BY30" s="715"/>
      <c r="BZ30" s="716"/>
      <c r="CA30" s="716"/>
      <c r="CB30" s="718"/>
    </row>
    <row r="31" spans="2:80" ht="15" customHeight="1" x14ac:dyDescent="0.2">
      <c r="B31" s="668" t="s">
        <v>552</v>
      </c>
      <c r="C31" s="669" t="str">
        <f t="shared" ref="C31:C32" si="16">B31</f>
        <v>LBSR/LBSRCL</v>
      </c>
      <c r="D31" s="670" t="s">
        <v>86</v>
      </c>
      <c r="E31" s="702">
        <f>'NUoS (t)'!G42</f>
        <v>0.50680000000000003</v>
      </c>
      <c r="F31" s="703">
        <f>'NUoS (t)'!H42</f>
        <v>0.18029999999999999</v>
      </c>
      <c r="G31" s="702"/>
      <c r="H31" s="702"/>
      <c r="I31" s="704"/>
      <c r="J31" s="713"/>
      <c r="K31" s="711"/>
      <c r="L31" s="713"/>
      <c r="M31" s="711"/>
      <c r="N31" s="712"/>
      <c r="O31" s="711"/>
      <c r="P31" s="711"/>
      <c r="Q31" s="703">
        <f>'NUoS (t)'!L43</f>
        <v>7.1500000000000008E-2</v>
      </c>
      <c r="R31" s="711"/>
      <c r="S31" s="711"/>
      <c r="T31" s="714"/>
      <c r="V31" s="668" t="s">
        <v>552</v>
      </c>
      <c r="W31" s="669" t="str">
        <f t="shared" ref="W31:W32" si="17">V31</f>
        <v>LBSR/LBSRCL</v>
      </c>
      <c r="X31" s="670" t="s">
        <v>86</v>
      </c>
      <c r="Y31" s="702">
        <f>'DUoS (t)'!G42</f>
        <v>0.4657</v>
      </c>
      <c r="Z31" s="703">
        <f>'DUoS (t)'!H42</f>
        <v>0.1255</v>
      </c>
      <c r="AA31" s="702"/>
      <c r="AB31" s="702"/>
      <c r="AC31" s="704"/>
      <c r="AD31" s="713"/>
      <c r="AE31" s="711"/>
      <c r="AF31" s="713"/>
      <c r="AG31" s="711"/>
      <c r="AH31" s="712"/>
      <c r="AI31" s="711"/>
      <c r="AJ31" s="711"/>
      <c r="AK31" s="703">
        <f>'DUoS (t)'!L43</f>
        <v>4.6199999999999998E-2</v>
      </c>
      <c r="AL31" s="711"/>
      <c r="AM31" s="711"/>
      <c r="AN31" s="714"/>
      <c r="AP31" s="668" t="s">
        <v>552</v>
      </c>
      <c r="AQ31" s="669" t="str">
        <f t="shared" ref="AQ31:AQ32" si="18">AP31</f>
        <v>LBSR/LBSRCL</v>
      </c>
      <c r="AR31" s="670" t="s">
        <v>86</v>
      </c>
      <c r="AS31" s="702">
        <f>'TUoS (t)'!G42</f>
        <v>0</v>
      </c>
      <c r="AT31" s="703">
        <f>'TUoS (t)'!H42</f>
        <v>4.4699999999999997E-2</v>
      </c>
      <c r="AU31" s="702"/>
      <c r="AV31" s="702"/>
      <c r="AW31" s="704"/>
      <c r="AX31" s="713"/>
      <c r="AY31" s="711"/>
      <c r="AZ31" s="713"/>
      <c r="BA31" s="711"/>
      <c r="BB31" s="712"/>
      <c r="BC31" s="711"/>
      <c r="BD31" s="711"/>
      <c r="BE31" s="703">
        <f>'TUoS (t)'!L43</f>
        <v>1.7000000000000001E-2</v>
      </c>
      <c r="BF31" s="711"/>
      <c r="BG31" s="711"/>
      <c r="BH31" s="714"/>
      <c r="BJ31" s="668" t="s">
        <v>552</v>
      </c>
      <c r="BK31" s="669" t="str">
        <f t="shared" ref="BK31:BK32" si="19">BJ31</f>
        <v>LBSR/LBSRCL</v>
      </c>
      <c r="BL31" s="670" t="s">
        <v>86</v>
      </c>
      <c r="BM31" s="702">
        <f>'JSO (t)'!G42</f>
        <v>4.1099999999999998E-2</v>
      </c>
      <c r="BN31" s="703">
        <f>'JSO (t)'!H42</f>
        <v>1.01E-2</v>
      </c>
      <c r="BO31" s="702"/>
      <c r="BP31" s="702"/>
      <c r="BQ31" s="704"/>
      <c r="BR31" s="713"/>
      <c r="BS31" s="711"/>
      <c r="BT31" s="713"/>
      <c r="BU31" s="711"/>
      <c r="BV31" s="712"/>
      <c r="BW31" s="711"/>
      <c r="BX31" s="711"/>
      <c r="BY31" s="703">
        <f>'JSO (t)'!L43</f>
        <v>8.3000000000000001E-3</v>
      </c>
      <c r="BZ31" s="711"/>
      <c r="CA31" s="711"/>
      <c r="CB31" s="714"/>
    </row>
    <row r="32" spans="2:80" ht="15" customHeight="1" x14ac:dyDescent="0.2">
      <c r="B32" s="668" t="s">
        <v>553</v>
      </c>
      <c r="C32" s="669" t="str">
        <f t="shared" si="16"/>
        <v>LB2R/LB2RCL</v>
      </c>
      <c r="D32" s="670" t="s">
        <v>90</v>
      </c>
      <c r="E32" s="702">
        <f>'NUoS (t)'!G44</f>
        <v>0.50680000000000003</v>
      </c>
      <c r="F32" s="703"/>
      <c r="G32" s="702">
        <f>'NUoS (t)'!I44</f>
        <v>0.20319999999999999</v>
      </c>
      <c r="H32" s="702"/>
      <c r="I32" s="704">
        <f>'NUoS (t)'!K44</f>
        <v>0.1016</v>
      </c>
      <c r="J32" s="713"/>
      <c r="K32" s="711"/>
      <c r="L32" s="713"/>
      <c r="M32" s="711"/>
      <c r="N32" s="712"/>
      <c r="O32" s="711"/>
      <c r="P32" s="711"/>
      <c r="Q32" s="703">
        <f>'NUoS (t)'!L45</f>
        <v>7.1500000000000008E-2</v>
      </c>
      <c r="R32" s="711"/>
      <c r="S32" s="711"/>
      <c r="T32" s="714"/>
      <c r="V32" s="668" t="s">
        <v>553</v>
      </c>
      <c r="W32" s="669" t="str">
        <f t="shared" si="17"/>
        <v>LB2R/LB2RCL</v>
      </c>
      <c r="X32" s="670" t="s">
        <v>90</v>
      </c>
      <c r="Y32" s="702">
        <f>'DUoS (t)'!G44</f>
        <v>0.4657</v>
      </c>
      <c r="Z32" s="703"/>
      <c r="AA32" s="702">
        <f>'DUoS (t)'!I44</f>
        <v>0.1414</v>
      </c>
      <c r="AB32" s="702"/>
      <c r="AC32" s="704">
        <f>'DUoS (t)'!K44</f>
        <v>7.0699999999999999E-2</v>
      </c>
      <c r="AD32" s="713"/>
      <c r="AE32" s="711"/>
      <c r="AF32" s="713"/>
      <c r="AG32" s="711"/>
      <c r="AH32" s="712"/>
      <c r="AI32" s="711"/>
      <c r="AJ32" s="711"/>
      <c r="AK32" s="703">
        <f>'DUoS (t)'!L45</f>
        <v>4.6199999999999998E-2</v>
      </c>
      <c r="AL32" s="711"/>
      <c r="AM32" s="711"/>
      <c r="AN32" s="714"/>
      <c r="AP32" s="668" t="s">
        <v>553</v>
      </c>
      <c r="AQ32" s="669" t="str">
        <f t="shared" si="18"/>
        <v>LB2R/LB2RCL</v>
      </c>
      <c r="AR32" s="670" t="s">
        <v>90</v>
      </c>
      <c r="AS32" s="702">
        <f>'TUoS (t)'!G44</f>
        <v>0</v>
      </c>
      <c r="AT32" s="703"/>
      <c r="AU32" s="702">
        <f>'TUoS (t)'!I44</f>
        <v>5.04E-2</v>
      </c>
      <c r="AV32" s="702"/>
      <c r="AW32" s="704">
        <f>'TUoS (t)'!K44</f>
        <v>2.52E-2</v>
      </c>
      <c r="AX32" s="713"/>
      <c r="AY32" s="711"/>
      <c r="AZ32" s="713"/>
      <c r="BA32" s="711"/>
      <c r="BB32" s="712"/>
      <c r="BC32" s="711"/>
      <c r="BD32" s="711"/>
      <c r="BE32" s="703">
        <f>'TUoS (t)'!L45</f>
        <v>1.7000000000000001E-2</v>
      </c>
      <c r="BF32" s="711"/>
      <c r="BG32" s="711"/>
      <c r="BH32" s="714"/>
      <c r="BJ32" s="668" t="s">
        <v>553</v>
      </c>
      <c r="BK32" s="669" t="str">
        <f t="shared" si="19"/>
        <v>LB2R/LB2RCL</v>
      </c>
      <c r="BL32" s="670" t="s">
        <v>90</v>
      </c>
      <c r="BM32" s="702">
        <f>'JSO (t)'!G44</f>
        <v>4.1099999999999998E-2</v>
      </c>
      <c r="BN32" s="703"/>
      <c r="BO32" s="702">
        <f>'JSO (t)'!I44</f>
        <v>1.14E-2</v>
      </c>
      <c r="BP32" s="702"/>
      <c r="BQ32" s="704">
        <f>'JSO (t)'!K44</f>
        <v>5.7000000000000002E-3</v>
      </c>
      <c r="BR32" s="713"/>
      <c r="BS32" s="711"/>
      <c r="BT32" s="713"/>
      <c r="BU32" s="711"/>
      <c r="BV32" s="712"/>
      <c r="BW32" s="711"/>
      <c r="BX32" s="711"/>
      <c r="BY32" s="703">
        <f>'JSO (t)'!L45</f>
        <v>8.3000000000000001E-3</v>
      </c>
      <c r="BZ32" s="711"/>
      <c r="CA32" s="711"/>
      <c r="CB32" s="714"/>
    </row>
    <row r="33" spans="2:80" ht="15" customHeight="1" x14ac:dyDescent="0.2">
      <c r="B33" s="663" t="s">
        <v>93</v>
      </c>
      <c r="C33" s="37"/>
      <c r="D33" s="85"/>
      <c r="E33" s="724"/>
      <c r="F33" s="715"/>
      <c r="G33" s="716"/>
      <c r="H33" s="716"/>
      <c r="I33" s="717"/>
      <c r="J33" s="715"/>
      <c r="K33" s="716"/>
      <c r="L33" s="715"/>
      <c r="M33" s="716"/>
      <c r="N33" s="717"/>
      <c r="O33" s="716"/>
      <c r="P33" s="716"/>
      <c r="Q33" s="715"/>
      <c r="R33" s="716"/>
      <c r="S33" s="716"/>
      <c r="T33" s="718"/>
      <c r="V33" s="663" t="s">
        <v>93</v>
      </c>
      <c r="W33" s="37"/>
      <c r="X33" s="85"/>
      <c r="Y33" s="724"/>
      <c r="Z33" s="715"/>
      <c r="AA33" s="716"/>
      <c r="AB33" s="716"/>
      <c r="AC33" s="717"/>
      <c r="AD33" s="715"/>
      <c r="AE33" s="716"/>
      <c r="AF33" s="715"/>
      <c r="AG33" s="716"/>
      <c r="AH33" s="717"/>
      <c r="AI33" s="716"/>
      <c r="AJ33" s="716"/>
      <c r="AK33" s="715"/>
      <c r="AL33" s="716"/>
      <c r="AM33" s="716"/>
      <c r="AN33" s="718"/>
      <c r="AP33" s="663" t="s">
        <v>93</v>
      </c>
      <c r="AQ33" s="37"/>
      <c r="AR33" s="85"/>
      <c r="AS33" s="724"/>
      <c r="AT33" s="715"/>
      <c r="AU33" s="716"/>
      <c r="AV33" s="716"/>
      <c r="AW33" s="717"/>
      <c r="AX33" s="715"/>
      <c r="AY33" s="716"/>
      <c r="AZ33" s="715"/>
      <c r="BA33" s="716"/>
      <c r="BB33" s="717"/>
      <c r="BC33" s="716"/>
      <c r="BD33" s="716"/>
      <c r="BE33" s="715"/>
      <c r="BF33" s="716"/>
      <c r="BG33" s="716"/>
      <c r="BH33" s="718"/>
      <c r="BJ33" s="663" t="s">
        <v>93</v>
      </c>
      <c r="BK33" s="37"/>
      <c r="BL33" s="85"/>
      <c r="BM33" s="724"/>
      <c r="BN33" s="715"/>
      <c r="BO33" s="716"/>
      <c r="BP33" s="716"/>
      <c r="BQ33" s="717"/>
      <c r="BR33" s="715"/>
      <c r="BS33" s="716"/>
      <c r="BT33" s="715"/>
      <c r="BU33" s="716"/>
      <c r="BV33" s="717"/>
      <c r="BW33" s="716"/>
      <c r="BX33" s="716"/>
      <c r="BY33" s="715"/>
      <c r="BZ33" s="716"/>
      <c r="CA33" s="716"/>
      <c r="CB33" s="718"/>
    </row>
    <row r="34" spans="2:80" ht="15" customHeight="1" x14ac:dyDescent="0.2">
      <c r="B34" s="668" t="s">
        <v>599</v>
      </c>
      <c r="C34" s="669" t="s">
        <v>600</v>
      </c>
      <c r="D34" s="671" t="s">
        <v>94</v>
      </c>
      <c r="E34" s="702">
        <f>'NUoS (t)'!G47</f>
        <v>6.8493000000000004</v>
      </c>
      <c r="F34" s="703"/>
      <c r="G34" s="702">
        <f>'NUoS (t)'!I47</f>
        <v>6.6200000000000009E-2</v>
      </c>
      <c r="H34" s="702"/>
      <c r="I34" s="704">
        <f>'NUoS (t)'!K47</f>
        <v>4.1399999999999999E-2</v>
      </c>
      <c r="J34" s="703">
        <f>'NUoS (t)'!S47</f>
        <v>0.25329999999999997</v>
      </c>
      <c r="K34" s="702">
        <f>'NUoS (t)'!T47</f>
        <v>0.1036</v>
      </c>
      <c r="L34" s="703"/>
      <c r="M34" s="702"/>
      <c r="N34" s="704"/>
      <c r="O34" s="702"/>
      <c r="P34" s="702"/>
      <c r="Q34" s="703"/>
      <c r="R34" s="711"/>
      <c r="S34" s="711"/>
      <c r="T34" s="714"/>
      <c r="V34" s="668" t="s">
        <v>599</v>
      </c>
      <c r="W34" s="669" t="s">
        <v>600</v>
      </c>
      <c r="X34" s="671" t="s">
        <v>94</v>
      </c>
      <c r="Y34" s="702">
        <f>'DUoS (t)'!G47</f>
        <v>6.8493000000000004</v>
      </c>
      <c r="Z34" s="703"/>
      <c r="AA34" s="702">
        <f>'DUoS (t)'!I47</f>
        <v>4.2099999999999999E-2</v>
      </c>
      <c r="AB34" s="702"/>
      <c r="AC34" s="704">
        <f>'DUoS (t)'!K47</f>
        <v>2.63E-2</v>
      </c>
      <c r="AD34" s="703">
        <f>'DUoS (t)'!S47</f>
        <v>0.14499999999999999</v>
      </c>
      <c r="AE34" s="702">
        <f>'DUoS (t)'!T47</f>
        <v>0.1036</v>
      </c>
      <c r="AF34" s="703"/>
      <c r="AG34" s="702"/>
      <c r="AH34" s="704"/>
      <c r="AI34" s="702"/>
      <c r="AJ34" s="702"/>
      <c r="AK34" s="703"/>
      <c r="AL34" s="711"/>
      <c r="AM34" s="711"/>
      <c r="AN34" s="714"/>
      <c r="AP34" s="668" t="s">
        <v>599</v>
      </c>
      <c r="AQ34" s="669" t="s">
        <v>600</v>
      </c>
      <c r="AR34" s="671" t="s">
        <v>94</v>
      </c>
      <c r="AS34" s="702">
        <f>'TUoS (t)'!G47</f>
        <v>0</v>
      </c>
      <c r="AT34" s="703"/>
      <c r="AU34" s="702">
        <f>'TUoS (t)'!I47</f>
        <v>1.7600000000000001E-2</v>
      </c>
      <c r="AV34" s="702"/>
      <c r="AW34" s="704">
        <f>'TUoS (t)'!K47</f>
        <v>1.0999999999999999E-2</v>
      </c>
      <c r="AX34" s="703">
        <f>'TUoS (t)'!S47</f>
        <v>0.10829999999999999</v>
      </c>
      <c r="AY34" s="702">
        <f>'TUoS (t)'!T47</f>
        <v>0</v>
      </c>
      <c r="AZ34" s="703"/>
      <c r="BA34" s="702"/>
      <c r="BB34" s="704"/>
      <c r="BC34" s="702"/>
      <c r="BD34" s="702"/>
      <c r="BE34" s="703"/>
      <c r="BF34" s="711"/>
      <c r="BG34" s="711"/>
      <c r="BH34" s="714"/>
      <c r="BJ34" s="668" t="s">
        <v>599</v>
      </c>
      <c r="BK34" s="669" t="s">
        <v>600</v>
      </c>
      <c r="BL34" s="671" t="s">
        <v>94</v>
      </c>
      <c r="BM34" s="702">
        <f>'JSO (t)'!G47</f>
        <v>0</v>
      </c>
      <c r="BN34" s="703"/>
      <c r="BO34" s="702">
        <f>'JSO (t)'!I47</f>
        <v>6.4999999999999997E-3</v>
      </c>
      <c r="BP34" s="702"/>
      <c r="BQ34" s="704">
        <f>'JSO (t)'!K47</f>
        <v>4.1000000000000003E-3</v>
      </c>
      <c r="BR34" s="703">
        <f>'JSO (t)'!S47</f>
        <v>0</v>
      </c>
      <c r="BS34" s="702">
        <f>'JSO (t)'!T47</f>
        <v>0</v>
      </c>
      <c r="BT34" s="703"/>
      <c r="BU34" s="702"/>
      <c r="BV34" s="704"/>
      <c r="BW34" s="702"/>
      <c r="BX34" s="702"/>
      <c r="BY34" s="703"/>
      <c r="BZ34" s="711"/>
      <c r="CA34" s="711"/>
      <c r="CB34" s="714"/>
    </row>
    <row r="35" spans="2:80" ht="15" customHeight="1" x14ac:dyDescent="0.2">
      <c r="B35" s="668" t="s">
        <v>597</v>
      </c>
      <c r="C35" s="669" t="s">
        <v>601</v>
      </c>
      <c r="D35" s="671" t="s">
        <v>95</v>
      </c>
      <c r="E35" s="702">
        <f>'NUoS (t)'!G48</f>
        <v>6.8493000000000004</v>
      </c>
      <c r="F35" s="703"/>
      <c r="G35" s="702">
        <f>'NUoS (t)'!I48</f>
        <v>6.6200000000000009E-2</v>
      </c>
      <c r="H35" s="702"/>
      <c r="I35" s="704">
        <f>'NUoS (t)'!K48</f>
        <v>4.1399999999999999E-2</v>
      </c>
      <c r="J35" s="703"/>
      <c r="K35" s="702">
        <f>'NUoS (t)'!T48</f>
        <v>0.1036</v>
      </c>
      <c r="L35" s="703">
        <f>'NUoS (t)'!P48</f>
        <v>0.91829999999999989</v>
      </c>
      <c r="M35" s="702"/>
      <c r="N35" s="704"/>
      <c r="O35" s="702"/>
      <c r="P35" s="702"/>
      <c r="Q35" s="703"/>
      <c r="R35" s="711"/>
      <c r="S35" s="711"/>
      <c r="T35" s="714"/>
      <c r="V35" s="668" t="s">
        <v>597</v>
      </c>
      <c r="W35" s="669" t="s">
        <v>601</v>
      </c>
      <c r="X35" s="671" t="s">
        <v>95</v>
      </c>
      <c r="Y35" s="702">
        <f>'DUoS (t)'!G48</f>
        <v>6.8493000000000004</v>
      </c>
      <c r="Z35" s="703"/>
      <c r="AA35" s="702">
        <f>'DUoS (t)'!I48</f>
        <v>4.2099999999999999E-2</v>
      </c>
      <c r="AB35" s="702"/>
      <c r="AC35" s="704">
        <f>'DUoS (t)'!K48</f>
        <v>2.63E-2</v>
      </c>
      <c r="AD35" s="703"/>
      <c r="AE35" s="702">
        <f>'DUoS (t)'!T48</f>
        <v>0.1036</v>
      </c>
      <c r="AF35" s="703">
        <f>'DUoS (t)'!P48</f>
        <v>0.52569999999999995</v>
      </c>
      <c r="AG35" s="702"/>
      <c r="AH35" s="704"/>
      <c r="AI35" s="702"/>
      <c r="AJ35" s="702"/>
      <c r="AK35" s="703"/>
      <c r="AL35" s="711"/>
      <c r="AM35" s="711"/>
      <c r="AN35" s="714"/>
      <c r="AP35" s="668" t="s">
        <v>597</v>
      </c>
      <c r="AQ35" s="669" t="s">
        <v>601</v>
      </c>
      <c r="AR35" s="671" t="s">
        <v>95</v>
      </c>
      <c r="AS35" s="702">
        <f>'TUoS (t)'!G48</f>
        <v>0</v>
      </c>
      <c r="AT35" s="703"/>
      <c r="AU35" s="702">
        <f>'TUoS (t)'!I48</f>
        <v>1.7600000000000001E-2</v>
      </c>
      <c r="AV35" s="702"/>
      <c r="AW35" s="704">
        <f>'TUoS (t)'!K48</f>
        <v>1.0999999999999999E-2</v>
      </c>
      <c r="AX35" s="703"/>
      <c r="AY35" s="702">
        <f>'TUoS (t)'!T48</f>
        <v>0</v>
      </c>
      <c r="AZ35" s="703">
        <f>'TUoS (t)'!P48</f>
        <v>0.3926</v>
      </c>
      <c r="BA35" s="702"/>
      <c r="BB35" s="704"/>
      <c r="BC35" s="702"/>
      <c r="BD35" s="702"/>
      <c r="BE35" s="703"/>
      <c r="BF35" s="711"/>
      <c r="BG35" s="711"/>
      <c r="BH35" s="714"/>
      <c r="BJ35" s="668" t="s">
        <v>597</v>
      </c>
      <c r="BK35" s="669" t="s">
        <v>601</v>
      </c>
      <c r="BL35" s="671" t="s">
        <v>95</v>
      </c>
      <c r="BM35" s="702">
        <f>'JSO (t)'!G48</f>
        <v>0</v>
      </c>
      <c r="BN35" s="703"/>
      <c r="BO35" s="702">
        <f>'JSO (t)'!I48</f>
        <v>6.4999999999999997E-3</v>
      </c>
      <c r="BP35" s="702"/>
      <c r="BQ35" s="704">
        <f>'JSO (t)'!K48</f>
        <v>4.1000000000000003E-3</v>
      </c>
      <c r="BR35" s="703"/>
      <c r="BS35" s="702">
        <f>'JSO (t)'!T48</f>
        <v>0</v>
      </c>
      <c r="BT35" s="703">
        <f>'JSO (t)'!P48</f>
        <v>0</v>
      </c>
      <c r="BU35" s="702"/>
      <c r="BV35" s="704"/>
      <c r="BW35" s="702"/>
      <c r="BX35" s="702"/>
      <c r="BY35" s="703"/>
      <c r="BZ35" s="711"/>
      <c r="CA35" s="711"/>
      <c r="CB35" s="714"/>
    </row>
    <row r="36" spans="2:80" ht="15" customHeight="1" x14ac:dyDescent="0.2">
      <c r="B36" s="790" t="s">
        <v>97</v>
      </c>
      <c r="C36" s="791" t="s">
        <v>97</v>
      </c>
      <c r="D36" s="804" t="s">
        <v>98</v>
      </c>
      <c r="E36" s="709">
        <f>'NUoS (t)'!G50</f>
        <v>2.7397</v>
      </c>
      <c r="F36" s="792">
        <f>'NUoS (t)'!H50</f>
        <v>7.6999999999999999E-2</v>
      </c>
      <c r="G36" s="709"/>
      <c r="H36" s="709"/>
      <c r="I36" s="710"/>
      <c r="J36" s="792"/>
      <c r="K36" s="709"/>
      <c r="L36" s="792"/>
      <c r="M36" s="709">
        <f>'NUoS (t)'!Q50</f>
        <v>0.3962</v>
      </c>
      <c r="N36" s="710">
        <f>'NUoS (t)'!R50</f>
        <v>0.19600000000000001</v>
      </c>
      <c r="O36" s="709"/>
      <c r="P36" s="709"/>
      <c r="Q36" s="792"/>
      <c r="R36" s="716"/>
      <c r="S36" s="716"/>
      <c r="T36" s="718"/>
      <c r="V36" s="790" t="s">
        <v>97</v>
      </c>
      <c r="W36" s="791" t="s">
        <v>97</v>
      </c>
      <c r="X36" s="804" t="s">
        <v>98</v>
      </c>
      <c r="Y36" s="709">
        <f>'DUoS (t)'!G50</f>
        <v>2.7397</v>
      </c>
      <c r="Z36" s="792">
        <f>'DUoS (t)'!H50</f>
        <v>5.1499999999999997E-2</v>
      </c>
      <c r="AA36" s="709"/>
      <c r="AB36" s="709"/>
      <c r="AC36" s="710"/>
      <c r="AD36" s="792"/>
      <c r="AE36" s="709"/>
      <c r="AF36" s="792"/>
      <c r="AG36" s="709">
        <f>'DUoS (t)'!Q50</f>
        <v>0.30940000000000001</v>
      </c>
      <c r="AH36" s="710">
        <f>'DUoS (t)'!R50</f>
        <v>0.15310000000000001</v>
      </c>
      <c r="AI36" s="709"/>
      <c r="AJ36" s="709"/>
      <c r="AK36" s="792"/>
      <c r="AL36" s="716"/>
      <c r="AM36" s="716"/>
      <c r="AN36" s="718"/>
      <c r="AP36" s="790" t="s">
        <v>97</v>
      </c>
      <c r="AQ36" s="791" t="s">
        <v>97</v>
      </c>
      <c r="AR36" s="804" t="s">
        <v>98</v>
      </c>
      <c r="AS36" s="709">
        <f>'TUoS (t)'!G50</f>
        <v>0</v>
      </c>
      <c r="AT36" s="792">
        <f>'TUoS (t)'!H50</f>
        <v>2.0299999999999999E-2</v>
      </c>
      <c r="AU36" s="709"/>
      <c r="AV36" s="709"/>
      <c r="AW36" s="710"/>
      <c r="AX36" s="792"/>
      <c r="AY36" s="709"/>
      <c r="AZ36" s="792"/>
      <c r="BA36" s="709">
        <f>'TUoS (t)'!Q50</f>
        <v>8.6800000000000002E-2</v>
      </c>
      <c r="BB36" s="710">
        <f>'TUoS (t)'!R50</f>
        <v>4.2900000000000001E-2</v>
      </c>
      <c r="BC36" s="709"/>
      <c r="BD36" s="709"/>
      <c r="BE36" s="792"/>
      <c r="BF36" s="716"/>
      <c r="BG36" s="716"/>
      <c r="BH36" s="718"/>
      <c r="BJ36" s="790" t="s">
        <v>97</v>
      </c>
      <c r="BK36" s="791" t="s">
        <v>97</v>
      </c>
      <c r="BL36" s="804" t="s">
        <v>98</v>
      </c>
      <c r="BM36" s="709">
        <f>'JSO (t)'!G50</f>
        <v>0</v>
      </c>
      <c r="BN36" s="792">
        <f>'JSO (t)'!H50</f>
        <v>5.1999999999999998E-3</v>
      </c>
      <c r="BO36" s="709"/>
      <c r="BP36" s="709"/>
      <c r="BQ36" s="710"/>
      <c r="BR36" s="792"/>
      <c r="BS36" s="709"/>
      <c r="BT36" s="792"/>
      <c r="BU36" s="709">
        <f>'JSO (t)'!Q50</f>
        <v>0</v>
      </c>
      <c r="BV36" s="710">
        <f>'JSO (t)'!R50</f>
        <v>0</v>
      </c>
      <c r="BW36" s="709"/>
      <c r="BX36" s="709"/>
      <c r="BY36" s="792"/>
      <c r="BZ36" s="716"/>
      <c r="CA36" s="716"/>
      <c r="CB36" s="718"/>
    </row>
    <row r="37" spans="2:80" ht="15" customHeight="1" x14ac:dyDescent="0.2">
      <c r="B37" s="790" t="s">
        <v>603</v>
      </c>
      <c r="C37" s="806" t="s">
        <v>604</v>
      </c>
      <c r="D37" s="804" t="s">
        <v>99</v>
      </c>
      <c r="E37" s="709">
        <f>'NUoS (t)'!G51</f>
        <v>6.8493000000000004</v>
      </c>
      <c r="F37" s="715"/>
      <c r="G37" s="716"/>
      <c r="H37" s="716"/>
      <c r="I37" s="717"/>
      <c r="J37" s="715">
        <f>'NUoS (t)'!S51</f>
        <v>0.25329999999999997</v>
      </c>
      <c r="K37" s="716">
        <f>'NUoS (t)'!T51</f>
        <v>0.1036</v>
      </c>
      <c r="L37" s="715"/>
      <c r="M37" s="716"/>
      <c r="N37" s="717"/>
      <c r="O37" s="709"/>
      <c r="P37" s="709"/>
      <c r="Q37" s="715"/>
      <c r="R37" s="716"/>
      <c r="S37" s="716"/>
      <c r="T37" s="718"/>
      <c r="V37" s="790" t="s">
        <v>603</v>
      </c>
      <c r="W37" s="806" t="s">
        <v>604</v>
      </c>
      <c r="X37" s="804" t="s">
        <v>99</v>
      </c>
      <c r="Y37" s="709">
        <f>'DUoS (t)'!G51</f>
        <v>6.8493000000000004</v>
      </c>
      <c r="Z37" s="715"/>
      <c r="AA37" s="716"/>
      <c r="AB37" s="716"/>
      <c r="AC37" s="717"/>
      <c r="AD37" s="715">
        <v>0.14499999999999999</v>
      </c>
      <c r="AE37" s="716">
        <v>0.1036</v>
      </c>
      <c r="AF37" s="715"/>
      <c r="AG37" s="716"/>
      <c r="AH37" s="717"/>
      <c r="AI37" s="709"/>
      <c r="AJ37" s="709"/>
      <c r="AK37" s="715"/>
      <c r="AL37" s="716"/>
      <c r="AM37" s="716"/>
      <c r="AN37" s="718"/>
      <c r="AP37" s="790" t="s">
        <v>603</v>
      </c>
      <c r="AQ37" s="806" t="s">
        <v>604</v>
      </c>
      <c r="AR37" s="804" t="s">
        <v>99</v>
      </c>
      <c r="AS37" s="709">
        <f>'TUoS (t)'!G51</f>
        <v>0</v>
      </c>
      <c r="AT37" s="715"/>
      <c r="AU37" s="716"/>
      <c r="AV37" s="716"/>
      <c r="AW37" s="717"/>
      <c r="AX37" s="703">
        <f>'TUoS (t)'!S51</f>
        <v>0.10829999999999999</v>
      </c>
      <c r="AY37" s="702">
        <f>'TUoS (t)'!T51</f>
        <v>0</v>
      </c>
      <c r="AZ37" s="715"/>
      <c r="BA37" s="716"/>
      <c r="BB37" s="717"/>
      <c r="BC37" s="709"/>
      <c r="BD37" s="709"/>
      <c r="BE37" s="715"/>
      <c r="BF37" s="716"/>
      <c r="BG37" s="716"/>
      <c r="BH37" s="718"/>
      <c r="BJ37" s="790" t="s">
        <v>603</v>
      </c>
      <c r="BK37" s="806" t="s">
        <v>604</v>
      </c>
      <c r="BL37" s="804" t="s">
        <v>99</v>
      </c>
      <c r="BM37" s="709">
        <f>'JSO (t)'!G51</f>
        <v>0</v>
      </c>
      <c r="BN37" s="715"/>
      <c r="BO37" s="716"/>
      <c r="BP37" s="716"/>
      <c r="BQ37" s="717"/>
      <c r="BR37" s="792">
        <f>'JSO (t)'!S51</f>
        <v>0</v>
      </c>
      <c r="BS37" s="709">
        <f>'JSO (t)'!T51</f>
        <v>0</v>
      </c>
      <c r="BT37" s="715"/>
      <c r="BU37" s="716"/>
      <c r="BV37" s="717"/>
      <c r="BW37" s="709"/>
      <c r="BX37" s="709"/>
      <c r="BY37" s="715"/>
      <c r="BZ37" s="716"/>
      <c r="CA37" s="716"/>
      <c r="CB37" s="718"/>
    </row>
    <row r="38" spans="2:80" ht="15" customHeight="1" x14ac:dyDescent="0.2">
      <c r="B38" s="790" t="s">
        <v>585</v>
      </c>
      <c r="C38" s="806"/>
      <c r="D38" s="804" t="s">
        <v>94</v>
      </c>
      <c r="E38" s="709">
        <f>'NUoS (t)'!G53</f>
        <v>41.095800000000004</v>
      </c>
      <c r="F38" s="715"/>
      <c r="G38" s="709">
        <f>'NUoS (t)'!I53</f>
        <v>6.6200000000000009E-2</v>
      </c>
      <c r="H38" s="709"/>
      <c r="I38" s="710">
        <f>'NUoS (t)'!K53</f>
        <v>4.1399999999999999E-2</v>
      </c>
      <c r="J38" s="792">
        <f>'NUoS (t)'!S53</f>
        <v>0.25329999999999997</v>
      </c>
      <c r="K38" s="709">
        <f>'NUoS (t)'!T53</f>
        <v>0.1036</v>
      </c>
      <c r="L38" s="715"/>
      <c r="M38" s="716"/>
      <c r="N38" s="717"/>
      <c r="O38" s="709"/>
      <c r="P38" s="709"/>
      <c r="Q38" s="715"/>
      <c r="R38" s="716"/>
      <c r="S38" s="716"/>
      <c r="T38" s="718"/>
      <c r="V38" s="790" t="s">
        <v>585</v>
      </c>
      <c r="W38" s="806"/>
      <c r="X38" s="804" t="s">
        <v>94</v>
      </c>
      <c r="Y38" s="709">
        <f>'DUoS (t)'!G53</f>
        <v>41.095800000000004</v>
      </c>
      <c r="Z38" s="715"/>
      <c r="AA38" s="709">
        <f>'DUoS (t)'!I53</f>
        <v>4.2099999999999999E-2</v>
      </c>
      <c r="AB38" s="709"/>
      <c r="AC38" s="710">
        <f>'DUoS (t)'!K53</f>
        <v>2.63E-2</v>
      </c>
      <c r="AD38" s="792">
        <f>'DUoS (t)'!S53</f>
        <v>0.14499999999999999</v>
      </c>
      <c r="AE38" s="709">
        <f>'DUoS (t)'!T53</f>
        <v>0.1036</v>
      </c>
      <c r="AF38" s="715"/>
      <c r="AG38" s="716"/>
      <c r="AH38" s="717"/>
      <c r="AI38" s="709"/>
      <c r="AJ38" s="709"/>
      <c r="AK38" s="715"/>
      <c r="AL38" s="716"/>
      <c r="AM38" s="716"/>
      <c r="AN38" s="718"/>
      <c r="AP38" s="790" t="s">
        <v>585</v>
      </c>
      <c r="AQ38" s="806"/>
      <c r="AR38" s="804" t="s">
        <v>94</v>
      </c>
      <c r="AS38" s="709">
        <f>'TUoS (t)'!G53</f>
        <v>0</v>
      </c>
      <c r="AT38" s="715"/>
      <c r="AU38" s="709">
        <f>'TUoS (t)'!I53</f>
        <v>1.7600000000000001E-2</v>
      </c>
      <c r="AV38" s="709"/>
      <c r="AW38" s="710">
        <f>'TUoS (t)'!K53</f>
        <v>1.0999999999999999E-2</v>
      </c>
      <c r="AX38" s="792">
        <f>'TUoS (t)'!S53</f>
        <v>0.10829999999999999</v>
      </c>
      <c r="AY38" s="709">
        <f>'TUoS (t)'!T53</f>
        <v>0</v>
      </c>
      <c r="AZ38" s="715"/>
      <c r="BA38" s="716"/>
      <c r="BB38" s="717"/>
      <c r="BC38" s="709"/>
      <c r="BD38" s="709"/>
      <c r="BE38" s="715"/>
      <c r="BF38" s="716"/>
      <c r="BG38" s="716"/>
      <c r="BH38" s="718"/>
      <c r="BJ38" s="790" t="s">
        <v>585</v>
      </c>
      <c r="BK38" s="806"/>
      <c r="BL38" s="804" t="s">
        <v>94</v>
      </c>
      <c r="BM38" s="709">
        <f>'JSO (t)'!G53</f>
        <v>0</v>
      </c>
      <c r="BN38" s="715"/>
      <c r="BO38" s="709">
        <f>'JSO (t)'!I53</f>
        <v>6.4999999999999997E-3</v>
      </c>
      <c r="BP38" s="709"/>
      <c r="BQ38" s="710">
        <f>'JSO (t)'!K53</f>
        <v>4.1000000000000003E-3</v>
      </c>
      <c r="BR38" s="792">
        <f>'JSO (t)'!S53</f>
        <v>0</v>
      </c>
      <c r="BS38" s="709">
        <f>'JSO (t)'!T53</f>
        <v>0</v>
      </c>
      <c r="BT38" s="715"/>
      <c r="BU38" s="716"/>
      <c r="BV38" s="717"/>
      <c r="BW38" s="709"/>
      <c r="BX38" s="709"/>
      <c r="BY38" s="715"/>
      <c r="BZ38" s="716"/>
      <c r="CA38" s="716"/>
      <c r="CB38" s="718"/>
    </row>
    <row r="39" spans="2:80" ht="15" customHeight="1" x14ac:dyDescent="0.2">
      <c r="B39" s="668" t="s">
        <v>586</v>
      </c>
      <c r="C39" s="679"/>
      <c r="D39" s="671" t="s">
        <v>94</v>
      </c>
      <c r="E39" s="702">
        <f>'NUoS (t)'!G54</f>
        <v>34.246500000000005</v>
      </c>
      <c r="F39" s="713"/>
      <c r="G39" s="702">
        <f>'NUoS (t)'!I54</f>
        <v>6.6200000000000009E-2</v>
      </c>
      <c r="H39" s="702"/>
      <c r="I39" s="704">
        <f>'NUoS (t)'!K54</f>
        <v>4.1399999999999999E-2</v>
      </c>
      <c r="J39" s="703">
        <f>'NUoS (t)'!S54</f>
        <v>0.25329999999999997</v>
      </c>
      <c r="K39" s="702">
        <f>'NUoS (t)'!T54</f>
        <v>0.1036</v>
      </c>
      <c r="L39" s="713"/>
      <c r="M39" s="711"/>
      <c r="N39" s="712"/>
      <c r="O39" s="702"/>
      <c r="P39" s="702"/>
      <c r="Q39" s="713"/>
      <c r="R39" s="711"/>
      <c r="S39" s="711"/>
      <c r="T39" s="714"/>
      <c r="V39" s="668" t="s">
        <v>586</v>
      </c>
      <c r="W39" s="679"/>
      <c r="X39" s="671" t="s">
        <v>94</v>
      </c>
      <c r="Y39" s="702">
        <f>'DUoS (t)'!G54</f>
        <v>34.246500000000005</v>
      </c>
      <c r="Z39" s="713"/>
      <c r="AA39" s="702">
        <f>'DUoS (t)'!I54</f>
        <v>4.2099999999999999E-2</v>
      </c>
      <c r="AB39" s="702"/>
      <c r="AC39" s="704">
        <f>'DUoS (t)'!K54</f>
        <v>2.63E-2</v>
      </c>
      <c r="AD39" s="703">
        <f>'DUoS (t)'!S54</f>
        <v>0.14499999999999999</v>
      </c>
      <c r="AE39" s="702">
        <f>'DUoS (t)'!T54</f>
        <v>0.1036</v>
      </c>
      <c r="AF39" s="713"/>
      <c r="AG39" s="711"/>
      <c r="AH39" s="712"/>
      <c r="AI39" s="702"/>
      <c r="AJ39" s="702"/>
      <c r="AK39" s="713"/>
      <c r="AL39" s="711"/>
      <c r="AM39" s="711"/>
      <c r="AN39" s="714"/>
      <c r="AP39" s="668" t="s">
        <v>586</v>
      </c>
      <c r="AQ39" s="679"/>
      <c r="AR39" s="671" t="s">
        <v>94</v>
      </c>
      <c r="AS39" s="702">
        <f>'TUoS (t)'!G54</f>
        <v>0</v>
      </c>
      <c r="AT39" s="713"/>
      <c r="AU39" s="702">
        <f>'TUoS (t)'!I54</f>
        <v>1.7600000000000001E-2</v>
      </c>
      <c r="AV39" s="702"/>
      <c r="AW39" s="704">
        <f>'TUoS (t)'!K54</f>
        <v>1.0999999999999999E-2</v>
      </c>
      <c r="AX39" s="703">
        <f>'TUoS (t)'!S54</f>
        <v>0.10829999999999999</v>
      </c>
      <c r="AY39" s="702">
        <f>'TUoS (t)'!T54</f>
        <v>0</v>
      </c>
      <c r="AZ39" s="713"/>
      <c r="BA39" s="711"/>
      <c r="BB39" s="712"/>
      <c r="BC39" s="702"/>
      <c r="BD39" s="702"/>
      <c r="BE39" s="713"/>
      <c r="BF39" s="711"/>
      <c r="BG39" s="711"/>
      <c r="BH39" s="714"/>
      <c r="BJ39" s="668" t="s">
        <v>586</v>
      </c>
      <c r="BK39" s="679"/>
      <c r="BL39" s="671" t="s">
        <v>94</v>
      </c>
      <c r="BM39" s="702">
        <f>'JSO (t)'!G54</f>
        <v>0</v>
      </c>
      <c r="BN39" s="713"/>
      <c r="BO39" s="702">
        <f>'JSO (t)'!I54</f>
        <v>6.4999999999999997E-3</v>
      </c>
      <c r="BP39" s="702"/>
      <c r="BQ39" s="704">
        <f>'JSO (t)'!K54</f>
        <v>4.1000000000000003E-3</v>
      </c>
      <c r="BR39" s="703">
        <f>'JSO (t)'!S54</f>
        <v>0</v>
      </c>
      <c r="BS39" s="702">
        <f>'JSO (t)'!T54</f>
        <v>0</v>
      </c>
      <c r="BT39" s="713"/>
      <c r="BU39" s="711"/>
      <c r="BV39" s="712"/>
      <c r="BW39" s="702"/>
      <c r="BX39" s="702"/>
      <c r="BY39" s="713"/>
      <c r="BZ39" s="711"/>
      <c r="CA39" s="711"/>
      <c r="CB39" s="714"/>
    </row>
    <row r="40" spans="2:80" ht="15" customHeight="1" x14ac:dyDescent="0.2">
      <c r="B40" s="668" t="s">
        <v>587</v>
      </c>
      <c r="C40" s="679"/>
      <c r="D40" s="671" t="s">
        <v>94</v>
      </c>
      <c r="E40" s="702">
        <f>'NUoS (t)'!G55</f>
        <v>27.397200000000002</v>
      </c>
      <c r="F40" s="713"/>
      <c r="G40" s="702">
        <f>'NUoS (t)'!I55</f>
        <v>6.6200000000000009E-2</v>
      </c>
      <c r="H40" s="702"/>
      <c r="I40" s="704">
        <f>'NUoS (t)'!K55</f>
        <v>4.1399999999999999E-2</v>
      </c>
      <c r="J40" s="703">
        <f>'NUoS (t)'!S55</f>
        <v>0.25329999999999997</v>
      </c>
      <c r="K40" s="702">
        <f>'NUoS (t)'!T55</f>
        <v>0.1036</v>
      </c>
      <c r="L40" s="713"/>
      <c r="M40" s="711"/>
      <c r="N40" s="712"/>
      <c r="O40" s="702"/>
      <c r="P40" s="702"/>
      <c r="Q40" s="713"/>
      <c r="R40" s="711"/>
      <c r="S40" s="711"/>
      <c r="T40" s="714"/>
      <c r="V40" s="668" t="s">
        <v>587</v>
      </c>
      <c r="W40" s="679"/>
      <c r="X40" s="671" t="s">
        <v>94</v>
      </c>
      <c r="Y40" s="702">
        <f>'DUoS (t)'!G55</f>
        <v>27.397200000000002</v>
      </c>
      <c r="Z40" s="713"/>
      <c r="AA40" s="702">
        <f>'DUoS (t)'!I55</f>
        <v>4.2099999999999999E-2</v>
      </c>
      <c r="AB40" s="702"/>
      <c r="AC40" s="704">
        <f>'DUoS (t)'!K55</f>
        <v>2.63E-2</v>
      </c>
      <c r="AD40" s="703">
        <f>'DUoS (t)'!S55</f>
        <v>0.14499999999999999</v>
      </c>
      <c r="AE40" s="702">
        <f>'DUoS (t)'!T55</f>
        <v>0.1036</v>
      </c>
      <c r="AF40" s="713"/>
      <c r="AG40" s="711"/>
      <c r="AH40" s="712"/>
      <c r="AI40" s="702"/>
      <c r="AJ40" s="702"/>
      <c r="AK40" s="713"/>
      <c r="AL40" s="711"/>
      <c r="AM40" s="711"/>
      <c r="AN40" s="714"/>
      <c r="AP40" s="668" t="s">
        <v>587</v>
      </c>
      <c r="AQ40" s="679"/>
      <c r="AR40" s="671" t="s">
        <v>94</v>
      </c>
      <c r="AS40" s="702">
        <f>'TUoS (t)'!G55</f>
        <v>0</v>
      </c>
      <c r="AT40" s="713"/>
      <c r="AU40" s="702">
        <f>'TUoS (t)'!I55</f>
        <v>1.7600000000000001E-2</v>
      </c>
      <c r="AV40" s="702"/>
      <c r="AW40" s="704">
        <f>'TUoS (t)'!K55</f>
        <v>1.0999999999999999E-2</v>
      </c>
      <c r="AX40" s="703">
        <f>'TUoS (t)'!S55</f>
        <v>0.10829999999999999</v>
      </c>
      <c r="AY40" s="702">
        <f>'TUoS (t)'!T55</f>
        <v>0</v>
      </c>
      <c r="AZ40" s="713"/>
      <c r="BA40" s="711"/>
      <c r="BB40" s="712"/>
      <c r="BC40" s="702"/>
      <c r="BD40" s="702"/>
      <c r="BE40" s="713"/>
      <c r="BF40" s="711"/>
      <c r="BG40" s="711"/>
      <c r="BH40" s="714"/>
      <c r="BJ40" s="668" t="s">
        <v>587</v>
      </c>
      <c r="BK40" s="679"/>
      <c r="BL40" s="671" t="s">
        <v>94</v>
      </c>
      <c r="BM40" s="702">
        <f>'JSO (t)'!G55</f>
        <v>0</v>
      </c>
      <c r="BN40" s="713"/>
      <c r="BO40" s="702">
        <f>'JSO (t)'!I55</f>
        <v>6.4999999999999997E-3</v>
      </c>
      <c r="BP40" s="702"/>
      <c r="BQ40" s="704">
        <f>'JSO (t)'!K55</f>
        <v>4.1000000000000003E-3</v>
      </c>
      <c r="BR40" s="703">
        <f>'JSO (t)'!S55</f>
        <v>0</v>
      </c>
      <c r="BS40" s="702">
        <f>'JSO (t)'!T55</f>
        <v>0</v>
      </c>
      <c r="BT40" s="713"/>
      <c r="BU40" s="711"/>
      <c r="BV40" s="712"/>
      <c r="BW40" s="702"/>
      <c r="BX40" s="702"/>
      <c r="BY40" s="713"/>
      <c r="BZ40" s="711"/>
      <c r="CA40" s="711"/>
      <c r="CB40" s="714"/>
    </row>
    <row r="41" spans="2:80" ht="15" customHeight="1" x14ac:dyDescent="0.2">
      <c r="B41" s="790" t="s">
        <v>588</v>
      </c>
      <c r="C41" s="806"/>
      <c r="D41" s="804" t="s">
        <v>94</v>
      </c>
      <c r="E41" s="709">
        <f>'NUoS (t)'!G58</f>
        <v>47.945100000000004</v>
      </c>
      <c r="F41" s="715"/>
      <c r="G41" s="709">
        <f>'NUoS (t)'!I58</f>
        <v>6.6200000000000009E-2</v>
      </c>
      <c r="H41" s="709"/>
      <c r="I41" s="710">
        <f>'NUoS (t)'!K58</f>
        <v>4.1399999999999999E-2</v>
      </c>
      <c r="J41" s="792">
        <f>'NUoS (t)'!S58</f>
        <v>0.25329999999999997</v>
      </c>
      <c r="K41" s="709">
        <f>'NUoS (t)'!T58</f>
        <v>0.1036</v>
      </c>
      <c r="L41" s="715"/>
      <c r="M41" s="716"/>
      <c r="N41" s="717"/>
      <c r="O41" s="709"/>
      <c r="P41" s="709"/>
      <c r="Q41" s="715"/>
      <c r="R41" s="716"/>
      <c r="S41" s="716"/>
      <c r="T41" s="718"/>
      <c r="V41" s="790" t="s">
        <v>588</v>
      </c>
      <c r="W41" s="806"/>
      <c r="X41" s="804" t="s">
        <v>94</v>
      </c>
      <c r="Y41" s="709">
        <f>'DUoS (t)'!G58</f>
        <v>47.945100000000004</v>
      </c>
      <c r="Z41" s="715"/>
      <c r="AA41" s="709">
        <f>'DUoS (t)'!I58</f>
        <v>4.2099999999999999E-2</v>
      </c>
      <c r="AB41" s="709"/>
      <c r="AC41" s="710">
        <f>'DUoS (t)'!K58</f>
        <v>2.63E-2</v>
      </c>
      <c r="AD41" s="792">
        <f>'DUoS (t)'!S58</f>
        <v>0.14499999999999999</v>
      </c>
      <c r="AE41" s="709">
        <f>'DUoS (t)'!T58</f>
        <v>0.1036</v>
      </c>
      <c r="AF41" s="715"/>
      <c r="AG41" s="716"/>
      <c r="AH41" s="717"/>
      <c r="AI41" s="709"/>
      <c r="AJ41" s="709"/>
      <c r="AK41" s="715"/>
      <c r="AL41" s="716"/>
      <c r="AM41" s="716"/>
      <c r="AN41" s="718"/>
      <c r="AP41" s="790" t="s">
        <v>588</v>
      </c>
      <c r="AQ41" s="806"/>
      <c r="AR41" s="804" t="s">
        <v>94</v>
      </c>
      <c r="AS41" s="709">
        <f>'TUoS (t)'!G58</f>
        <v>0</v>
      </c>
      <c r="AT41" s="715"/>
      <c r="AU41" s="709">
        <f>'TUoS (t)'!I58</f>
        <v>1.7600000000000001E-2</v>
      </c>
      <c r="AV41" s="709"/>
      <c r="AW41" s="710">
        <f>'TUoS (t)'!K58</f>
        <v>1.0999999999999999E-2</v>
      </c>
      <c r="AX41" s="792">
        <f>'TUoS (t)'!S58</f>
        <v>0.10829999999999999</v>
      </c>
      <c r="AY41" s="709">
        <f>'TUoS (t)'!T58</f>
        <v>0</v>
      </c>
      <c r="AZ41" s="715"/>
      <c r="BA41" s="716"/>
      <c r="BB41" s="717"/>
      <c r="BC41" s="709"/>
      <c r="BD41" s="709"/>
      <c r="BE41" s="715"/>
      <c r="BF41" s="716"/>
      <c r="BG41" s="716"/>
      <c r="BH41" s="718"/>
      <c r="BJ41" s="790" t="s">
        <v>588</v>
      </c>
      <c r="BK41" s="806"/>
      <c r="BL41" s="804" t="s">
        <v>94</v>
      </c>
      <c r="BM41" s="709">
        <f>'JSO (t)'!G58</f>
        <v>0</v>
      </c>
      <c r="BN41" s="715"/>
      <c r="BO41" s="709">
        <f>'JSO (t)'!I58</f>
        <v>6.4999999999999997E-3</v>
      </c>
      <c r="BP41" s="709"/>
      <c r="BQ41" s="710">
        <f>'JSO (t)'!K58</f>
        <v>4.1000000000000003E-3</v>
      </c>
      <c r="BR41" s="792">
        <f>'JSO (t)'!S58</f>
        <v>0</v>
      </c>
      <c r="BS41" s="709">
        <f>'JSO (t)'!T58</f>
        <v>0</v>
      </c>
      <c r="BT41" s="715"/>
      <c r="BU41" s="716"/>
      <c r="BV41" s="717"/>
      <c r="BW41" s="709"/>
      <c r="BX41" s="709"/>
      <c r="BY41" s="715"/>
      <c r="BZ41" s="716"/>
      <c r="CA41" s="716"/>
      <c r="CB41" s="718"/>
    </row>
    <row r="42" spans="2:80" ht="15" customHeight="1" x14ac:dyDescent="0.2">
      <c r="B42" s="790" t="s">
        <v>589</v>
      </c>
      <c r="C42" s="806"/>
      <c r="D42" s="804" t="s">
        <v>94</v>
      </c>
      <c r="E42" s="709">
        <f>'NUoS (t)'!G56</f>
        <v>13.698600000000001</v>
      </c>
      <c r="F42" s="715"/>
      <c r="G42" s="709">
        <f>'NUoS (t)'!I56</f>
        <v>6.6200000000000009E-2</v>
      </c>
      <c r="H42" s="709"/>
      <c r="I42" s="710">
        <f>'NUoS (t)'!K56</f>
        <v>4.1399999999999999E-2</v>
      </c>
      <c r="J42" s="792">
        <f>'NUoS (t)'!S56</f>
        <v>0.25329999999999997</v>
      </c>
      <c r="K42" s="709">
        <f>'NUoS (t)'!T56</f>
        <v>0.1036</v>
      </c>
      <c r="L42" s="715"/>
      <c r="M42" s="716"/>
      <c r="N42" s="717"/>
      <c r="O42" s="709"/>
      <c r="P42" s="709"/>
      <c r="Q42" s="715"/>
      <c r="R42" s="716"/>
      <c r="S42" s="716"/>
      <c r="T42" s="718"/>
      <c r="V42" s="790" t="s">
        <v>589</v>
      </c>
      <c r="W42" s="806"/>
      <c r="X42" s="804" t="s">
        <v>94</v>
      </c>
      <c r="Y42" s="709">
        <f>'DUoS (t)'!G56</f>
        <v>13.698600000000001</v>
      </c>
      <c r="Z42" s="715"/>
      <c r="AA42" s="709">
        <f>'DUoS (t)'!I56</f>
        <v>4.2099999999999999E-2</v>
      </c>
      <c r="AB42" s="709"/>
      <c r="AC42" s="710">
        <f>'DUoS (t)'!K56</f>
        <v>2.63E-2</v>
      </c>
      <c r="AD42" s="792">
        <f>'DUoS (t)'!S56</f>
        <v>0.14499999999999999</v>
      </c>
      <c r="AE42" s="709">
        <f>'DUoS (t)'!T56</f>
        <v>0.1036</v>
      </c>
      <c r="AF42" s="715"/>
      <c r="AG42" s="716"/>
      <c r="AH42" s="717"/>
      <c r="AI42" s="709"/>
      <c r="AJ42" s="709"/>
      <c r="AK42" s="715"/>
      <c r="AL42" s="716"/>
      <c r="AM42" s="716"/>
      <c r="AN42" s="718"/>
      <c r="AP42" s="790" t="s">
        <v>589</v>
      </c>
      <c r="AQ42" s="806"/>
      <c r="AR42" s="804" t="s">
        <v>94</v>
      </c>
      <c r="AS42" s="709">
        <f>'TUoS (t)'!G56</f>
        <v>0</v>
      </c>
      <c r="AT42" s="715"/>
      <c r="AU42" s="709">
        <f>'TUoS (t)'!I56</f>
        <v>1.7600000000000001E-2</v>
      </c>
      <c r="AV42" s="709"/>
      <c r="AW42" s="710">
        <f>'TUoS (t)'!K56</f>
        <v>1.0999999999999999E-2</v>
      </c>
      <c r="AX42" s="792">
        <f>'TUoS (t)'!S56</f>
        <v>0.10829999999999999</v>
      </c>
      <c r="AY42" s="709">
        <f>'TUoS (t)'!T56</f>
        <v>0</v>
      </c>
      <c r="AZ42" s="715"/>
      <c r="BA42" s="716"/>
      <c r="BB42" s="717"/>
      <c r="BC42" s="709"/>
      <c r="BD42" s="709"/>
      <c r="BE42" s="715"/>
      <c r="BF42" s="716"/>
      <c r="BG42" s="716"/>
      <c r="BH42" s="718"/>
      <c r="BJ42" s="790" t="s">
        <v>589</v>
      </c>
      <c r="BK42" s="806"/>
      <c r="BL42" s="804" t="s">
        <v>94</v>
      </c>
      <c r="BM42" s="709">
        <f>'JSO (t)'!G56</f>
        <v>0</v>
      </c>
      <c r="BN42" s="715"/>
      <c r="BO42" s="709">
        <f>'JSO (t)'!I56</f>
        <v>6.4999999999999997E-3</v>
      </c>
      <c r="BP42" s="709"/>
      <c r="BQ42" s="710">
        <f>'JSO (t)'!K56</f>
        <v>4.1000000000000003E-3</v>
      </c>
      <c r="BR42" s="792">
        <f>'JSO (t)'!S56</f>
        <v>0</v>
      </c>
      <c r="BS42" s="709">
        <f>'JSO (t)'!T56</f>
        <v>0</v>
      </c>
      <c r="BT42" s="715"/>
      <c r="BU42" s="716"/>
      <c r="BV42" s="717"/>
      <c r="BW42" s="709"/>
      <c r="BX42" s="709"/>
      <c r="BY42" s="715"/>
      <c r="BZ42" s="716"/>
      <c r="CA42" s="716"/>
      <c r="CB42" s="718"/>
    </row>
    <row r="43" spans="2:80" ht="15" customHeight="1" x14ac:dyDescent="0.2">
      <c r="B43" s="668" t="s">
        <v>591</v>
      </c>
      <c r="C43" s="679"/>
      <c r="D43" s="671" t="s">
        <v>94</v>
      </c>
      <c r="E43" s="702">
        <f>'NUoS (t)'!G57</f>
        <v>13.698600000000001</v>
      </c>
      <c r="F43" s="713"/>
      <c r="G43" s="702">
        <f>'NUoS (t)'!I57</f>
        <v>6.6200000000000009E-2</v>
      </c>
      <c r="H43" s="702"/>
      <c r="I43" s="704">
        <f>'NUoS (t)'!K57</f>
        <v>4.1399999999999999E-2</v>
      </c>
      <c r="J43" s="703">
        <f>'NUoS (t)'!S57</f>
        <v>0.25329999999999997</v>
      </c>
      <c r="K43" s="702">
        <f>'NUoS (t)'!T57</f>
        <v>0.1036</v>
      </c>
      <c r="L43" s="713"/>
      <c r="M43" s="711"/>
      <c r="N43" s="712"/>
      <c r="O43" s="702"/>
      <c r="P43" s="702"/>
      <c r="Q43" s="713"/>
      <c r="R43" s="711"/>
      <c r="S43" s="711"/>
      <c r="T43" s="714"/>
      <c r="V43" s="668" t="s">
        <v>591</v>
      </c>
      <c r="W43" s="679"/>
      <c r="X43" s="671" t="s">
        <v>94</v>
      </c>
      <c r="Y43" s="702">
        <f>'DUoS (t)'!G57</f>
        <v>13.698600000000001</v>
      </c>
      <c r="Z43" s="713"/>
      <c r="AA43" s="702">
        <f>'DUoS (t)'!I57</f>
        <v>4.2099999999999999E-2</v>
      </c>
      <c r="AB43" s="702"/>
      <c r="AC43" s="704">
        <f>'DUoS (t)'!K57</f>
        <v>2.63E-2</v>
      </c>
      <c r="AD43" s="703">
        <f>'DUoS (t)'!S57</f>
        <v>0.14499999999999999</v>
      </c>
      <c r="AE43" s="702">
        <f>'DUoS (t)'!T57</f>
        <v>0.1036</v>
      </c>
      <c r="AF43" s="713"/>
      <c r="AG43" s="711"/>
      <c r="AH43" s="712"/>
      <c r="AI43" s="702"/>
      <c r="AJ43" s="702"/>
      <c r="AK43" s="713"/>
      <c r="AL43" s="711"/>
      <c r="AM43" s="711"/>
      <c r="AN43" s="714"/>
      <c r="AP43" s="668" t="s">
        <v>591</v>
      </c>
      <c r="AQ43" s="679"/>
      <c r="AR43" s="671" t="s">
        <v>94</v>
      </c>
      <c r="AS43" s="702">
        <f>'TUoS (t)'!G57</f>
        <v>0</v>
      </c>
      <c r="AT43" s="713"/>
      <c r="AU43" s="702">
        <f>'TUoS (t)'!I57</f>
        <v>1.7600000000000001E-2</v>
      </c>
      <c r="AV43" s="702"/>
      <c r="AW43" s="704">
        <f>'TUoS (t)'!K57</f>
        <v>1.0999999999999999E-2</v>
      </c>
      <c r="AX43" s="703">
        <f>'TUoS (t)'!S57</f>
        <v>0.10829999999999999</v>
      </c>
      <c r="AY43" s="702">
        <f>'TUoS (t)'!T57</f>
        <v>0</v>
      </c>
      <c r="AZ43" s="713"/>
      <c r="BA43" s="711"/>
      <c r="BB43" s="712"/>
      <c r="BC43" s="702"/>
      <c r="BD43" s="702"/>
      <c r="BE43" s="713"/>
      <c r="BF43" s="711"/>
      <c r="BG43" s="711"/>
      <c r="BH43" s="714"/>
      <c r="BJ43" s="668" t="s">
        <v>591</v>
      </c>
      <c r="BK43" s="679"/>
      <c r="BL43" s="671" t="s">
        <v>94</v>
      </c>
      <c r="BM43" s="702">
        <f>'JSO (t)'!G57</f>
        <v>0</v>
      </c>
      <c r="BN43" s="713"/>
      <c r="BO43" s="702">
        <f>'JSO (t)'!I57</f>
        <v>6.4999999999999997E-3</v>
      </c>
      <c r="BP43" s="702"/>
      <c r="BQ43" s="704">
        <f>'JSO (t)'!K57</f>
        <v>4.1000000000000003E-3</v>
      </c>
      <c r="BR43" s="703">
        <f>'JSO (t)'!S57</f>
        <v>0</v>
      </c>
      <c r="BS43" s="702">
        <f>'JSO (t)'!T57</f>
        <v>0</v>
      </c>
      <c r="BT43" s="713"/>
      <c r="BU43" s="711"/>
      <c r="BV43" s="712"/>
      <c r="BW43" s="702"/>
      <c r="BX43" s="702"/>
      <c r="BY43" s="713"/>
      <c r="BZ43" s="711"/>
      <c r="CA43" s="711"/>
      <c r="CB43" s="714"/>
    </row>
    <row r="44" spans="2:80" ht="15" customHeight="1" x14ac:dyDescent="0.2">
      <c r="B44" s="668" t="s">
        <v>590</v>
      </c>
      <c r="C44" s="679"/>
      <c r="D44" s="671" t="s">
        <v>94</v>
      </c>
      <c r="E44" s="702">
        <f>'NUoS (t)'!G59</f>
        <v>20.547900000000002</v>
      </c>
      <c r="F44" s="713"/>
      <c r="G44" s="702">
        <f>'NUoS (t)'!I59</f>
        <v>6.6200000000000009E-2</v>
      </c>
      <c r="H44" s="702"/>
      <c r="I44" s="704">
        <f>'NUoS (t)'!K59</f>
        <v>4.1399999999999999E-2</v>
      </c>
      <c r="J44" s="703">
        <f>'NUoS (t)'!S59</f>
        <v>0.25329999999999997</v>
      </c>
      <c r="K44" s="702">
        <f>'NUoS (t)'!T59</f>
        <v>0.1036</v>
      </c>
      <c r="L44" s="713"/>
      <c r="M44" s="711"/>
      <c r="N44" s="712"/>
      <c r="O44" s="702"/>
      <c r="P44" s="702"/>
      <c r="Q44" s="713"/>
      <c r="R44" s="711"/>
      <c r="S44" s="711"/>
      <c r="T44" s="714"/>
      <c r="V44" s="668" t="s">
        <v>590</v>
      </c>
      <c r="W44" s="679"/>
      <c r="X44" s="671" t="s">
        <v>94</v>
      </c>
      <c r="Y44" s="702">
        <f>'DUoS (t)'!G59</f>
        <v>20.547900000000002</v>
      </c>
      <c r="Z44" s="713"/>
      <c r="AA44" s="702">
        <f>'DUoS (t)'!I59</f>
        <v>4.2099999999999999E-2</v>
      </c>
      <c r="AB44" s="702"/>
      <c r="AC44" s="704">
        <f>'DUoS (t)'!K59</f>
        <v>2.63E-2</v>
      </c>
      <c r="AD44" s="703">
        <f>'DUoS (t)'!S59</f>
        <v>0.14499999999999999</v>
      </c>
      <c r="AE44" s="702">
        <f>'DUoS (t)'!T59</f>
        <v>0.1036</v>
      </c>
      <c r="AF44" s="713"/>
      <c r="AG44" s="711"/>
      <c r="AH44" s="712"/>
      <c r="AI44" s="702"/>
      <c r="AJ44" s="702"/>
      <c r="AK44" s="713"/>
      <c r="AL44" s="711"/>
      <c r="AM44" s="711"/>
      <c r="AN44" s="714"/>
      <c r="AP44" s="668" t="s">
        <v>590</v>
      </c>
      <c r="AQ44" s="679"/>
      <c r="AR44" s="671" t="s">
        <v>94</v>
      </c>
      <c r="AS44" s="702">
        <f>'TUoS (t)'!G59</f>
        <v>0</v>
      </c>
      <c r="AT44" s="713"/>
      <c r="AU44" s="702">
        <f>'TUoS (t)'!I59</f>
        <v>1.7600000000000001E-2</v>
      </c>
      <c r="AV44" s="702"/>
      <c r="AW44" s="704">
        <f>'TUoS (t)'!K59</f>
        <v>1.0999999999999999E-2</v>
      </c>
      <c r="AX44" s="703">
        <f>'TUoS (t)'!S59</f>
        <v>0.10829999999999999</v>
      </c>
      <c r="AY44" s="702">
        <f>'TUoS (t)'!T59</f>
        <v>0</v>
      </c>
      <c r="AZ44" s="713"/>
      <c r="BA44" s="711"/>
      <c r="BB44" s="712"/>
      <c r="BC44" s="702"/>
      <c r="BD44" s="702"/>
      <c r="BE44" s="713"/>
      <c r="BF44" s="711"/>
      <c r="BG44" s="711"/>
      <c r="BH44" s="714"/>
      <c r="BJ44" s="668" t="s">
        <v>590</v>
      </c>
      <c r="BK44" s="679"/>
      <c r="BL44" s="671" t="s">
        <v>94</v>
      </c>
      <c r="BM44" s="702">
        <f>'JSO (t)'!G59</f>
        <v>0</v>
      </c>
      <c r="BN44" s="713"/>
      <c r="BO44" s="702">
        <f>'JSO (t)'!I59</f>
        <v>6.4999999999999997E-3</v>
      </c>
      <c r="BP44" s="702"/>
      <c r="BQ44" s="704">
        <f>'JSO (t)'!K59</f>
        <v>4.1000000000000003E-3</v>
      </c>
      <c r="BR44" s="703">
        <f>'JSO (t)'!S59</f>
        <v>0</v>
      </c>
      <c r="BS44" s="702">
        <f>'JSO (t)'!T59</f>
        <v>0</v>
      </c>
      <c r="BT44" s="713"/>
      <c r="BU44" s="711"/>
      <c r="BV44" s="712"/>
      <c r="BW44" s="702"/>
      <c r="BX44" s="702"/>
      <c r="BY44" s="713"/>
      <c r="BZ44" s="711"/>
      <c r="CA44" s="711"/>
      <c r="CB44" s="714"/>
    </row>
    <row r="45" spans="2:80" ht="15" customHeight="1" x14ac:dyDescent="0.2">
      <c r="B45" s="790" t="s">
        <v>592</v>
      </c>
      <c r="C45" s="806"/>
      <c r="D45" s="804" t="s">
        <v>94</v>
      </c>
      <c r="E45" s="709">
        <f>'NUoS (t)'!G60</f>
        <v>13.698600000000001</v>
      </c>
      <c r="F45" s="715"/>
      <c r="G45" s="709">
        <f>'NUoS (t)'!I60</f>
        <v>6.6200000000000009E-2</v>
      </c>
      <c r="H45" s="709"/>
      <c r="I45" s="710">
        <f>'NUoS (t)'!K60</f>
        <v>4.1399999999999999E-2</v>
      </c>
      <c r="J45" s="792">
        <f>'NUoS (t)'!S60</f>
        <v>0.25329999999999997</v>
      </c>
      <c r="K45" s="709">
        <f>'NUoS (t)'!T60</f>
        <v>0.1036</v>
      </c>
      <c r="L45" s="715"/>
      <c r="M45" s="716"/>
      <c r="N45" s="717"/>
      <c r="O45" s="709"/>
      <c r="P45" s="709"/>
      <c r="Q45" s="715"/>
      <c r="R45" s="716"/>
      <c r="S45" s="716"/>
      <c r="T45" s="718"/>
      <c r="V45" s="790" t="s">
        <v>592</v>
      </c>
      <c r="W45" s="806"/>
      <c r="X45" s="804" t="s">
        <v>94</v>
      </c>
      <c r="Y45" s="709">
        <f>'DUoS (t)'!G60</f>
        <v>13.698600000000001</v>
      </c>
      <c r="Z45" s="715"/>
      <c r="AA45" s="709">
        <f>'DUoS (t)'!I60</f>
        <v>4.2099999999999999E-2</v>
      </c>
      <c r="AB45" s="709"/>
      <c r="AC45" s="710">
        <f>'DUoS (t)'!K60</f>
        <v>2.63E-2</v>
      </c>
      <c r="AD45" s="792">
        <f>'DUoS (t)'!S60</f>
        <v>0.14499999999999999</v>
      </c>
      <c r="AE45" s="709">
        <f>'DUoS (t)'!T60</f>
        <v>0.1036</v>
      </c>
      <c r="AF45" s="715"/>
      <c r="AG45" s="716"/>
      <c r="AH45" s="717"/>
      <c r="AI45" s="709"/>
      <c r="AJ45" s="709"/>
      <c r="AK45" s="715"/>
      <c r="AL45" s="716"/>
      <c r="AM45" s="716"/>
      <c r="AN45" s="718"/>
      <c r="AP45" s="790" t="s">
        <v>592</v>
      </c>
      <c r="AQ45" s="806"/>
      <c r="AR45" s="804" t="s">
        <v>94</v>
      </c>
      <c r="AS45" s="709">
        <f>'TUoS (t)'!G60</f>
        <v>0</v>
      </c>
      <c r="AT45" s="715"/>
      <c r="AU45" s="709">
        <f>'TUoS (t)'!I60</f>
        <v>1.7600000000000001E-2</v>
      </c>
      <c r="AV45" s="709"/>
      <c r="AW45" s="710">
        <f>'TUoS (t)'!K60</f>
        <v>1.0999999999999999E-2</v>
      </c>
      <c r="AX45" s="792">
        <f>'TUoS (t)'!S60</f>
        <v>0.10829999999999999</v>
      </c>
      <c r="AY45" s="709">
        <f>'TUoS (t)'!T60</f>
        <v>0</v>
      </c>
      <c r="AZ45" s="715"/>
      <c r="BA45" s="716"/>
      <c r="BB45" s="717"/>
      <c r="BC45" s="709"/>
      <c r="BD45" s="709"/>
      <c r="BE45" s="715"/>
      <c r="BF45" s="716"/>
      <c r="BG45" s="716"/>
      <c r="BH45" s="718"/>
      <c r="BJ45" s="790" t="s">
        <v>592</v>
      </c>
      <c r="BK45" s="806"/>
      <c r="BL45" s="804" t="s">
        <v>94</v>
      </c>
      <c r="BM45" s="709">
        <f>'JSO (t)'!G60</f>
        <v>0</v>
      </c>
      <c r="BN45" s="715"/>
      <c r="BO45" s="709">
        <f>'JSO (t)'!I60</f>
        <v>6.4999999999999997E-3</v>
      </c>
      <c r="BP45" s="709"/>
      <c r="BQ45" s="710">
        <f>'JSO (t)'!K60</f>
        <v>4.1000000000000003E-3</v>
      </c>
      <c r="BR45" s="792">
        <f>'JSO (t)'!S60</f>
        <v>0</v>
      </c>
      <c r="BS45" s="709">
        <f>'JSO (t)'!T60</f>
        <v>0</v>
      </c>
      <c r="BT45" s="715"/>
      <c r="BU45" s="716"/>
      <c r="BV45" s="717"/>
      <c r="BW45" s="709"/>
      <c r="BX45" s="709"/>
      <c r="BY45" s="715"/>
      <c r="BZ45" s="716"/>
      <c r="CA45" s="716"/>
      <c r="CB45" s="718"/>
    </row>
    <row r="46" spans="2:80" ht="15" customHeight="1" x14ac:dyDescent="0.2">
      <c r="B46" s="790" t="s">
        <v>593</v>
      </c>
      <c r="C46" s="806"/>
      <c r="D46" s="804" t="s">
        <v>94</v>
      </c>
      <c r="E46" s="709">
        <f>'NUoS (t)'!G61</f>
        <v>13.698600000000001</v>
      </c>
      <c r="F46" s="715"/>
      <c r="G46" s="709">
        <f>'NUoS (t)'!I61</f>
        <v>6.6200000000000009E-2</v>
      </c>
      <c r="H46" s="709"/>
      <c r="I46" s="710">
        <f>'NUoS (t)'!K61</f>
        <v>4.1399999999999999E-2</v>
      </c>
      <c r="J46" s="792">
        <f>'NUoS (t)'!S61</f>
        <v>0.25329999999999997</v>
      </c>
      <c r="K46" s="709">
        <f>'NUoS (t)'!T61</f>
        <v>0.1036</v>
      </c>
      <c r="L46" s="715"/>
      <c r="M46" s="716"/>
      <c r="N46" s="717"/>
      <c r="O46" s="709"/>
      <c r="P46" s="709"/>
      <c r="Q46" s="715"/>
      <c r="R46" s="716"/>
      <c r="S46" s="716"/>
      <c r="T46" s="718"/>
      <c r="V46" s="790" t="s">
        <v>593</v>
      </c>
      <c r="W46" s="806"/>
      <c r="X46" s="804" t="s">
        <v>94</v>
      </c>
      <c r="Y46" s="709">
        <f>'DUoS (t)'!G61</f>
        <v>13.698600000000001</v>
      </c>
      <c r="Z46" s="715"/>
      <c r="AA46" s="709">
        <f>'DUoS (t)'!I61</f>
        <v>4.2099999999999999E-2</v>
      </c>
      <c r="AB46" s="709"/>
      <c r="AC46" s="710">
        <f>'DUoS (t)'!K61</f>
        <v>2.63E-2</v>
      </c>
      <c r="AD46" s="792">
        <f>'DUoS (t)'!S61</f>
        <v>0.14499999999999999</v>
      </c>
      <c r="AE46" s="709">
        <f>'DUoS (t)'!T61</f>
        <v>0.1036</v>
      </c>
      <c r="AF46" s="715"/>
      <c r="AG46" s="716"/>
      <c r="AH46" s="717"/>
      <c r="AI46" s="709"/>
      <c r="AJ46" s="709"/>
      <c r="AK46" s="715"/>
      <c r="AL46" s="716"/>
      <c r="AM46" s="716"/>
      <c r="AN46" s="718"/>
      <c r="AP46" s="790" t="s">
        <v>593</v>
      </c>
      <c r="AQ46" s="806"/>
      <c r="AR46" s="804" t="s">
        <v>94</v>
      </c>
      <c r="AS46" s="709">
        <f>'TUoS (t)'!G61</f>
        <v>0</v>
      </c>
      <c r="AT46" s="715"/>
      <c r="AU46" s="709">
        <f>'TUoS (t)'!I61</f>
        <v>1.7600000000000001E-2</v>
      </c>
      <c r="AV46" s="709"/>
      <c r="AW46" s="710">
        <f>'TUoS (t)'!K61</f>
        <v>1.0999999999999999E-2</v>
      </c>
      <c r="AX46" s="792">
        <f>'TUoS (t)'!S61</f>
        <v>0.10829999999999999</v>
      </c>
      <c r="AY46" s="709">
        <f>'TUoS (t)'!T61</f>
        <v>0</v>
      </c>
      <c r="AZ46" s="715"/>
      <c r="BA46" s="716"/>
      <c r="BB46" s="717"/>
      <c r="BC46" s="709"/>
      <c r="BD46" s="709"/>
      <c r="BE46" s="715"/>
      <c r="BF46" s="716"/>
      <c r="BG46" s="716"/>
      <c r="BH46" s="718"/>
      <c r="BJ46" s="790" t="s">
        <v>593</v>
      </c>
      <c r="BK46" s="806"/>
      <c r="BL46" s="804" t="s">
        <v>94</v>
      </c>
      <c r="BM46" s="709">
        <f>'JSO (t)'!G61</f>
        <v>0</v>
      </c>
      <c r="BN46" s="715"/>
      <c r="BO46" s="709">
        <f>'JSO (t)'!I61</f>
        <v>6.4999999999999997E-3</v>
      </c>
      <c r="BP46" s="709"/>
      <c r="BQ46" s="710">
        <f>'JSO (t)'!K61</f>
        <v>4.1000000000000003E-3</v>
      </c>
      <c r="BR46" s="792">
        <f>'JSO (t)'!S61</f>
        <v>0</v>
      </c>
      <c r="BS46" s="709">
        <f>'JSO (t)'!T61</f>
        <v>0</v>
      </c>
      <c r="BT46" s="715"/>
      <c r="BU46" s="716"/>
      <c r="BV46" s="717"/>
      <c r="BW46" s="709"/>
      <c r="BX46" s="709"/>
      <c r="BY46" s="715"/>
      <c r="BZ46" s="716"/>
      <c r="CA46" s="716"/>
      <c r="CB46" s="718"/>
    </row>
    <row r="47" spans="2:80" ht="15" customHeight="1" x14ac:dyDescent="0.2">
      <c r="B47" s="668" t="s">
        <v>594</v>
      </c>
      <c r="C47" s="679"/>
      <c r="D47" s="671" t="s">
        <v>94</v>
      </c>
      <c r="E47" s="702">
        <f>'NUoS (t)'!G62</f>
        <v>20.547900000000002</v>
      </c>
      <c r="F47" s="713"/>
      <c r="G47" s="702">
        <f>'NUoS (t)'!I62</f>
        <v>6.6200000000000009E-2</v>
      </c>
      <c r="H47" s="702"/>
      <c r="I47" s="704">
        <f>'NUoS (t)'!K62</f>
        <v>4.1399999999999999E-2</v>
      </c>
      <c r="J47" s="703">
        <f>'NUoS (t)'!S62</f>
        <v>0.25329999999999997</v>
      </c>
      <c r="K47" s="702">
        <f>'NUoS (t)'!T62</f>
        <v>0.1036</v>
      </c>
      <c r="L47" s="713"/>
      <c r="M47" s="711"/>
      <c r="N47" s="712"/>
      <c r="O47" s="702"/>
      <c r="P47" s="702"/>
      <c r="Q47" s="713"/>
      <c r="R47" s="711"/>
      <c r="S47" s="711"/>
      <c r="T47" s="714"/>
      <c r="V47" s="668" t="s">
        <v>594</v>
      </c>
      <c r="W47" s="679"/>
      <c r="X47" s="671" t="s">
        <v>94</v>
      </c>
      <c r="Y47" s="702">
        <f>'DUoS (t)'!G62</f>
        <v>20.547900000000002</v>
      </c>
      <c r="Z47" s="713"/>
      <c r="AA47" s="702">
        <f>'DUoS (t)'!I62</f>
        <v>4.2099999999999999E-2</v>
      </c>
      <c r="AB47" s="702"/>
      <c r="AC47" s="704">
        <f>'DUoS (t)'!K62</f>
        <v>2.63E-2</v>
      </c>
      <c r="AD47" s="703">
        <f>'DUoS (t)'!S62</f>
        <v>0.14499999999999999</v>
      </c>
      <c r="AE47" s="702">
        <f>'DUoS (t)'!T62</f>
        <v>0.1036</v>
      </c>
      <c r="AF47" s="713"/>
      <c r="AG47" s="711"/>
      <c r="AH47" s="712"/>
      <c r="AI47" s="702"/>
      <c r="AJ47" s="702"/>
      <c r="AK47" s="713"/>
      <c r="AL47" s="711"/>
      <c r="AM47" s="711"/>
      <c r="AN47" s="714"/>
      <c r="AP47" s="668" t="s">
        <v>594</v>
      </c>
      <c r="AQ47" s="679"/>
      <c r="AR47" s="671" t="s">
        <v>94</v>
      </c>
      <c r="AS47" s="702">
        <f>'TUoS (t)'!G62</f>
        <v>0</v>
      </c>
      <c r="AT47" s="713"/>
      <c r="AU47" s="702">
        <f>'TUoS (t)'!I62</f>
        <v>1.7600000000000001E-2</v>
      </c>
      <c r="AV47" s="702"/>
      <c r="AW47" s="704">
        <f>'TUoS (t)'!K62</f>
        <v>1.0999999999999999E-2</v>
      </c>
      <c r="AX47" s="703">
        <f>'TUoS (t)'!S62</f>
        <v>0.10829999999999999</v>
      </c>
      <c r="AY47" s="702">
        <f>'TUoS (t)'!T62</f>
        <v>0</v>
      </c>
      <c r="AZ47" s="713"/>
      <c r="BA47" s="711"/>
      <c r="BB47" s="712"/>
      <c r="BC47" s="702"/>
      <c r="BD47" s="702"/>
      <c r="BE47" s="713"/>
      <c r="BF47" s="711"/>
      <c r="BG47" s="711"/>
      <c r="BH47" s="714"/>
      <c r="BJ47" s="668" t="s">
        <v>594</v>
      </c>
      <c r="BK47" s="679"/>
      <c r="BL47" s="671" t="s">
        <v>94</v>
      </c>
      <c r="BM47" s="702">
        <f>'JSO (t)'!G62</f>
        <v>0</v>
      </c>
      <c r="BN47" s="713"/>
      <c r="BO47" s="702">
        <f>'JSO (t)'!I62</f>
        <v>6.4999999999999997E-3</v>
      </c>
      <c r="BP47" s="702"/>
      <c r="BQ47" s="704">
        <f>'JSO (t)'!K62</f>
        <v>4.1000000000000003E-3</v>
      </c>
      <c r="BR47" s="703">
        <f>'JSO (t)'!S62</f>
        <v>0</v>
      </c>
      <c r="BS47" s="702">
        <f>'JSO (t)'!T62</f>
        <v>0</v>
      </c>
      <c r="BT47" s="713"/>
      <c r="BU47" s="711"/>
      <c r="BV47" s="712"/>
      <c r="BW47" s="702"/>
      <c r="BX47" s="702"/>
      <c r="BY47" s="713"/>
      <c r="BZ47" s="711"/>
      <c r="CA47" s="711"/>
      <c r="CB47" s="714"/>
    </row>
    <row r="48" spans="2:80" ht="15" customHeight="1" x14ac:dyDescent="0.2">
      <c r="B48" s="668" t="s">
        <v>595</v>
      </c>
      <c r="C48" s="679"/>
      <c r="D48" s="671" t="s">
        <v>94</v>
      </c>
      <c r="E48" s="702">
        <f>'NUoS (t)'!G63</f>
        <v>82.191600000000008</v>
      </c>
      <c r="F48" s="713"/>
      <c r="G48" s="702">
        <f>'NUoS (t)'!I63</f>
        <v>6.6200000000000009E-2</v>
      </c>
      <c r="H48" s="702"/>
      <c r="I48" s="704">
        <f>'NUoS (t)'!K63</f>
        <v>4.1399999999999999E-2</v>
      </c>
      <c r="J48" s="703">
        <f>'NUoS (t)'!S63</f>
        <v>0.25329999999999997</v>
      </c>
      <c r="K48" s="702">
        <f>'NUoS (t)'!T63</f>
        <v>0.1036</v>
      </c>
      <c r="L48" s="713"/>
      <c r="M48" s="711"/>
      <c r="N48" s="712"/>
      <c r="O48" s="702"/>
      <c r="P48" s="702"/>
      <c r="Q48" s="713"/>
      <c r="R48" s="711"/>
      <c r="S48" s="711"/>
      <c r="T48" s="714"/>
      <c r="V48" s="668" t="s">
        <v>595</v>
      </c>
      <c r="W48" s="679"/>
      <c r="X48" s="671" t="s">
        <v>94</v>
      </c>
      <c r="Y48" s="702">
        <f>'DUoS (t)'!G63</f>
        <v>82.191600000000008</v>
      </c>
      <c r="Z48" s="713"/>
      <c r="AA48" s="702">
        <f>'DUoS (t)'!I63</f>
        <v>4.2099999999999999E-2</v>
      </c>
      <c r="AB48" s="702"/>
      <c r="AC48" s="704">
        <f>'DUoS (t)'!K63</f>
        <v>2.63E-2</v>
      </c>
      <c r="AD48" s="703">
        <f>'DUoS (t)'!S63</f>
        <v>0.14499999999999999</v>
      </c>
      <c r="AE48" s="702">
        <f>'DUoS (t)'!T63</f>
        <v>0.1036</v>
      </c>
      <c r="AF48" s="713"/>
      <c r="AG48" s="711"/>
      <c r="AH48" s="712"/>
      <c r="AI48" s="702"/>
      <c r="AJ48" s="702"/>
      <c r="AK48" s="713"/>
      <c r="AL48" s="711"/>
      <c r="AM48" s="711"/>
      <c r="AN48" s="714"/>
      <c r="AP48" s="668" t="s">
        <v>595</v>
      </c>
      <c r="AQ48" s="679"/>
      <c r="AR48" s="671" t="s">
        <v>94</v>
      </c>
      <c r="AS48" s="702">
        <f>'TUoS (t)'!G63</f>
        <v>0</v>
      </c>
      <c r="AT48" s="713"/>
      <c r="AU48" s="702">
        <f>'TUoS (t)'!I63</f>
        <v>1.7600000000000001E-2</v>
      </c>
      <c r="AV48" s="702"/>
      <c r="AW48" s="704">
        <f>'TUoS (t)'!K63</f>
        <v>1.0999999999999999E-2</v>
      </c>
      <c r="AX48" s="703">
        <f>'TUoS (t)'!S63</f>
        <v>0.10829999999999999</v>
      </c>
      <c r="AY48" s="702">
        <f>'TUoS (t)'!T63</f>
        <v>0</v>
      </c>
      <c r="AZ48" s="713"/>
      <c r="BA48" s="711"/>
      <c r="BB48" s="712"/>
      <c r="BC48" s="702"/>
      <c r="BD48" s="702"/>
      <c r="BE48" s="713"/>
      <c r="BF48" s="711"/>
      <c r="BG48" s="711"/>
      <c r="BH48" s="714"/>
      <c r="BJ48" s="668" t="s">
        <v>595</v>
      </c>
      <c r="BK48" s="679"/>
      <c r="BL48" s="671" t="s">
        <v>94</v>
      </c>
      <c r="BM48" s="702">
        <f>'JSO (t)'!G63</f>
        <v>0</v>
      </c>
      <c r="BN48" s="713"/>
      <c r="BO48" s="702">
        <f>'JSO (t)'!I63</f>
        <v>6.4999999999999997E-3</v>
      </c>
      <c r="BP48" s="702"/>
      <c r="BQ48" s="704">
        <f>'JSO (t)'!K63</f>
        <v>4.1000000000000003E-3</v>
      </c>
      <c r="BR48" s="703">
        <f>'JSO (t)'!S63</f>
        <v>0</v>
      </c>
      <c r="BS48" s="702">
        <f>'JSO (t)'!T63</f>
        <v>0</v>
      </c>
      <c r="BT48" s="713"/>
      <c r="BU48" s="711"/>
      <c r="BV48" s="712"/>
      <c r="BW48" s="702"/>
      <c r="BX48" s="702"/>
      <c r="BY48" s="713"/>
      <c r="BZ48" s="711"/>
      <c r="CA48" s="711"/>
      <c r="CB48" s="714"/>
    </row>
    <row r="49" spans="2:80" ht="15" customHeight="1" thickBot="1" x14ac:dyDescent="0.25">
      <c r="B49" s="817" t="s">
        <v>660</v>
      </c>
      <c r="C49" s="818"/>
      <c r="D49" s="807" t="s">
        <v>94</v>
      </c>
      <c r="E49" s="819">
        <f>'NUoS (t)'!G64</f>
        <v>27.397200000000002</v>
      </c>
      <c r="F49" s="809"/>
      <c r="G49" s="819">
        <f>'NUoS (t)'!I64</f>
        <v>6.6200000000000009E-2</v>
      </c>
      <c r="H49" s="819"/>
      <c r="I49" s="820">
        <f>'NUoS (t)'!K64</f>
        <v>4.1399999999999999E-2</v>
      </c>
      <c r="J49" s="821">
        <f>'NUoS (t)'!S64</f>
        <v>0</v>
      </c>
      <c r="K49" s="819">
        <f>'NUoS (t)'!T64</f>
        <v>0.1036</v>
      </c>
      <c r="L49" s="809"/>
      <c r="M49" s="810"/>
      <c r="N49" s="811"/>
      <c r="O49" s="819"/>
      <c r="P49" s="819"/>
      <c r="Q49" s="809"/>
      <c r="R49" s="810"/>
      <c r="S49" s="810"/>
      <c r="T49" s="822"/>
      <c r="V49" s="817" t="s">
        <v>596</v>
      </c>
      <c r="W49" s="818"/>
      <c r="X49" s="807" t="s">
        <v>94</v>
      </c>
      <c r="Y49" s="819">
        <f>'DUoS (t)'!G64</f>
        <v>27.397200000000002</v>
      </c>
      <c r="Z49" s="809"/>
      <c r="AA49" s="819">
        <f>'DUoS (t)'!I64</f>
        <v>4.2099999999999999E-2</v>
      </c>
      <c r="AB49" s="819"/>
      <c r="AC49" s="820">
        <f>'DUoS (t)'!K64</f>
        <v>2.63E-2</v>
      </c>
      <c r="AD49" s="821">
        <f>'DUoS (t)'!S64</f>
        <v>0</v>
      </c>
      <c r="AE49" s="819">
        <f>'DUoS (t)'!T64</f>
        <v>0.1036</v>
      </c>
      <c r="AF49" s="809"/>
      <c r="AG49" s="810"/>
      <c r="AH49" s="811"/>
      <c r="AI49" s="819"/>
      <c r="AJ49" s="819"/>
      <c r="AK49" s="809"/>
      <c r="AL49" s="810"/>
      <c r="AM49" s="810"/>
      <c r="AN49" s="822"/>
      <c r="AP49" s="817" t="s">
        <v>596</v>
      </c>
      <c r="AQ49" s="818"/>
      <c r="AR49" s="807" t="s">
        <v>94</v>
      </c>
      <c r="AS49" s="819">
        <f>'TUoS (t)'!G64</f>
        <v>0</v>
      </c>
      <c r="AT49" s="809"/>
      <c r="AU49" s="819">
        <f>'TUoS (t)'!I64</f>
        <v>1.7600000000000001E-2</v>
      </c>
      <c r="AV49" s="819"/>
      <c r="AW49" s="820">
        <f>'TUoS (t)'!K64</f>
        <v>1.0999999999999999E-2</v>
      </c>
      <c r="AX49" s="821">
        <f>'TUoS (t)'!S64</f>
        <v>0</v>
      </c>
      <c r="AY49" s="819">
        <f>'TUoS (t)'!T64</f>
        <v>0</v>
      </c>
      <c r="AZ49" s="809"/>
      <c r="BA49" s="810"/>
      <c r="BB49" s="811"/>
      <c r="BC49" s="819"/>
      <c r="BD49" s="819"/>
      <c r="BE49" s="809"/>
      <c r="BF49" s="810"/>
      <c r="BG49" s="810"/>
      <c r="BH49" s="822"/>
      <c r="BJ49" s="817" t="s">
        <v>596</v>
      </c>
      <c r="BK49" s="818"/>
      <c r="BL49" s="807" t="s">
        <v>94</v>
      </c>
      <c r="BM49" s="819">
        <f>'JSO (t)'!G64</f>
        <v>0</v>
      </c>
      <c r="BN49" s="809"/>
      <c r="BO49" s="819">
        <f>'JSO (t)'!I64</f>
        <v>6.4999999999999997E-3</v>
      </c>
      <c r="BP49" s="819"/>
      <c r="BQ49" s="820">
        <f>'JSO (t)'!K64</f>
        <v>4.1000000000000003E-3</v>
      </c>
      <c r="BR49" s="821">
        <f>'JSO (t)'!S64</f>
        <v>0</v>
      </c>
      <c r="BS49" s="819">
        <f>'JSO (t)'!T64</f>
        <v>0</v>
      </c>
      <c r="BT49" s="809"/>
      <c r="BU49" s="810"/>
      <c r="BV49" s="811"/>
      <c r="BW49" s="819"/>
      <c r="BX49" s="819"/>
      <c r="BY49" s="809"/>
      <c r="BZ49" s="810"/>
      <c r="CA49" s="810"/>
      <c r="CB49" s="822"/>
    </row>
    <row r="50" spans="2:80" ht="15" customHeight="1" x14ac:dyDescent="0.2">
      <c r="B50" s="657"/>
      <c r="C50" s="658"/>
      <c r="D50" s="659"/>
      <c r="E50" s="686" t="s">
        <v>544</v>
      </c>
      <c r="F50" s="879" t="s">
        <v>545</v>
      </c>
      <c r="G50" s="880"/>
      <c r="H50" s="880"/>
      <c r="I50" s="883"/>
      <c r="J50" s="879" t="s">
        <v>661</v>
      </c>
      <c r="K50" s="883"/>
      <c r="L50" s="879" t="s">
        <v>546</v>
      </c>
      <c r="M50" s="880"/>
      <c r="N50" s="883"/>
      <c r="O50" s="879" t="s">
        <v>547</v>
      </c>
      <c r="P50" s="880"/>
      <c r="Q50" s="879" t="s">
        <v>545</v>
      </c>
      <c r="R50" s="880"/>
      <c r="S50" s="880"/>
      <c r="T50" s="881"/>
      <c r="V50" s="657"/>
      <c r="W50" s="658"/>
      <c r="X50" s="659"/>
      <c r="Y50" s="686" t="s">
        <v>544</v>
      </c>
      <c r="Z50" s="879" t="s">
        <v>545</v>
      </c>
      <c r="AA50" s="880"/>
      <c r="AB50" s="880"/>
      <c r="AC50" s="883"/>
      <c r="AD50" s="879" t="s">
        <v>661</v>
      </c>
      <c r="AE50" s="883"/>
      <c r="AF50" s="879" t="s">
        <v>546</v>
      </c>
      <c r="AG50" s="880"/>
      <c r="AH50" s="883"/>
      <c r="AI50" s="879" t="s">
        <v>547</v>
      </c>
      <c r="AJ50" s="880"/>
      <c r="AK50" s="879" t="s">
        <v>545</v>
      </c>
      <c r="AL50" s="880"/>
      <c r="AM50" s="880"/>
      <c r="AN50" s="881"/>
      <c r="AP50" s="657"/>
      <c r="AQ50" s="658"/>
      <c r="AR50" s="659"/>
      <c r="AS50" s="686" t="s">
        <v>544</v>
      </c>
      <c r="AT50" s="879" t="s">
        <v>545</v>
      </c>
      <c r="AU50" s="880"/>
      <c r="AV50" s="880"/>
      <c r="AW50" s="883"/>
      <c r="AX50" s="879" t="s">
        <v>661</v>
      </c>
      <c r="AY50" s="883"/>
      <c r="AZ50" s="879" t="s">
        <v>546</v>
      </c>
      <c r="BA50" s="880"/>
      <c r="BB50" s="883"/>
      <c r="BC50" s="879" t="s">
        <v>547</v>
      </c>
      <c r="BD50" s="880"/>
      <c r="BE50" s="879" t="s">
        <v>545</v>
      </c>
      <c r="BF50" s="880"/>
      <c r="BG50" s="880"/>
      <c r="BH50" s="881"/>
      <c r="BJ50" s="657"/>
      <c r="BK50" s="658"/>
      <c r="BL50" s="659"/>
      <c r="BM50" s="686" t="s">
        <v>544</v>
      </c>
      <c r="BN50" s="879" t="s">
        <v>545</v>
      </c>
      <c r="BO50" s="880"/>
      <c r="BP50" s="880"/>
      <c r="BQ50" s="883"/>
      <c r="BR50" s="879" t="s">
        <v>661</v>
      </c>
      <c r="BS50" s="883"/>
      <c r="BT50" s="879" t="s">
        <v>546</v>
      </c>
      <c r="BU50" s="880"/>
      <c r="BV50" s="883"/>
      <c r="BW50" s="879" t="s">
        <v>547</v>
      </c>
      <c r="BX50" s="880"/>
      <c r="BY50" s="879" t="s">
        <v>545</v>
      </c>
      <c r="BZ50" s="880"/>
      <c r="CA50" s="880"/>
      <c r="CB50" s="881"/>
    </row>
    <row r="51" spans="2:80" ht="15" customHeight="1" x14ac:dyDescent="0.3">
      <c r="B51" s="667" t="str">
        <f>"SA Power Networks' Tariffs "&amp;'Model Update'!D44</f>
        <v xml:space="preserve">SA Power Networks' Tariffs </v>
      </c>
      <c r="C51" s="656"/>
      <c r="D51" s="10"/>
      <c r="E51" s="687" t="s">
        <v>541</v>
      </c>
      <c r="F51" s="856" t="s">
        <v>19</v>
      </c>
      <c r="G51" s="857"/>
      <c r="H51" s="857"/>
      <c r="I51" s="858"/>
      <c r="J51" s="859" t="s">
        <v>662</v>
      </c>
      <c r="K51" s="860"/>
      <c r="L51" s="856" t="s">
        <v>21</v>
      </c>
      <c r="M51" s="857"/>
      <c r="N51" s="858"/>
      <c r="O51" s="856" t="s">
        <v>663</v>
      </c>
      <c r="P51" s="857"/>
      <c r="Q51" s="856" t="s">
        <v>20</v>
      </c>
      <c r="R51" s="857"/>
      <c r="S51" s="857"/>
      <c r="T51" s="882"/>
      <c r="V51" s="667" t="str">
        <f>"SA Power Networks' Tariffs "&amp;'Model Update'!X44</f>
        <v xml:space="preserve">SA Power Networks' Tariffs </v>
      </c>
      <c r="W51" s="656"/>
      <c r="X51" s="10"/>
      <c r="Y51" s="687" t="s">
        <v>541</v>
      </c>
      <c r="Z51" s="856" t="s">
        <v>19</v>
      </c>
      <c r="AA51" s="857"/>
      <c r="AB51" s="857"/>
      <c r="AC51" s="858"/>
      <c r="AD51" s="859" t="s">
        <v>662</v>
      </c>
      <c r="AE51" s="860"/>
      <c r="AF51" s="856" t="s">
        <v>21</v>
      </c>
      <c r="AG51" s="857"/>
      <c r="AH51" s="858"/>
      <c r="AI51" s="856" t="s">
        <v>663</v>
      </c>
      <c r="AJ51" s="857"/>
      <c r="AK51" s="856" t="s">
        <v>20</v>
      </c>
      <c r="AL51" s="857"/>
      <c r="AM51" s="857"/>
      <c r="AN51" s="882"/>
      <c r="AP51" s="667" t="str">
        <f>"SA Power Networks' Tariffs "&amp;'Model Update'!AR44</f>
        <v xml:space="preserve">SA Power Networks' Tariffs </v>
      </c>
      <c r="AQ51" s="656"/>
      <c r="AR51" s="10"/>
      <c r="AS51" s="687" t="s">
        <v>541</v>
      </c>
      <c r="AT51" s="856" t="s">
        <v>19</v>
      </c>
      <c r="AU51" s="857"/>
      <c r="AV51" s="857"/>
      <c r="AW51" s="858"/>
      <c r="AX51" s="859" t="s">
        <v>662</v>
      </c>
      <c r="AY51" s="860"/>
      <c r="AZ51" s="856" t="s">
        <v>21</v>
      </c>
      <c r="BA51" s="857"/>
      <c r="BB51" s="858"/>
      <c r="BC51" s="856" t="s">
        <v>663</v>
      </c>
      <c r="BD51" s="857"/>
      <c r="BE51" s="856" t="s">
        <v>20</v>
      </c>
      <c r="BF51" s="857"/>
      <c r="BG51" s="857"/>
      <c r="BH51" s="882"/>
      <c r="BJ51" s="667" t="str">
        <f>"SA Power Networks' Tariffs "&amp;'Model Update'!BL44</f>
        <v xml:space="preserve">SA Power Networks' Tariffs </v>
      </c>
      <c r="BK51" s="656"/>
      <c r="BL51" s="10"/>
      <c r="BM51" s="687" t="s">
        <v>541</v>
      </c>
      <c r="BN51" s="856" t="s">
        <v>19</v>
      </c>
      <c r="BO51" s="857"/>
      <c r="BP51" s="857"/>
      <c r="BQ51" s="858"/>
      <c r="BR51" s="859" t="s">
        <v>662</v>
      </c>
      <c r="BS51" s="860"/>
      <c r="BT51" s="856" t="s">
        <v>21</v>
      </c>
      <c r="BU51" s="857"/>
      <c r="BV51" s="858"/>
      <c r="BW51" s="856" t="s">
        <v>663</v>
      </c>
      <c r="BX51" s="857"/>
      <c r="BY51" s="856" t="s">
        <v>20</v>
      </c>
      <c r="BZ51" s="857"/>
      <c r="CA51" s="857"/>
      <c r="CB51" s="882"/>
    </row>
    <row r="52" spans="2:80" ht="15" customHeight="1" x14ac:dyDescent="0.3">
      <c r="B52" s="667" t="str">
        <f>"Price Schedule - " &amp;B4</f>
        <v xml:space="preserve">Price Schedule - Network Use of Service (NUoS) </v>
      </c>
      <c r="C52" s="656"/>
      <c r="D52" s="10"/>
      <c r="E52" s="687" t="s">
        <v>542</v>
      </c>
      <c r="F52" s="771" t="s">
        <v>292</v>
      </c>
      <c r="G52" s="772" t="s">
        <v>292</v>
      </c>
      <c r="H52" s="772" t="s">
        <v>292</v>
      </c>
      <c r="I52" s="773" t="s">
        <v>292</v>
      </c>
      <c r="J52" s="772" t="s">
        <v>543</v>
      </c>
      <c r="K52" s="691" t="s">
        <v>543</v>
      </c>
      <c r="L52" s="772" t="s">
        <v>543</v>
      </c>
      <c r="M52" s="772" t="s">
        <v>543</v>
      </c>
      <c r="N52" s="773" t="s">
        <v>543</v>
      </c>
      <c r="O52" s="772" t="s">
        <v>551</v>
      </c>
      <c r="P52" s="784" t="s">
        <v>551</v>
      </c>
      <c r="Q52" s="783" t="s">
        <v>292</v>
      </c>
      <c r="R52" s="784" t="s">
        <v>292</v>
      </c>
      <c r="S52" s="784" t="s">
        <v>292</v>
      </c>
      <c r="T52" s="786" t="s">
        <v>292</v>
      </c>
      <c r="V52" s="667" t="str">
        <f>"Price Schedule - " &amp;V4</f>
        <v xml:space="preserve">Price Schedule - Distribution Use of Service (DUoS) </v>
      </c>
      <c r="W52" s="656"/>
      <c r="X52" s="10"/>
      <c r="Y52" s="687" t="s">
        <v>542</v>
      </c>
      <c r="Z52" s="783" t="s">
        <v>292</v>
      </c>
      <c r="AA52" s="784" t="s">
        <v>292</v>
      </c>
      <c r="AB52" s="784" t="s">
        <v>292</v>
      </c>
      <c r="AC52" s="785" t="s">
        <v>292</v>
      </c>
      <c r="AD52" s="784" t="s">
        <v>543</v>
      </c>
      <c r="AE52" s="691" t="s">
        <v>543</v>
      </c>
      <c r="AF52" s="784" t="s">
        <v>543</v>
      </c>
      <c r="AG52" s="784" t="s">
        <v>543</v>
      </c>
      <c r="AH52" s="785" t="s">
        <v>543</v>
      </c>
      <c r="AI52" s="784" t="s">
        <v>551</v>
      </c>
      <c r="AJ52" s="784" t="s">
        <v>551</v>
      </c>
      <c r="AK52" s="783" t="s">
        <v>292</v>
      </c>
      <c r="AL52" s="784" t="s">
        <v>292</v>
      </c>
      <c r="AM52" s="784" t="s">
        <v>292</v>
      </c>
      <c r="AN52" s="786" t="s">
        <v>292</v>
      </c>
      <c r="AP52" s="667" t="str">
        <f>"Price Schedule - " &amp;AP4</f>
        <v xml:space="preserve">Price Schedule - Transmission Use of Service (TUoS) </v>
      </c>
      <c r="AQ52" s="656"/>
      <c r="AR52" s="10"/>
      <c r="AS52" s="687" t="s">
        <v>542</v>
      </c>
      <c r="AT52" s="783" t="s">
        <v>292</v>
      </c>
      <c r="AU52" s="784" t="s">
        <v>292</v>
      </c>
      <c r="AV52" s="784" t="s">
        <v>292</v>
      </c>
      <c r="AW52" s="785" t="s">
        <v>292</v>
      </c>
      <c r="AX52" s="784" t="s">
        <v>543</v>
      </c>
      <c r="AY52" s="691" t="s">
        <v>543</v>
      </c>
      <c r="AZ52" s="784" t="s">
        <v>543</v>
      </c>
      <c r="BA52" s="784" t="s">
        <v>543</v>
      </c>
      <c r="BB52" s="785" t="s">
        <v>543</v>
      </c>
      <c r="BC52" s="784" t="s">
        <v>551</v>
      </c>
      <c r="BD52" s="784" t="s">
        <v>551</v>
      </c>
      <c r="BE52" s="783" t="s">
        <v>292</v>
      </c>
      <c r="BF52" s="784" t="s">
        <v>292</v>
      </c>
      <c r="BG52" s="784" t="s">
        <v>292</v>
      </c>
      <c r="BH52" s="786" t="s">
        <v>292</v>
      </c>
      <c r="BJ52" s="667" t="str">
        <f>"Price Schedule - " &amp;BJ4</f>
        <v xml:space="preserve">Price Schedule - Jurisdication Obligation Scheme (JSO) </v>
      </c>
      <c r="BK52" s="656"/>
      <c r="BL52" s="10"/>
      <c r="BM52" s="687" t="s">
        <v>542</v>
      </c>
      <c r="BN52" s="783" t="s">
        <v>292</v>
      </c>
      <c r="BO52" s="784" t="s">
        <v>292</v>
      </c>
      <c r="BP52" s="784" t="s">
        <v>292</v>
      </c>
      <c r="BQ52" s="785" t="s">
        <v>292</v>
      </c>
      <c r="BR52" s="784" t="s">
        <v>543</v>
      </c>
      <c r="BS52" s="691" t="s">
        <v>543</v>
      </c>
      <c r="BT52" s="784" t="s">
        <v>543</v>
      </c>
      <c r="BU52" s="784" t="s">
        <v>543</v>
      </c>
      <c r="BV52" s="785" t="s">
        <v>543</v>
      </c>
      <c r="BW52" s="784" t="s">
        <v>551</v>
      </c>
      <c r="BX52" s="784" t="s">
        <v>551</v>
      </c>
      <c r="BY52" s="783" t="s">
        <v>292</v>
      </c>
      <c r="BZ52" s="784" t="s">
        <v>292</v>
      </c>
      <c r="CA52" s="784" t="s">
        <v>292</v>
      </c>
      <c r="CB52" s="786" t="s">
        <v>292</v>
      </c>
    </row>
    <row r="53" spans="2:80" s="21" customFormat="1" ht="15" customHeight="1" x14ac:dyDescent="0.2">
      <c r="B53" s="660" t="s">
        <v>27</v>
      </c>
      <c r="C53" s="655" t="s">
        <v>27</v>
      </c>
      <c r="D53" s="654" t="s">
        <v>28</v>
      </c>
      <c r="E53" s="687"/>
      <c r="F53" s="771" t="s">
        <v>30</v>
      </c>
      <c r="G53" s="772" t="s">
        <v>31</v>
      </c>
      <c r="H53" s="772" t="s">
        <v>32</v>
      </c>
      <c r="I53" s="773" t="s">
        <v>33</v>
      </c>
      <c r="J53" s="771"/>
      <c r="K53" s="773"/>
      <c r="L53" s="771"/>
      <c r="M53" s="772"/>
      <c r="N53" s="772"/>
      <c r="O53" s="772" t="s">
        <v>34</v>
      </c>
      <c r="P53" s="784"/>
      <c r="Q53" s="783" t="s">
        <v>30</v>
      </c>
      <c r="R53" s="784" t="s">
        <v>31</v>
      </c>
      <c r="S53" s="784" t="s">
        <v>32</v>
      </c>
      <c r="T53" s="786" t="s">
        <v>33</v>
      </c>
      <c r="V53" s="660" t="s">
        <v>27</v>
      </c>
      <c r="W53" s="655" t="s">
        <v>27</v>
      </c>
      <c r="X53" s="654" t="s">
        <v>28</v>
      </c>
      <c r="Y53" s="687"/>
      <c r="Z53" s="783" t="s">
        <v>30</v>
      </c>
      <c r="AA53" s="784" t="s">
        <v>31</v>
      </c>
      <c r="AB53" s="784" t="s">
        <v>32</v>
      </c>
      <c r="AC53" s="785" t="s">
        <v>33</v>
      </c>
      <c r="AD53" s="783"/>
      <c r="AE53" s="785"/>
      <c r="AF53" s="783"/>
      <c r="AG53" s="784"/>
      <c r="AH53" s="784"/>
      <c r="AI53" s="784" t="s">
        <v>34</v>
      </c>
      <c r="AJ53" s="784"/>
      <c r="AK53" s="783" t="s">
        <v>30</v>
      </c>
      <c r="AL53" s="784" t="s">
        <v>31</v>
      </c>
      <c r="AM53" s="784" t="s">
        <v>32</v>
      </c>
      <c r="AN53" s="786" t="s">
        <v>33</v>
      </c>
      <c r="AP53" s="660" t="s">
        <v>27</v>
      </c>
      <c r="AQ53" s="655" t="s">
        <v>27</v>
      </c>
      <c r="AR53" s="654" t="s">
        <v>28</v>
      </c>
      <c r="AS53" s="687"/>
      <c r="AT53" s="783" t="s">
        <v>30</v>
      </c>
      <c r="AU53" s="784" t="s">
        <v>31</v>
      </c>
      <c r="AV53" s="784" t="s">
        <v>32</v>
      </c>
      <c r="AW53" s="785" t="s">
        <v>33</v>
      </c>
      <c r="AX53" s="783"/>
      <c r="AY53" s="785"/>
      <c r="AZ53" s="783"/>
      <c r="BA53" s="784"/>
      <c r="BB53" s="784"/>
      <c r="BC53" s="784" t="s">
        <v>34</v>
      </c>
      <c r="BD53" s="784"/>
      <c r="BE53" s="783" t="s">
        <v>30</v>
      </c>
      <c r="BF53" s="784" t="s">
        <v>31</v>
      </c>
      <c r="BG53" s="784" t="s">
        <v>32</v>
      </c>
      <c r="BH53" s="786" t="s">
        <v>33</v>
      </c>
      <c r="BJ53" s="660" t="s">
        <v>27</v>
      </c>
      <c r="BK53" s="655" t="s">
        <v>27</v>
      </c>
      <c r="BL53" s="654" t="s">
        <v>28</v>
      </c>
      <c r="BM53" s="687"/>
      <c r="BN53" s="783" t="s">
        <v>30</v>
      </c>
      <c r="BO53" s="784" t="s">
        <v>31</v>
      </c>
      <c r="BP53" s="784" t="s">
        <v>32</v>
      </c>
      <c r="BQ53" s="785" t="s">
        <v>33</v>
      </c>
      <c r="BR53" s="783"/>
      <c r="BS53" s="785"/>
      <c r="BT53" s="783"/>
      <c r="BU53" s="784"/>
      <c r="BV53" s="784"/>
      <c r="BW53" s="784" t="s">
        <v>34</v>
      </c>
      <c r="BX53" s="784"/>
      <c r="BY53" s="783" t="s">
        <v>30</v>
      </c>
      <c r="BZ53" s="784" t="s">
        <v>31</v>
      </c>
      <c r="CA53" s="784" t="s">
        <v>32</v>
      </c>
      <c r="CB53" s="786" t="s">
        <v>33</v>
      </c>
    </row>
    <row r="54" spans="2:80" s="21" customFormat="1" ht="15" customHeight="1" x14ac:dyDescent="0.2">
      <c r="B54" s="661" t="s">
        <v>36</v>
      </c>
      <c r="C54" s="27" t="s">
        <v>37</v>
      </c>
      <c r="D54" s="28" t="s">
        <v>38</v>
      </c>
      <c r="E54" s="692"/>
      <c r="F54" s="693" t="s">
        <v>30</v>
      </c>
      <c r="G54" s="694" t="s">
        <v>31</v>
      </c>
      <c r="H54" s="694" t="s">
        <v>39</v>
      </c>
      <c r="I54" s="695" t="s">
        <v>32</v>
      </c>
      <c r="J54" s="693" t="s">
        <v>665</v>
      </c>
      <c r="K54" s="695" t="s">
        <v>664</v>
      </c>
      <c r="L54" s="693" t="s">
        <v>40</v>
      </c>
      <c r="M54" s="694" t="s">
        <v>666</v>
      </c>
      <c r="N54" s="694" t="s">
        <v>667</v>
      </c>
      <c r="O54" s="694" t="s">
        <v>34</v>
      </c>
      <c r="P54" s="694" t="s">
        <v>664</v>
      </c>
      <c r="Q54" s="783" t="s">
        <v>30</v>
      </c>
      <c r="R54" s="784"/>
      <c r="S54" s="784"/>
      <c r="T54" s="786"/>
      <c r="V54" s="661" t="s">
        <v>36</v>
      </c>
      <c r="W54" s="27" t="s">
        <v>37</v>
      </c>
      <c r="X54" s="28" t="s">
        <v>38</v>
      </c>
      <c r="Y54" s="692"/>
      <c r="Z54" s="693" t="s">
        <v>30</v>
      </c>
      <c r="AA54" s="694" t="s">
        <v>31</v>
      </c>
      <c r="AB54" s="694" t="s">
        <v>39</v>
      </c>
      <c r="AC54" s="695" t="s">
        <v>32</v>
      </c>
      <c r="AD54" s="693" t="s">
        <v>665</v>
      </c>
      <c r="AE54" s="695" t="s">
        <v>664</v>
      </c>
      <c r="AF54" s="693" t="s">
        <v>40</v>
      </c>
      <c r="AG54" s="694" t="s">
        <v>666</v>
      </c>
      <c r="AH54" s="694" t="s">
        <v>667</v>
      </c>
      <c r="AI54" s="694" t="s">
        <v>34</v>
      </c>
      <c r="AJ54" s="694" t="s">
        <v>664</v>
      </c>
      <c r="AK54" s="783" t="s">
        <v>30</v>
      </c>
      <c r="AL54" s="784"/>
      <c r="AM54" s="784"/>
      <c r="AN54" s="786"/>
      <c r="AP54" s="661" t="s">
        <v>36</v>
      </c>
      <c r="AQ54" s="27" t="s">
        <v>37</v>
      </c>
      <c r="AR54" s="28" t="s">
        <v>38</v>
      </c>
      <c r="AS54" s="692"/>
      <c r="AT54" s="693" t="s">
        <v>30</v>
      </c>
      <c r="AU54" s="694" t="s">
        <v>31</v>
      </c>
      <c r="AV54" s="694" t="s">
        <v>39</v>
      </c>
      <c r="AW54" s="695" t="s">
        <v>32</v>
      </c>
      <c r="AX54" s="693" t="s">
        <v>665</v>
      </c>
      <c r="AY54" s="695" t="s">
        <v>664</v>
      </c>
      <c r="AZ54" s="693" t="s">
        <v>40</v>
      </c>
      <c r="BA54" s="694" t="s">
        <v>666</v>
      </c>
      <c r="BB54" s="694" t="s">
        <v>667</v>
      </c>
      <c r="BC54" s="694" t="s">
        <v>34</v>
      </c>
      <c r="BD54" s="694" t="s">
        <v>664</v>
      </c>
      <c r="BE54" s="783" t="s">
        <v>30</v>
      </c>
      <c r="BF54" s="784"/>
      <c r="BG54" s="784"/>
      <c r="BH54" s="786"/>
      <c r="BJ54" s="661" t="s">
        <v>36</v>
      </c>
      <c r="BK54" s="27" t="s">
        <v>37</v>
      </c>
      <c r="BL54" s="28" t="s">
        <v>38</v>
      </c>
      <c r="BM54" s="692"/>
      <c r="BN54" s="693" t="s">
        <v>30</v>
      </c>
      <c r="BO54" s="694" t="s">
        <v>31</v>
      </c>
      <c r="BP54" s="694" t="s">
        <v>39</v>
      </c>
      <c r="BQ54" s="695" t="s">
        <v>32</v>
      </c>
      <c r="BR54" s="693" t="s">
        <v>665</v>
      </c>
      <c r="BS54" s="695" t="s">
        <v>664</v>
      </c>
      <c r="BT54" s="693" t="s">
        <v>40</v>
      </c>
      <c r="BU54" s="694" t="s">
        <v>666</v>
      </c>
      <c r="BV54" s="694" t="s">
        <v>667</v>
      </c>
      <c r="BW54" s="694" t="s">
        <v>34</v>
      </c>
      <c r="BX54" s="694" t="s">
        <v>664</v>
      </c>
      <c r="BY54" s="783" t="s">
        <v>30</v>
      </c>
      <c r="BZ54" s="784"/>
      <c r="CA54" s="784"/>
      <c r="CB54" s="786"/>
    </row>
    <row r="55" spans="2:80" ht="15" customHeight="1" x14ac:dyDescent="0.2">
      <c r="B55" s="662" t="s">
        <v>102</v>
      </c>
      <c r="C55" s="14"/>
      <c r="D55" s="99"/>
      <c r="E55" s="719"/>
      <c r="F55" s="720"/>
      <c r="G55" s="721"/>
      <c r="H55" s="721"/>
      <c r="I55" s="722"/>
      <c r="J55" s="720"/>
      <c r="K55" s="721"/>
      <c r="L55" s="720"/>
      <c r="M55" s="721"/>
      <c r="N55" s="722"/>
      <c r="O55" s="720"/>
      <c r="P55" s="721"/>
      <c r="Q55" s="720"/>
      <c r="R55" s="721"/>
      <c r="S55" s="721"/>
      <c r="T55" s="723"/>
      <c r="V55" s="662" t="s">
        <v>102</v>
      </c>
      <c r="W55" s="14"/>
      <c r="X55" s="99"/>
      <c r="Y55" s="719"/>
      <c r="Z55" s="720"/>
      <c r="AA55" s="721"/>
      <c r="AB55" s="721"/>
      <c r="AC55" s="722"/>
      <c r="AD55" s="720"/>
      <c r="AE55" s="721"/>
      <c r="AF55" s="720"/>
      <c r="AG55" s="721"/>
      <c r="AH55" s="722"/>
      <c r="AI55" s="720"/>
      <c r="AJ55" s="721"/>
      <c r="AK55" s="720"/>
      <c r="AL55" s="721"/>
      <c r="AM55" s="721"/>
      <c r="AN55" s="723"/>
      <c r="AP55" s="662" t="s">
        <v>102</v>
      </c>
      <c r="AQ55" s="14"/>
      <c r="AR55" s="99"/>
      <c r="AS55" s="719"/>
      <c r="AT55" s="720"/>
      <c r="AU55" s="721"/>
      <c r="AV55" s="721"/>
      <c r="AW55" s="722"/>
      <c r="AX55" s="720"/>
      <c r="AY55" s="721"/>
      <c r="AZ55" s="720"/>
      <c r="BA55" s="721"/>
      <c r="BB55" s="722"/>
      <c r="BC55" s="720"/>
      <c r="BD55" s="721"/>
      <c r="BE55" s="720"/>
      <c r="BF55" s="721"/>
      <c r="BG55" s="721"/>
      <c r="BH55" s="723"/>
      <c r="BJ55" s="662" t="s">
        <v>102</v>
      </c>
      <c r="BK55" s="14"/>
      <c r="BL55" s="99"/>
      <c r="BM55" s="719"/>
      <c r="BN55" s="720"/>
      <c r="BO55" s="721"/>
      <c r="BP55" s="721"/>
      <c r="BQ55" s="722"/>
      <c r="BR55" s="720"/>
      <c r="BS55" s="721"/>
      <c r="BT55" s="720"/>
      <c r="BU55" s="721"/>
      <c r="BV55" s="722"/>
      <c r="BW55" s="720"/>
      <c r="BX55" s="721"/>
      <c r="BY55" s="720"/>
      <c r="BZ55" s="721"/>
      <c r="CA55" s="721"/>
      <c r="CB55" s="723"/>
    </row>
    <row r="56" spans="2:80" ht="15" customHeight="1" x14ac:dyDescent="0.2">
      <c r="B56" s="663" t="s">
        <v>103</v>
      </c>
      <c r="C56" s="85"/>
      <c r="D56" s="85"/>
      <c r="E56" s="724"/>
      <c r="F56" s="715"/>
      <c r="G56" s="716"/>
      <c r="H56" s="716"/>
      <c r="I56" s="717"/>
      <c r="J56" s="715"/>
      <c r="K56" s="716"/>
      <c r="L56" s="792"/>
      <c r="M56" s="709"/>
      <c r="N56" s="710"/>
      <c r="O56" s="715"/>
      <c r="P56" s="716"/>
      <c r="Q56" s="715"/>
      <c r="R56" s="716"/>
      <c r="S56" s="716"/>
      <c r="T56" s="718"/>
      <c r="V56" s="663" t="s">
        <v>103</v>
      </c>
      <c r="W56" s="85"/>
      <c r="X56" s="85"/>
      <c r="Y56" s="724"/>
      <c r="Z56" s="715"/>
      <c r="AA56" s="716"/>
      <c r="AB56" s="716"/>
      <c r="AC56" s="717"/>
      <c r="AD56" s="715"/>
      <c r="AE56" s="716"/>
      <c r="AF56" s="792"/>
      <c r="AG56" s="709"/>
      <c r="AH56" s="710"/>
      <c r="AI56" s="715"/>
      <c r="AJ56" s="716"/>
      <c r="AK56" s="715"/>
      <c r="AL56" s="716"/>
      <c r="AM56" s="716"/>
      <c r="AN56" s="718"/>
      <c r="AP56" s="663" t="s">
        <v>103</v>
      </c>
      <c r="AQ56" s="85"/>
      <c r="AR56" s="85"/>
      <c r="AS56" s="724"/>
      <c r="AT56" s="715"/>
      <c r="AU56" s="716"/>
      <c r="AV56" s="716"/>
      <c r="AW56" s="717"/>
      <c r="AX56" s="715"/>
      <c r="AY56" s="716"/>
      <c r="AZ56" s="792"/>
      <c r="BA56" s="709"/>
      <c r="BB56" s="710"/>
      <c r="BC56" s="715"/>
      <c r="BD56" s="716"/>
      <c r="BE56" s="715"/>
      <c r="BF56" s="716"/>
      <c r="BG56" s="716"/>
      <c r="BH56" s="718"/>
      <c r="BJ56" s="663" t="s">
        <v>103</v>
      </c>
      <c r="BK56" s="85"/>
      <c r="BL56" s="85"/>
      <c r="BM56" s="724"/>
      <c r="BN56" s="715"/>
      <c r="BO56" s="716"/>
      <c r="BP56" s="716"/>
      <c r="BQ56" s="717"/>
      <c r="BR56" s="715"/>
      <c r="BS56" s="716"/>
      <c r="BT56" s="792"/>
      <c r="BU56" s="709"/>
      <c r="BV56" s="710"/>
      <c r="BW56" s="715"/>
      <c r="BX56" s="716"/>
      <c r="BY56" s="715"/>
      <c r="BZ56" s="716"/>
      <c r="CA56" s="716"/>
      <c r="CB56" s="718"/>
    </row>
    <row r="57" spans="2:80" ht="15" customHeight="1" x14ac:dyDescent="0.2">
      <c r="B57" s="668" t="s">
        <v>605</v>
      </c>
      <c r="C57" s="669" t="s">
        <v>606</v>
      </c>
      <c r="D57" s="671" t="s">
        <v>104</v>
      </c>
      <c r="E57" s="702">
        <f>'NUoS (t)'!G70</f>
        <v>41.0959</v>
      </c>
      <c r="F57" s="703"/>
      <c r="G57" s="702">
        <f>'NUoS (t)'!I70</f>
        <v>4.1400000000000006E-2</v>
      </c>
      <c r="H57" s="702"/>
      <c r="I57" s="704">
        <f>'NUoS (t)'!K70</f>
        <v>2.5900000000000003E-2</v>
      </c>
      <c r="J57" s="703">
        <f>'NUoS (t)'!S70</f>
        <v>0.21479999999999999</v>
      </c>
      <c r="K57" s="702">
        <f>'NUoS (t)'!T70</f>
        <v>0.1036</v>
      </c>
      <c r="L57" s="703"/>
      <c r="M57" s="702"/>
      <c r="N57" s="704"/>
      <c r="O57" s="703"/>
      <c r="P57" s="702"/>
      <c r="Q57" s="713"/>
      <c r="R57" s="711"/>
      <c r="S57" s="711"/>
      <c r="T57" s="714"/>
      <c r="V57" s="668" t="s">
        <v>605</v>
      </c>
      <c r="W57" s="669" t="s">
        <v>606</v>
      </c>
      <c r="X57" s="671" t="s">
        <v>104</v>
      </c>
      <c r="Y57" s="702">
        <f>'DUoS (t)'!G70</f>
        <v>41.0959</v>
      </c>
      <c r="Z57" s="703"/>
      <c r="AA57" s="702">
        <f>'DUoS (t)'!I70</f>
        <v>2.3900000000000001E-2</v>
      </c>
      <c r="AB57" s="702"/>
      <c r="AC57" s="704">
        <f>'DUoS (t)'!K70</f>
        <v>1.49E-2</v>
      </c>
      <c r="AD57" s="703">
        <f>'DUoS (t)'!S70</f>
        <v>0.1065</v>
      </c>
      <c r="AE57" s="702">
        <f>'DUoS (t)'!T70</f>
        <v>0.1036</v>
      </c>
      <c r="AF57" s="703"/>
      <c r="AG57" s="702"/>
      <c r="AH57" s="704"/>
      <c r="AI57" s="703"/>
      <c r="AJ57" s="702"/>
      <c r="AK57" s="713"/>
      <c r="AL57" s="711"/>
      <c r="AM57" s="711"/>
      <c r="AN57" s="714"/>
      <c r="AP57" s="668" t="s">
        <v>605</v>
      </c>
      <c r="AQ57" s="669" t="s">
        <v>606</v>
      </c>
      <c r="AR57" s="671" t="s">
        <v>104</v>
      </c>
      <c r="AS57" s="702">
        <f>'TUoS (t)'!G70</f>
        <v>0</v>
      </c>
      <c r="AT57" s="703"/>
      <c r="AU57" s="702">
        <f>'TUoS (t)'!I70</f>
        <v>1.3100000000000001E-2</v>
      </c>
      <c r="AV57" s="702"/>
      <c r="AW57" s="704">
        <f>'TUoS (t)'!K70</f>
        <v>8.2000000000000007E-3</v>
      </c>
      <c r="AX57" s="703">
        <f>'TUoS (t)'!S70</f>
        <v>0.10829999999999999</v>
      </c>
      <c r="AY57" s="702">
        <f>'TUoS (t)'!T70</f>
        <v>0</v>
      </c>
      <c r="AZ57" s="703"/>
      <c r="BA57" s="702"/>
      <c r="BB57" s="704"/>
      <c r="BC57" s="703"/>
      <c r="BD57" s="702"/>
      <c r="BE57" s="713"/>
      <c r="BF57" s="711"/>
      <c r="BG57" s="711"/>
      <c r="BH57" s="714"/>
      <c r="BJ57" s="668" t="s">
        <v>605</v>
      </c>
      <c r="BK57" s="669" t="s">
        <v>606</v>
      </c>
      <c r="BL57" s="671" t="s">
        <v>104</v>
      </c>
      <c r="BM57" s="702">
        <f>'JSO (t)'!G70</f>
        <v>0</v>
      </c>
      <c r="BN57" s="703"/>
      <c r="BO57" s="702">
        <f>'JSO (t)'!I70</f>
        <v>4.4000000000000003E-3</v>
      </c>
      <c r="BP57" s="702"/>
      <c r="BQ57" s="704">
        <f>'JSO (t)'!K70</f>
        <v>2.8E-3</v>
      </c>
      <c r="BR57" s="703">
        <f>'JSO (t)'!S70</f>
        <v>0</v>
      </c>
      <c r="BS57" s="702">
        <f>'JSO (t)'!T70</f>
        <v>0</v>
      </c>
      <c r="BT57" s="703"/>
      <c r="BU57" s="702"/>
      <c r="BV57" s="704"/>
      <c r="BW57" s="703"/>
      <c r="BX57" s="702"/>
      <c r="BY57" s="713"/>
      <c r="BZ57" s="711"/>
      <c r="CA57" s="711"/>
      <c r="CB57" s="714"/>
    </row>
    <row r="58" spans="2:80" ht="15" customHeight="1" x14ac:dyDescent="0.2">
      <c r="B58" s="668" t="s">
        <v>607</v>
      </c>
      <c r="C58" s="669" t="s">
        <v>608</v>
      </c>
      <c r="D58" s="671" t="s">
        <v>105</v>
      </c>
      <c r="E58" s="702">
        <f>'NUoS (t)'!G71</f>
        <v>41.0959</v>
      </c>
      <c r="F58" s="703"/>
      <c r="G58" s="702">
        <f>'NUoS (t)'!I71</f>
        <v>4.1400000000000006E-2</v>
      </c>
      <c r="H58" s="702"/>
      <c r="I58" s="704">
        <f>'NUoS (t)'!K71</f>
        <v>2.5900000000000003E-2</v>
      </c>
      <c r="J58" s="703"/>
      <c r="K58" s="702">
        <f>'NUoS (t)'!T71</f>
        <v>0.1036</v>
      </c>
      <c r="L58" s="703">
        <f>'NUoS (t)'!P71</f>
        <v>0.77879999999999994</v>
      </c>
      <c r="M58" s="702"/>
      <c r="N58" s="704"/>
      <c r="O58" s="703"/>
      <c r="P58" s="702"/>
      <c r="Q58" s="713"/>
      <c r="R58" s="711"/>
      <c r="S58" s="711"/>
      <c r="T58" s="714"/>
      <c r="V58" s="668" t="s">
        <v>607</v>
      </c>
      <c r="W58" s="669" t="s">
        <v>608</v>
      </c>
      <c r="X58" s="671" t="s">
        <v>105</v>
      </c>
      <c r="Y58" s="702">
        <f>'DUoS (t)'!G71</f>
        <v>41.0959</v>
      </c>
      <c r="Z58" s="703"/>
      <c r="AA58" s="702">
        <f>'DUoS (t)'!I71</f>
        <v>2.3900000000000001E-2</v>
      </c>
      <c r="AB58" s="702"/>
      <c r="AC58" s="704">
        <f>'DUoS (t)'!K71</f>
        <v>1.49E-2</v>
      </c>
      <c r="AD58" s="703"/>
      <c r="AE58" s="702">
        <f>'DUoS (t)'!T71</f>
        <v>0.1036</v>
      </c>
      <c r="AF58" s="703">
        <f>'DUoS (t)'!P71</f>
        <v>0.38619999999999999</v>
      </c>
      <c r="AG58" s="702"/>
      <c r="AH58" s="704"/>
      <c r="AI58" s="703"/>
      <c r="AJ58" s="702"/>
      <c r="AK58" s="713"/>
      <c r="AL58" s="711"/>
      <c r="AM58" s="711"/>
      <c r="AN58" s="714"/>
      <c r="AP58" s="668" t="s">
        <v>607</v>
      </c>
      <c r="AQ58" s="669" t="s">
        <v>608</v>
      </c>
      <c r="AR58" s="671" t="s">
        <v>105</v>
      </c>
      <c r="AS58" s="702">
        <f>'TUoS (t)'!G71</f>
        <v>0</v>
      </c>
      <c r="AT58" s="703"/>
      <c r="AU58" s="702">
        <f>'TUoS (t)'!I71</f>
        <v>1.3100000000000001E-2</v>
      </c>
      <c r="AV58" s="702"/>
      <c r="AW58" s="704">
        <f>'TUoS (t)'!K71</f>
        <v>8.2000000000000007E-3</v>
      </c>
      <c r="AX58" s="703"/>
      <c r="AY58" s="702">
        <f>'TUoS (t)'!T71</f>
        <v>0</v>
      </c>
      <c r="AZ58" s="703">
        <f>'TUoS (t)'!P71</f>
        <v>0.3926</v>
      </c>
      <c r="BA58" s="702"/>
      <c r="BB58" s="704"/>
      <c r="BC58" s="703"/>
      <c r="BD58" s="702"/>
      <c r="BE58" s="713"/>
      <c r="BF58" s="711"/>
      <c r="BG58" s="711"/>
      <c r="BH58" s="714"/>
      <c r="BJ58" s="668" t="s">
        <v>607</v>
      </c>
      <c r="BK58" s="669" t="s">
        <v>608</v>
      </c>
      <c r="BL58" s="671" t="s">
        <v>105</v>
      </c>
      <c r="BM58" s="702">
        <f>'JSO (t)'!G71</f>
        <v>0</v>
      </c>
      <c r="BN58" s="703"/>
      <c r="BO58" s="702">
        <f>'JSO (t)'!I71</f>
        <v>4.4000000000000003E-3</v>
      </c>
      <c r="BP58" s="702"/>
      <c r="BQ58" s="704">
        <f>'JSO (t)'!K71</f>
        <v>2.8E-3</v>
      </c>
      <c r="BR58" s="703"/>
      <c r="BS58" s="702">
        <f>'JSO (t)'!T71</f>
        <v>0</v>
      </c>
      <c r="BT58" s="703">
        <f>'JSO (t)'!P71</f>
        <v>0</v>
      </c>
      <c r="BU58" s="702"/>
      <c r="BV58" s="704"/>
      <c r="BW58" s="703"/>
      <c r="BX58" s="702"/>
      <c r="BY58" s="713"/>
      <c r="BZ58" s="711"/>
      <c r="CA58" s="711"/>
      <c r="CB58" s="714"/>
    </row>
    <row r="59" spans="2:80" ht="15" customHeight="1" x14ac:dyDescent="0.2">
      <c r="B59" s="790" t="s">
        <v>107</v>
      </c>
      <c r="C59" s="791" t="s">
        <v>107</v>
      </c>
      <c r="D59" s="804" t="s">
        <v>108</v>
      </c>
      <c r="E59" s="709">
        <f>'NUoS (t)'!G73</f>
        <v>2.7397</v>
      </c>
      <c r="F59" s="792">
        <f>'NUoS (t)'!H73</f>
        <v>7.5400000000000009E-2</v>
      </c>
      <c r="G59" s="709"/>
      <c r="H59" s="709"/>
      <c r="I59" s="710"/>
      <c r="J59" s="792"/>
      <c r="K59" s="709"/>
      <c r="L59" s="792"/>
      <c r="M59" s="709">
        <f>'NUoS (t)'!Q73</f>
        <v>0.3962</v>
      </c>
      <c r="N59" s="710">
        <f>'NUoS (t)'!R73</f>
        <v>0.19600000000000001</v>
      </c>
      <c r="O59" s="792"/>
      <c r="P59" s="709"/>
      <c r="Q59" s="715"/>
      <c r="R59" s="716"/>
      <c r="S59" s="716"/>
      <c r="T59" s="718"/>
      <c r="V59" s="790" t="s">
        <v>107</v>
      </c>
      <c r="W59" s="791" t="s">
        <v>107</v>
      </c>
      <c r="X59" s="804" t="s">
        <v>108</v>
      </c>
      <c r="Y59" s="709">
        <f>'DUoS (t)'!G73</f>
        <v>2.7397</v>
      </c>
      <c r="Z59" s="792">
        <f>'DUoS (t)'!H73</f>
        <v>5.1499999999999997E-2</v>
      </c>
      <c r="AA59" s="709"/>
      <c r="AB59" s="709"/>
      <c r="AC59" s="710"/>
      <c r="AD59" s="792"/>
      <c r="AE59" s="709"/>
      <c r="AF59" s="792"/>
      <c r="AG59" s="709">
        <f>'DUoS (t)'!Q73</f>
        <v>0.30940000000000001</v>
      </c>
      <c r="AH59" s="710">
        <f>'DUoS (t)'!R73</f>
        <v>0.15310000000000001</v>
      </c>
      <c r="AI59" s="792"/>
      <c r="AJ59" s="709"/>
      <c r="AK59" s="715"/>
      <c r="AL59" s="716"/>
      <c r="AM59" s="716"/>
      <c r="AN59" s="718"/>
      <c r="AP59" s="790" t="s">
        <v>107</v>
      </c>
      <c r="AQ59" s="791" t="s">
        <v>107</v>
      </c>
      <c r="AR59" s="804" t="s">
        <v>108</v>
      </c>
      <c r="AS59" s="709">
        <f>'TUoS (t)'!G73</f>
        <v>0</v>
      </c>
      <c r="AT59" s="792">
        <f>'TUoS (t)'!H73</f>
        <v>2.0299999999999999E-2</v>
      </c>
      <c r="AU59" s="709"/>
      <c r="AV59" s="709"/>
      <c r="AW59" s="710"/>
      <c r="AX59" s="792"/>
      <c r="AY59" s="709"/>
      <c r="AZ59" s="792"/>
      <c r="BA59" s="709">
        <f>'TUoS (t)'!Q73</f>
        <v>8.6800000000000002E-2</v>
      </c>
      <c r="BB59" s="710">
        <f>'TUoS (t)'!R73</f>
        <v>4.2900000000000001E-2</v>
      </c>
      <c r="BC59" s="792"/>
      <c r="BD59" s="709"/>
      <c r="BE59" s="715"/>
      <c r="BF59" s="716"/>
      <c r="BG59" s="716"/>
      <c r="BH59" s="718"/>
      <c r="BJ59" s="790" t="s">
        <v>107</v>
      </c>
      <c r="BK59" s="791" t="s">
        <v>107</v>
      </c>
      <c r="BL59" s="804" t="s">
        <v>108</v>
      </c>
      <c r="BM59" s="709">
        <f>'JSO (t)'!G73</f>
        <v>0</v>
      </c>
      <c r="BN59" s="792">
        <f>'JSO (t)'!H73</f>
        <v>3.5999999999999999E-3</v>
      </c>
      <c r="BO59" s="709"/>
      <c r="BP59" s="709"/>
      <c r="BQ59" s="710"/>
      <c r="BR59" s="792"/>
      <c r="BS59" s="709"/>
      <c r="BT59" s="792"/>
      <c r="BU59" s="709">
        <f>'JSO (t)'!Q73</f>
        <v>0</v>
      </c>
      <c r="BV59" s="710">
        <f>'JSO (t)'!R73</f>
        <v>0</v>
      </c>
      <c r="BW59" s="792"/>
      <c r="BX59" s="709"/>
      <c r="BY59" s="715"/>
      <c r="BZ59" s="716"/>
      <c r="CA59" s="716"/>
      <c r="CB59" s="718"/>
    </row>
    <row r="60" spans="2:80" ht="15" customHeight="1" x14ac:dyDescent="0.2">
      <c r="B60" s="668" t="s">
        <v>611</v>
      </c>
      <c r="C60" s="669" t="s">
        <v>612</v>
      </c>
      <c r="D60" s="671" t="s">
        <v>109</v>
      </c>
      <c r="E60" s="702">
        <f>'NUoS (t)'!G74</f>
        <v>6.8493000000000004</v>
      </c>
      <c r="F60" s="703"/>
      <c r="G60" s="702">
        <f>'NUoS (t)'!I74</f>
        <v>6.4100000000000004E-2</v>
      </c>
      <c r="H60" s="702"/>
      <c r="I60" s="704">
        <f>'NUoS (t)'!K74</f>
        <v>4.0099999999999997E-2</v>
      </c>
      <c r="J60" s="703"/>
      <c r="K60" s="702">
        <f>'NUoS (t)'!T74</f>
        <v>0.1036</v>
      </c>
      <c r="L60" s="703"/>
      <c r="M60" s="702"/>
      <c r="N60" s="704"/>
      <c r="O60" s="703"/>
      <c r="P60" s="702"/>
      <c r="Q60" s="713"/>
      <c r="R60" s="711"/>
      <c r="S60" s="711"/>
      <c r="T60" s="714"/>
      <c r="V60" s="668" t="s">
        <v>611</v>
      </c>
      <c r="W60" s="669" t="s">
        <v>612</v>
      </c>
      <c r="X60" s="671" t="s">
        <v>109</v>
      </c>
      <c r="Y60" s="702">
        <f>'DUoS (t)'!G74</f>
        <v>6.8493000000000004</v>
      </c>
      <c r="Z60" s="703"/>
      <c r="AA60" s="702">
        <f>'DUoS (t)'!I74</f>
        <v>4.2099999999999999E-2</v>
      </c>
      <c r="AB60" s="702"/>
      <c r="AC60" s="704">
        <f>'DUoS (t)'!K74</f>
        <v>2.63E-2</v>
      </c>
      <c r="AD60" s="703"/>
      <c r="AE60" s="702">
        <f>'DUoS (t)'!T74</f>
        <v>0.1036</v>
      </c>
      <c r="AF60" s="703"/>
      <c r="AG60" s="702"/>
      <c r="AH60" s="704"/>
      <c r="AI60" s="703"/>
      <c r="AJ60" s="702"/>
      <c r="AK60" s="713"/>
      <c r="AL60" s="711"/>
      <c r="AM60" s="711"/>
      <c r="AN60" s="714"/>
      <c r="AP60" s="668" t="s">
        <v>611</v>
      </c>
      <c r="AQ60" s="669" t="s">
        <v>612</v>
      </c>
      <c r="AR60" s="671" t="s">
        <v>109</v>
      </c>
      <c r="AS60" s="702">
        <f>'TUoS (t)'!G74</f>
        <v>0</v>
      </c>
      <c r="AT60" s="703"/>
      <c r="AU60" s="702">
        <f>'TUoS (t)'!I74</f>
        <v>1.7600000000000001E-2</v>
      </c>
      <c r="AV60" s="702"/>
      <c r="AW60" s="704">
        <f>'TUoS (t)'!K74</f>
        <v>1.0999999999999999E-2</v>
      </c>
      <c r="AX60" s="703"/>
      <c r="AY60" s="702">
        <f>'TUoS (t)'!T74</f>
        <v>0</v>
      </c>
      <c r="AZ60" s="703"/>
      <c r="BA60" s="702"/>
      <c r="BB60" s="704"/>
      <c r="BC60" s="703"/>
      <c r="BD60" s="702"/>
      <c r="BE60" s="713"/>
      <c r="BF60" s="711"/>
      <c r="BG60" s="711"/>
      <c r="BH60" s="714"/>
      <c r="BJ60" s="668" t="s">
        <v>611</v>
      </c>
      <c r="BK60" s="669" t="s">
        <v>612</v>
      </c>
      <c r="BL60" s="671" t="s">
        <v>109</v>
      </c>
      <c r="BM60" s="702">
        <f>'JSO (t)'!G74</f>
        <v>0</v>
      </c>
      <c r="BN60" s="703"/>
      <c r="BO60" s="702">
        <f>'JSO (t)'!I74</f>
        <v>4.4000000000000003E-3</v>
      </c>
      <c r="BP60" s="702"/>
      <c r="BQ60" s="704">
        <f>'JSO (t)'!K74</f>
        <v>2.8E-3</v>
      </c>
      <c r="BR60" s="703"/>
      <c r="BS60" s="702">
        <f>'JSO (t)'!T74</f>
        <v>0</v>
      </c>
      <c r="BT60" s="703"/>
      <c r="BU60" s="702"/>
      <c r="BV60" s="704"/>
      <c r="BW60" s="703"/>
      <c r="BX60" s="702"/>
      <c r="BY60" s="713"/>
      <c r="BZ60" s="711"/>
      <c r="CA60" s="711"/>
      <c r="CB60" s="714"/>
    </row>
    <row r="61" spans="2:80" ht="15" customHeight="1" x14ac:dyDescent="0.2">
      <c r="B61" s="790" t="s">
        <v>613</v>
      </c>
      <c r="C61" s="791" t="s">
        <v>614</v>
      </c>
      <c r="D61" s="804" t="s">
        <v>110</v>
      </c>
      <c r="E61" s="709">
        <f>'NUoS (t)'!G75</f>
        <v>0</v>
      </c>
      <c r="F61" s="792"/>
      <c r="G61" s="709"/>
      <c r="H61" s="709"/>
      <c r="I61" s="710"/>
      <c r="J61" s="792">
        <f>'NUoS (t)'!S75</f>
        <v>0.21479999999999999</v>
      </c>
      <c r="K61" s="709">
        <f>'NUoS (t)'!T75</f>
        <v>0.1036</v>
      </c>
      <c r="L61" s="792"/>
      <c r="M61" s="709"/>
      <c r="N61" s="710"/>
      <c r="O61" s="792"/>
      <c r="P61" s="709"/>
      <c r="Q61" s="715"/>
      <c r="R61" s="716"/>
      <c r="S61" s="716"/>
      <c r="T61" s="718"/>
      <c r="V61" s="790" t="s">
        <v>613</v>
      </c>
      <c r="W61" s="791" t="s">
        <v>614</v>
      </c>
      <c r="X61" s="804" t="s">
        <v>110</v>
      </c>
      <c r="Y61" s="709">
        <f>'DUoS (t)'!G75</f>
        <v>0</v>
      </c>
      <c r="Z61" s="792"/>
      <c r="AA61" s="709"/>
      <c r="AB61" s="709"/>
      <c r="AC61" s="710"/>
      <c r="AD61" s="792">
        <v>0.1065</v>
      </c>
      <c r="AE61" s="709">
        <v>0.1036</v>
      </c>
      <c r="AF61" s="792"/>
      <c r="AG61" s="709"/>
      <c r="AH61" s="710"/>
      <c r="AI61" s="792"/>
      <c r="AJ61" s="709"/>
      <c r="AK61" s="715"/>
      <c r="AL61" s="716"/>
      <c r="AM61" s="716"/>
      <c r="AN61" s="718"/>
      <c r="AP61" s="790" t="s">
        <v>613</v>
      </c>
      <c r="AQ61" s="791" t="s">
        <v>614</v>
      </c>
      <c r="AR61" s="804" t="s">
        <v>110</v>
      </c>
      <c r="AS61" s="709">
        <f>'TUoS (t)'!G75</f>
        <v>0</v>
      </c>
      <c r="AT61" s="792"/>
      <c r="AU61" s="709"/>
      <c r="AV61" s="709"/>
      <c r="AW61" s="710"/>
      <c r="AX61" s="792">
        <f>'TUoS (t)'!S75</f>
        <v>0.10829999999999999</v>
      </c>
      <c r="AY61" s="709">
        <f>'TUoS (t)'!T75</f>
        <v>0</v>
      </c>
      <c r="AZ61" s="792"/>
      <c r="BA61" s="709"/>
      <c r="BB61" s="710"/>
      <c r="BC61" s="792"/>
      <c r="BD61" s="709"/>
      <c r="BE61" s="715"/>
      <c r="BF61" s="716"/>
      <c r="BG61" s="716"/>
      <c r="BH61" s="718"/>
      <c r="BJ61" s="790" t="s">
        <v>613</v>
      </c>
      <c r="BK61" s="791" t="s">
        <v>614</v>
      </c>
      <c r="BL61" s="804" t="s">
        <v>110</v>
      </c>
      <c r="BM61" s="709">
        <f>'JSO (t)'!G75</f>
        <v>0</v>
      </c>
      <c r="BN61" s="792"/>
      <c r="BO61" s="709"/>
      <c r="BP61" s="709"/>
      <c r="BQ61" s="710"/>
      <c r="BR61" s="792">
        <f>'JSO (t)'!S75</f>
        <v>0</v>
      </c>
      <c r="BS61" s="709">
        <f>'JSO (t)'!T75</f>
        <v>0</v>
      </c>
      <c r="BT61" s="792"/>
      <c r="BU61" s="709"/>
      <c r="BV61" s="710"/>
      <c r="BW61" s="792"/>
      <c r="BX61" s="709"/>
      <c r="BY61" s="715"/>
      <c r="BZ61" s="716"/>
      <c r="CA61" s="716"/>
      <c r="CB61" s="718"/>
    </row>
    <row r="62" spans="2:80" ht="15" customHeight="1" x14ac:dyDescent="0.2">
      <c r="B62" s="668" t="s">
        <v>571</v>
      </c>
      <c r="C62" s="679"/>
      <c r="D62" s="671" t="s">
        <v>104</v>
      </c>
      <c r="E62" s="702">
        <f>'NUoS (t)'!G77</f>
        <v>1382.1958999999999</v>
      </c>
      <c r="F62" s="703"/>
      <c r="G62" s="702">
        <f>'NUoS (t)'!I77</f>
        <v>2.8300000000000002E-2</v>
      </c>
      <c r="H62" s="702"/>
      <c r="I62" s="704">
        <f>'NUoS (t)'!K77</f>
        <v>1.77E-2</v>
      </c>
      <c r="J62" s="703">
        <f>'NUoS (t)'!S77</f>
        <v>0.1065</v>
      </c>
      <c r="K62" s="702">
        <f>'NUoS (t)'!T77</f>
        <v>0.1036</v>
      </c>
      <c r="L62" s="703"/>
      <c r="M62" s="702"/>
      <c r="N62" s="704"/>
      <c r="O62" s="703"/>
      <c r="P62" s="702"/>
      <c r="Q62" s="713"/>
      <c r="R62" s="711"/>
      <c r="S62" s="711"/>
      <c r="T62" s="714"/>
      <c r="V62" s="668" t="s">
        <v>571</v>
      </c>
      <c r="W62" s="679"/>
      <c r="X62" s="671" t="s">
        <v>104</v>
      </c>
      <c r="Y62" s="702">
        <f>'DUoS (t)'!G77</f>
        <v>41.0959</v>
      </c>
      <c r="Z62" s="703"/>
      <c r="AA62" s="702">
        <f>'DUoS (t)'!I77</f>
        <v>2.3900000000000001E-2</v>
      </c>
      <c r="AB62" s="702"/>
      <c r="AC62" s="704">
        <f>'DUoS (t)'!K77</f>
        <v>1.49E-2</v>
      </c>
      <c r="AD62" s="703">
        <f>'DUoS (t)'!S77</f>
        <v>0.1065</v>
      </c>
      <c r="AE62" s="702">
        <f>'DUoS (t)'!T77</f>
        <v>0.1036</v>
      </c>
      <c r="AF62" s="703"/>
      <c r="AG62" s="702"/>
      <c r="AH62" s="704"/>
      <c r="AI62" s="703"/>
      <c r="AJ62" s="702"/>
      <c r="AK62" s="713"/>
      <c r="AL62" s="711"/>
      <c r="AM62" s="711"/>
      <c r="AN62" s="714"/>
      <c r="AP62" s="668" t="s">
        <v>571</v>
      </c>
      <c r="AQ62" s="679"/>
      <c r="AR62" s="671" t="s">
        <v>104</v>
      </c>
      <c r="AS62" s="702">
        <f>'TUoS (t)'!G77</f>
        <v>1341.1</v>
      </c>
      <c r="AT62" s="703"/>
      <c r="AU62" s="702">
        <f>'TUoS (t)'!I77</f>
        <v>0</v>
      </c>
      <c r="AV62" s="702"/>
      <c r="AW62" s="704">
        <f>'TUoS (t)'!K77</f>
        <v>0</v>
      </c>
      <c r="AX62" s="703">
        <f>'TUoS (t)'!S77</f>
        <v>0</v>
      </c>
      <c r="AY62" s="702">
        <f>'TUoS (t)'!T77</f>
        <v>0</v>
      </c>
      <c r="AZ62" s="703"/>
      <c r="BA62" s="702"/>
      <c r="BB62" s="704"/>
      <c r="BC62" s="703"/>
      <c r="BD62" s="702"/>
      <c r="BE62" s="713"/>
      <c r="BF62" s="711"/>
      <c r="BG62" s="711"/>
      <c r="BH62" s="714"/>
      <c r="BJ62" s="668" t="s">
        <v>571</v>
      </c>
      <c r="BK62" s="679"/>
      <c r="BL62" s="671" t="s">
        <v>104</v>
      </c>
      <c r="BM62" s="702">
        <f>'JSO (t)'!G77</f>
        <v>0</v>
      </c>
      <c r="BN62" s="703"/>
      <c r="BO62" s="702">
        <f>'JSO (t)'!I77</f>
        <v>4.4000000000000003E-3</v>
      </c>
      <c r="BP62" s="702"/>
      <c r="BQ62" s="704">
        <f>'JSO (t)'!K77</f>
        <v>2.8E-3</v>
      </c>
      <c r="BR62" s="703">
        <f>'JSO (t)'!S77</f>
        <v>0</v>
      </c>
      <c r="BS62" s="702">
        <f>'JSO (t)'!T77</f>
        <v>0</v>
      </c>
      <c r="BT62" s="703"/>
      <c r="BU62" s="702"/>
      <c r="BV62" s="704"/>
      <c r="BW62" s="703"/>
      <c r="BX62" s="702"/>
      <c r="BY62" s="713"/>
      <c r="BZ62" s="711"/>
      <c r="CA62" s="711"/>
      <c r="CB62" s="714"/>
    </row>
    <row r="63" spans="2:80" ht="15" customHeight="1" x14ac:dyDescent="0.2">
      <c r="B63" s="668" t="s">
        <v>572</v>
      </c>
      <c r="C63" s="679"/>
      <c r="D63" s="671" t="s">
        <v>104</v>
      </c>
      <c r="E63" s="702">
        <f>'NUoS (t)'!G78</f>
        <v>1011.5459000000001</v>
      </c>
      <c r="F63" s="703"/>
      <c r="G63" s="702">
        <f>'NUoS (t)'!I78</f>
        <v>2.8300000000000002E-2</v>
      </c>
      <c r="H63" s="702"/>
      <c r="I63" s="704">
        <f>'NUoS (t)'!K78</f>
        <v>1.77E-2</v>
      </c>
      <c r="J63" s="703">
        <f>'NUoS (t)'!S78</f>
        <v>0.1065</v>
      </c>
      <c r="K63" s="702">
        <f>'NUoS (t)'!T78</f>
        <v>0.1036</v>
      </c>
      <c r="L63" s="703"/>
      <c r="M63" s="702"/>
      <c r="N63" s="704"/>
      <c r="O63" s="703"/>
      <c r="P63" s="702"/>
      <c r="Q63" s="713"/>
      <c r="R63" s="711"/>
      <c r="S63" s="711"/>
      <c r="T63" s="714"/>
      <c r="V63" s="668" t="s">
        <v>572</v>
      </c>
      <c r="W63" s="679"/>
      <c r="X63" s="671" t="s">
        <v>104</v>
      </c>
      <c r="Y63" s="702">
        <f>'DUoS (t)'!G78</f>
        <v>41.0959</v>
      </c>
      <c r="Z63" s="703"/>
      <c r="AA63" s="702">
        <f>'DUoS (t)'!I78</f>
        <v>2.3900000000000001E-2</v>
      </c>
      <c r="AB63" s="702"/>
      <c r="AC63" s="704">
        <f>'DUoS (t)'!K78</f>
        <v>1.49E-2</v>
      </c>
      <c r="AD63" s="703">
        <f>'DUoS (t)'!S78</f>
        <v>0.1065</v>
      </c>
      <c r="AE63" s="702">
        <f>'DUoS (t)'!T78</f>
        <v>0.1036</v>
      </c>
      <c r="AF63" s="703"/>
      <c r="AG63" s="702"/>
      <c r="AH63" s="704"/>
      <c r="AI63" s="703"/>
      <c r="AJ63" s="702"/>
      <c r="AK63" s="713"/>
      <c r="AL63" s="711"/>
      <c r="AM63" s="711"/>
      <c r="AN63" s="714"/>
      <c r="AP63" s="668" t="s">
        <v>572</v>
      </c>
      <c r="AQ63" s="679"/>
      <c r="AR63" s="671" t="s">
        <v>104</v>
      </c>
      <c r="AS63" s="702">
        <f>'TUoS (t)'!G78</f>
        <v>970.45</v>
      </c>
      <c r="AT63" s="703"/>
      <c r="AU63" s="702">
        <f>'TUoS (t)'!I78</f>
        <v>0</v>
      </c>
      <c r="AV63" s="702"/>
      <c r="AW63" s="704">
        <f>'TUoS (t)'!K78</f>
        <v>0</v>
      </c>
      <c r="AX63" s="703">
        <f>'TUoS (t)'!S78</f>
        <v>0</v>
      </c>
      <c r="AY63" s="702">
        <f>'TUoS (t)'!T78</f>
        <v>0</v>
      </c>
      <c r="AZ63" s="703"/>
      <c r="BA63" s="702"/>
      <c r="BB63" s="704"/>
      <c r="BC63" s="703"/>
      <c r="BD63" s="702"/>
      <c r="BE63" s="713"/>
      <c r="BF63" s="711"/>
      <c r="BG63" s="711"/>
      <c r="BH63" s="714"/>
      <c r="BJ63" s="668" t="s">
        <v>572</v>
      </c>
      <c r="BK63" s="679"/>
      <c r="BL63" s="671" t="s">
        <v>104</v>
      </c>
      <c r="BM63" s="702">
        <f>'JSO (t)'!G78</f>
        <v>0</v>
      </c>
      <c r="BN63" s="703"/>
      <c r="BO63" s="702">
        <f>'JSO (t)'!I78</f>
        <v>4.4000000000000003E-3</v>
      </c>
      <c r="BP63" s="702"/>
      <c r="BQ63" s="704">
        <f>'JSO (t)'!K78</f>
        <v>2.8E-3</v>
      </c>
      <c r="BR63" s="703">
        <f>'JSO (t)'!S78</f>
        <v>0</v>
      </c>
      <c r="BS63" s="702">
        <f>'JSO (t)'!T78</f>
        <v>0</v>
      </c>
      <c r="BT63" s="703"/>
      <c r="BU63" s="702"/>
      <c r="BV63" s="704"/>
      <c r="BW63" s="703"/>
      <c r="BX63" s="702"/>
      <c r="BY63" s="713"/>
      <c r="BZ63" s="711"/>
      <c r="CA63" s="711"/>
      <c r="CB63" s="714"/>
    </row>
    <row r="64" spans="2:80" s="892" customFormat="1" ht="15" customHeight="1" x14ac:dyDescent="0.2">
      <c r="B64" s="790" t="s">
        <v>584</v>
      </c>
      <c r="C64" s="806"/>
      <c r="D64" s="804" t="s">
        <v>104</v>
      </c>
      <c r="E64" s="709">
        <f>'NUoS (t)'!G79</f>
        <v>123.2877</v>
      </c>
      <c r="F64" s="792"/>
      <c r="G64" s="709">
        <f>'NUoS (t)'!I79</f>
        <v>4.1400000000000006E-2</v>
      </c>
      <c r="H64" s="709"/>
      <c r="I64" s="710">
        <f>'NUoS (t)'!K79</f>
        <v>2.5900000000000003E-2</v>
      </c>
      <c r="J64" s="792">
        <f>'NUoS (t)'!S79</f>
        <v>0.21479999999999999</v>
      </c>
      <c r="K64" s="709">
        <f>'NUoS (t)'!T79</f>
        <v>0.1036</v>
      </c>
      <c r="L64" s="792"/>
      <c r="M64" s="709"/>
      <c r="N64" s="710"/>
      <c r="O64" s="792"/>
      <c r="P64" s="709"/>
      <c r="Q64" s="715"/>
      <c r="R64" s="716"/>
      <c r="S64" s="716"/>
      <c r="T64" s="718"/>
      <c r="V64" s="790" t="s">
        <v>584</v>
      </c>
      <c r="W64" s="806"/>
      <c r="X64" s="804" t="s">
        <v>104</v>
      </c>
      <c r="Y64" s="709">
        <f>'DUoS (t)'!G79</f>
        <v>123.2877</v>
      </c>
      <c r="Z64" s="792"/>
      <c r="AA64" s="709">
        <f>'DUoS (t)'!I79</f>
        <v>2.3900000000000001E-2</v>
      </c>
      <c r="AB64" s="709"/>
      <c r="AC64" s="710">
        <f>'DUoS (t)'!K79</f>
        <v>1.49E-2</v>
      </c>
      <c r="AD64" s="792">
        <f>'DUoS (t)'!S79</f>
        <v>0.1065</v>
      </c>
      <c r="AE64" s="709">
        <f>'DUoS (t)'!T79</f>
        <v>0.1036</v>
      </c>
      <c r="AF64" s="792"/>
      <c r="AG64" s="709"/>
      <c r="AH64" s="710"/>
      <c r="AI64" s="792"/>
      <c r="AJ64" s="709"/>
      <c r="AK64" s="715"/>
      <c r="AL64" s="716"/>
      <c r="AM64" s="716"/>
      <c r="AN64" s="718"/>
      <c r="AP64" s="790" t="s">
        <v>584</v>
      </c>
      <c r="AQ64" s="806"/>
      <c r="AR64" s="804" t="s">
        <v>104</v>
      </c>
      <c r="AS64" s="709">
        <f>'TUoS (t)'!G79</f>
        <v>0</v>
      </c>
      <c r="AT64" s="792"/>
      <c r="AU64" s="709">
        <f>'TUoS (t)'!I79</f>
        <v>1.3100000000000001E-2</v>
      </c>
      <c r="AV64" s="709"/>
      <c r="AW64" s="710">
        <f>'TUoS (t)'!K79</f>
        <v>8.2000000000000007E-3</v>
      </c>
      <c r="AX64" s="792">
        <f>'TUoS (t)'!S79</f>
        <v>0.10829999999999999</v>
      </c>
      <c r="AY64" s="709">
        <f>'TUoS (t)'!T79</f>
        <v>0</v>
      </c>
      <c r="AZ64" s="792"/>
      <c r="BA64" s="709"/>
      <c r="BB64" s="710"/>
      <c r="BC64" s="792"/>
      <c r="BD64" s="709"/>
      <c r="BE64" s="715"/>
      <c r="BF64" s="716"/>
      <c r="BG64" s="716"/>
      <c r="BH64" s="718"/>
      <c r="BJ64" s="790" t="s">
        <v>584</v>
      </c>
      <c r="BK64" s="806"/>
      <c r="BL64" s="804" t="s">
        <v>104</v>
      </c>
      <c r="BM64" s="709">
        <f>'JSO (t)'!G79</f>
        <v>0</v>
      </c>
      <c r="BN64" s="792"/>
      <c r="BO64" s="709">
        <f>'JSO (t)'!I79</f>
        <v>4.4000000000000003E-3</v>
      </c>
      <c r="BP64" s="709"/>
      <c r="BQ64" s="710">
        <f>'JSO (t)'!K79</f>
        <v>2.8E-3</v>
      </c>
      <c r="BR64" s="792">
        <f>'JSO (t)'!S79</f>
        <v>0</v>
      </c>
      <c r="BS64" s="709">
        <f>'JSO (t)'!T79</f>
        <v>0</v>
      </c>
      <c r="BT64" s="792"/>
      <c r="BU64" s="709"/>
      <c r="BV64" s="710"/>
      <c r="BW64" s="792"/>
      <c r="BX64" s="709"/>
      <c r="BY64" s="715"/>
      <c r="BZ64" s="716"/>
      <c r="CA64" s="716"/>
      <c r="CB64" s="718"/>
    </row>
    <row r="65" spans="2:80" ht="15" customHeight="1" x14ac:dyDescent="0.2">
      <c r="B65" s="790" t="s">
        <v>573</v>
      </c>
      <c r="C65" s="806"/>
      <c r="D65" s="804" t="s">
        <v>104</v>
      </c>
      <c r="E65" s="709">
        <f>'NUoS (t)'!G80</f>
        <v>1198.1459</v>
      </c>
      <c r="F65" s="792"/>
      <c r="G65" s="709">
        <f>'NUoS (t)'!I80</f>
        <v>2.8300000000000002E-2</v>
      </c>
      <c r="H65" s="709"/>
      <c r="I65" s="710">
        <f>'NUoS (t)'!K80</f>
        <v>1.77E-2</v>
      </c>
      <c r="J65" s="792">
        <f>'NUoS (t)'!S80</f>
        <v>0.1065</v>
      </c>
      <c r="K65" s="709">
        <f>'NUoS (t)'!T80</f>
        <v>0.1036</v>
      </c>
      <c r="L65" s="792"/>
      <c r="M65" s="709"/>
      <c r="N65" s="710"/>
      <c r="O65" s="792"/>
      <c r="P65" s="709"/>
      <c r="Q65" s="715"/>
      <c r="R65" s="716"/>
      <c r="S65" s="716"/>
      <c r="T65" s="718"/>
      <c r="V65" s="790" t="s">
        <v>573</v>
      </c>
      <c r="W65" s="806"/>
      <c r="X65" s="804" t="s">
        <v>104</v>
      </c>
      <c r="Y65" s="709">
        <f>'DUoS (t)'!G80</f>
        <v>41.0959</v>
      </c>
      <c r="Z65" s="792"/>
      <c r="AA65" s="709">
        <f>'DUoS (t)'!I80</f>
        <v>2.3900000000000001E-2</v>
      </c>
      <c r="AB65" s="709"/>
      <c r="AC65" s="710">
        <f>'DUoS (t)'!K80</f>
        <v>1.49E-2</v>
      </c>
      <c r="AD65" s="792">
        <f>'DUoS (t)'!S80</f>
        <v>0.1065</v>
      </c>
      <c r="AE65" s="709">
        <f>'DUoS (t)'!T80</f>
        <v>0.1036</v>
      </c>
      <c r="AF65" s="792"/>
      <c r="AG65" s="709"/>
      <c r="AH65" s="710"/>
      <c r="AI65" s="792"/>
      <c r="AJ65" s="709"/>
      <c r="AK65" s="715"/>
      <c r="AL65" s="716"/>
      <c r="AM65" s="716"/>
      <c r="AN65" s="718"/>
      <c r="AP65" s="790" t="s">
        <v>573</v>
      </c>
      <c r="AQ65" s="806"/>
      <c r="AR65" s="804" t="s">
        <v>104</v>
      </c>
      <c r="AS65" s="709">
        <f>'TUoS (t)'!G80</f>
        <v>1157.05</v>
      </c>
      <c r="AT65" s="792"/>
      <c r="AU65" s="709">
        <f>'TUoS (t)'!I80</f>
        <v>0</v>
      </c>
      <c r="AV65" s="709"/>
      <c r="AW65" s="710">
        <f>'TUoS (t)'!K80</f>
        <v>0</v>
      </c>
      <c r="AX65" s="792">
        <f>'TUoS (t)'!S80</f>
        <v>0</v>
      </c>
      <c r="AY65" s="709">
        <f>'TUoS (t)'!T80</f>
        <v>0</v>
      </c>
      <c r="AZ65" s="792"/>
      <c r="BA65" s="709"/>
      <c r="BB65" s="710"/>
      <c r="BC65" s="792"/>
      <c r="BD65" s="709"/>
      <c r="BE65" s="715"/>
      <c r="BF65" s="716"/>
      <c r="BG65" s="716"/>
      <c r="BH65" s="718"/>
      <c r="BJ65" s="790" t="s">
        <v>573</v>
      </c>
      <c r="BK65" s="806"/>
      <c r="BL65" s="804" t="s">
        <v>104</v>
      </c>
      <c r="BM65" s="709">
        <f>'JSO (t)'!G80</f>
        <v>0</v>
      </c>
      <c r="BN65" s="792"/>
      <c r="BO65" s="709">
        <f>'JSO (t)'!I80</f>
        <v>4.4000000000000003E-3</v>
      </c>
      <c r="BP65" s="709"/>
      <c r="BQ65" s="710">
        <f>'JSO (t)'!K80</f>
        <v>2.8E-3</v>
      </c>
      <c r="BR65" s="792">
        <f>'JSO (t)'!S80</f>
        <v>0</v>
      </c>
      <c r="BS65" s="709">
        <f>'JSO (t)'!T80</f>
        <v>0</v>
      </c>
      <c r="BT65" s="792"/>
      <c r="BU65" s="709"/>
      <c r="BV65" s="710"/>
      <c r="BW65" s="792"/>
      <c r="BX65" s="709"/>
      <c r="BY65" s="715"/>
      <c r="BZ65" s="716"/>
      <c r="CA65" s="716"/>
      <c r="CB65" s="718"/>
    </row>
    <row r="66" spans="2:80" ht="15" customHeight="1" x14ac:dyDescent="0.2">
      <c r="B66" s="668" t="s">
        <v>574</v>
      </c>
      <c r="C66" s="679"/>
      <c r="D66" s="671" t="s">
        <v>104</v>
      </c>
      <c r="E66" s="702">
        <f>'NUoS (t)'!G81</f>
        <v>897.95590000000004</v>
      </c>
      <c r="F66" s="703"/>
      <c r="G66" s="702">
        <f>'NUoS (t)'!I81</f>
        <v>2.8300000000000002E-2</v>
      </c>
      <c r="H66" s="702"/>
      <c r="I66" s="704">
        <f>'NUoS (t)'!K81</f>
        <v>1.77E-2</v>
      </c>
      <c r="J66" s="703">
        <f>'NUoS (t)'!S81</f>
        <v>0.1065</v>
      </c>
      <c r="K66" s="702">
        <f>'NUoS (t)'!T81</f>
        <v>0.1036</v>
      </c>
      <c r="L66" s="703"/>
      <c r="M66" s="702"/>
      <c r="N66" s="704"/>
      <c r="O66" s="703"/>
      <c r="P66" s="702"/>
      <c r="Q66" s="713"/>
      <c r="R66" s="711"/>
      <c r="S66" s="711"/>
      <c r="T66" s="714"/>
      <c r="V66" s="668" t="s">
        <v>574</v>
      </c>
      <c r="W66" s="679"/>
      <c r="X66" s="671" t="s">
        <v>104</v>
      </c>
      <c r="Y66" s="702">
        <f>'DUoS (t)'!G81</f>
        <v>41.0959</v>
      </c>
      <c r="Z66" s="703"/>
      <c r="AA66" s="702">
        <f>'DUoS (t)'!I81</f>
        <v>2.3900000000000001E-2</v>
      </c>
      <c r="AB66" s="702"/>
      <c r="AC66" s="704">
        <f>'DUoS (t)'!K81</f>
        <v>1.49E-2</v>
      </c>
      <c r="AD66" s="703">
        <f>'DUoS (t)'!S81</f>
        <v>0.1065</v>
      </c>
      <c r="AE66" s="702">
        <f>'DUoS (t)'!T81</f>
        <v>0.1036</v>
      </c>
      <c r="AF66" s="703"/>
      <c r="AG66" s="702"/>
      <c r="AH66" s="704"/>
      <c r="AI66" s="703"/>
      <c r="AJ66" s="702"/>
      <c r="AK66" s="713"/>
      <c r="AL66" s="711"/>
      <c r="AM66" s="711"/>
      <c r="AN66" s="714"/>
      <c r="AP66" s="668" t="s">
        <v>574</v>
      </c>
      <c r="AQ66" s="679"/>
      <c r="AR66" s="671" t="s">
        <v>104</v>
      </c>
      <c r="AS66" s="702">
        <f>'TUoS (t)'!G81</f>
        <v>856.86</v>
      </c>
      <c r="AT66" s="703"/>
      <c r="AU66" s="702">
        <f>'TUoS (t)'!I81</f>
        <v>0</v>
      </c>
      <c r="AV66" s="702"/>
      <c r="AW66" s="704">
        <f>'TUoS (t)'!K81</f>
        <v>0</v>
      </c>
      <c r="AX66" s="703">
        <f>'TUoS (t)'!S81</f>
        <v>0</v>
      </c>
      <c r="AY66" s="702">
        <f>'TUoS (t)'!T81</f>
        <v>0</v>
      </c>
      <c r="AZ66" s="703"/>
      <c r="BA66" s="702"/>
      <c r="BB66" s="704"/>
      <c r="BC66" s="703"/>
      <c r="BD66" s="702"/>
      <c r="BE66" s="713"/>
      <c r="BF66" s="711"/>
      <c r="BG66" s="711"/>
      <c r="BH66" s="714"/>
      <c r="BJ66" s="668" t="s">
        <v>574</v>
      </c>
      <c r="BK66" s="679"/>
      <c r="BL66" s="671" t="s">
        <v>104</v>
      </c>
      <c r="BM66" s="702">
        <f>'JSO (t)'!G81</f>
        <v>0</v>
      </c>
      <c r="BN66" s="703"/>
      <c r="BO66" s="702">
        <f>'JSO (t)'!I81</f>
        <v>4.4000000000000003E-3</v>
      </c>
      <c r="BP66" s="702"/>
      <c r="BQ66" s="704">
        <f>'JSO (t)'!K81</f>
        <v>2.8E-3</v>
      </c>
      <c r="BR66" s="703">
        <f>'JSO (t)'!S81</f>
        <v>0</v>
      </c>
      <c r="BS66" s="702">
        <f>'JSO (t)'!T81</f>
        <v>0</v>
      </c>
      <c r="BT66" s="703"/>
      <c r="BU66" s="702"/>
      <c r="BV66" s="704"/>
      <c r="BW66" s="703"/>
      <c r="BX66" s="702"/>
      <c r="BY66" s="713"/>
      <c r="BZ66" s="711"/>
      <c r="CA66" s="711"/>
      <c r="CB66" s="714"/>
    </row>
    <row r="67" spans="2:80" ht="15" customHeight="1" x14ac:dyDescent="0.2">
      <c r="B67" s="668" t="s">
        <v>575</v>
      </c>
      <c r="C67" s="679"/>
      <c r="D67" s="671" t="s">
        <v>104</v>
      </c>
      <c r="E67" s="702">
        <f>'NUoS (t)'!G82</f>
        <v>829.53590000000008</v>
      </c>
      <c r="F67" s="703"/>
      <c r="G67" s="702">
        <f>'NUoS (t)'!I82</f>
        <v>2.8300000000000002E-2</v>
      </c>
      <c r="H67" s="702"/>
      <c r="I67" s="704">
        <f>'NUoS (t)'!K82</f>
        <v>1.77E-2</v>
      </c>
      <c r="J67" s="703">
        <f>'NUoS (t)'!S82</f>
        <v>0.1065</v>
      </c>
      <c r="K67" s="702">
        <f>'NUoS (t)'!T82</f>
        <v>0.1036</v>
      </c>
      <c r="L67" s="703"/>
      <c r="M67" s="702"/>
      <c r="N67" s="704"/>
      <c r="O67" s="703"/>
      <c r="P67" s="702"/>
      <c r="Q67" s="713"/>
      <c r="R67" s="711"/>
      <c r="S67" s="711"/>
      <c r="T67" s="714"/>
      <c r="V67" s="668" t="s">
        <v>575</v>
      </c>
      <c r="W67" s="679"/>
      <c r="X67" s="671" t="s">
        <v>104</v>
      </c>
      <c r="Y67" s="702">
        <f>'DUoS (t)'!G82</f>
        <v>41.0959</v>
      </c>
      <c r="Z67" s="703"/>
      <c r="AA67" s="702">
        <f>'DUoS (t)'!I82</f>
        <v>2.3900000000000001E-2</v>
      </c>
      <c r="AB67" s="702"/>
      <c r="AC67" s="704">
        <f>'DUoS (t)'!K82</f>
        <v>1.49E-2</v>
      </c>
      <c r="AD67" s="703">
        <f>'DUoS (t)'!S82</f>
        <v>0.1065</v>
      </c>
      <c r="AE67" s="702">
        <f>'DUoS (t)'!T82</f>
        <v>0.1036</v>
      </c>
      <c r="AF67" s="703"/>
      <c r="AG67" s="702"/>
      <c r="AH67" s="704"/>
      <c r="AI67" s="703"/>
      <c r="AJ67" s="702"/>
      <c r="AK67" s="713"/>
      <c r="AL67" s="711"/>
      <c r="AM67" s="711"/>
      <c r="AN67" s="714"/>
      <c r="AP67" s="668" t="s">
        <v>575</v>
      </c>
      <c r="AQ67" s="679"/>
      <c r="AR67" s="671" t="s">
        <v>104</v>
      </c>
      <c r="AS67" s="702">
        <f>'TUoS (t)'!G82</f>
        <v>788.44</v>
      </c>
      <c r="AT67" s="703"/>
      <c r="AU67" s="702">
        <f>'TUoS (t)'!I82</f>
        <v>0</v>
      </c>
      <c r="AV67" s="702"/>
      <c r="AW67" s="704">
        <f>'TUoS (t)'!K82</f>
        <v>0</v>
      </c>
      <c r="AX67" s="703">
        <f>'TUoS (t)'!S82</f>
        <v>0</v>
      </c>
      <c r="AY67" s="702">
        <f>'TUoS (t)'!T82</f>
        <v>0</v>
      </c>
      <c r="AZ67" s="703"/>
      <c r="BA67" s="702"/>
      <c r="BB67" s="704"/>
      <c r="BC67" s="703"/>
      <c r="BD67" s="702"/>
      <c r="BE67" s="713"/>
      <c r="BF67" s="711"/>
      <c r="BG67" s="711"/>
      <c r="BH67" s="714"/>
      <c r="BJ67" s="668" t="s">
        <v>575</v>
      </c>
      <c r="BK67" s="679"/>
      <c r="BL67" s="671" t="s">
        <v>104</v>
      </c>
      <c r="BM67" s="702">
        <f>'JSO (t)'!G82</f>
        <v>0</v>
      </c>
      <c r="BN67" s="703"/>
      <c r="BO67" s="702">
        <f>'JSO (t)'!I82</f>
        <v>4.4000000000000003E-3</v>
      </c>
      <c r="BP67" s="702"/>
      <c r="BQ67" s="704">
        <f>'JSO (t)'!K82</f>
        <v>2.8E-3</v>
      </c>
      <c r="BR67" s="703">
        <f>'JSO (t)'!S82</f>
        <v>0</v>
      </c>
      <c r="BS67" s="702">
        <f>'JSO (t)'!T82</f>
        <v>0</v>
      </c>
      <c r="BT67" s="703"/>
      <c r="BU67" s="702"/>
      <c r="BV67" s="704"/>
      <c r="BW67" s="703"/>
      <c r="BX67" s="702"/>
      <c r="BY67" s="713"/>
      <c r="BZ67" s="711"/>
      <c r="CA67" s="711"/>
      <c r="CB67" s="714"/>
    </row>
    <row r="68" spans="2:80" s="892" customFormat="1" ht="15" customHeight="1" x14ac:dyDescent="0.2">
      <c r="B68" s="790" t="s">
        <v>576</v>
      </c>
      <c r="C68" s="806"/>
      <c r="D68" s="804" t="s">
        <v>104</v>
      </c>
      <c r="E68" s="709">
        <f>'NUoS (t)'!G83</f>
        <v>941.79590000000007</v>
      </c>
      <c r="F68" s="792"/>
      <c r="G68" s="709">
        <f>'NUoS (t)'!I83</f>
        <v>2.8300000000000002E-2</v>
      </c>
      <c r="H68" s="709"/>
      <c r="I68" s="710">
        <f>'NUoS (t)'!K83</f>
        <v>1.77E-2</v>
      </c>
      <c r="J68" s="792">
        <f>'NUoS (t)'!S83</f>
        <v>0.1065</v>
      </c>
      <c r="K68" s="709">
        <f>'NUoS (t)'!T83</f>
        <v>0.1036</v>
      </c>
      <c r="L68" s="792"/>
      <c r="M68" s="709"/>
      <c r="N68" s="710"/>
      <c r="O68" s="792"/>
      <c r="P68" s="709"/>
      <c r="Q68" s="715"/>
      <c r="R68" s="716"/>
      <c r="S68" s="716"/>
      <c r="T68" s="718"/>
      <c r="V68" s="790" t="s">
        <v>576</v>
      </c>
      <c r="W68" s="806"/>
      <c r="X68" s="804" t="s">
        <v>104</v>
      </c>
      <c r="Y68" s="709">
        <f>'DUoS (t)'!G83</f>
        <v>41.0959</v>
      </c>
      <c r="Z68" s="792"/>
      <c r="AA68" s="709">
        <f>'DUoS (t)'!I83</f>
        <v>2.3900000000000001E-2</v>
      </c>
      <c r="AB68" s="709"/>
      <c r="AC68" s="710">
        <f>'DUoS (t)'!K83</f>
        <v>1.49E-2</v>
      </c>
      <c r="AD68" s="792">
        <f>'DUoS (t)'!S83</f>
        <v>0.1065</v>
      </c>
      <c r="AE68" s="709">
        <f>'DUoS (t)'!T83</f>
        <v>0.1036</v>
      </c>
      <c r="AF68" s="792"/>
      <c r="AG68" s="709"/>
      <c r="AH68" s="710"/>
      <c r="AI68" s="792"/>
      <c r="AJ68" s="709"/>
      <c r="AK68" s="715"/>
      <c r="AL68" s="716"/>
      <c r="AM68" s="716"/>
      <c r="AN68" s="718"/>
      <c r="AP68" s="790" t="s">
        <v>576</v>
      </c>
      <c r="AQ68" s="806"/>
      <c r="AR68" s="804" t="s">
        <v>104</v>
      </c>
      <c r="AS68" s="709">
        <f>'TUoS (t)'!G83</f>
        <v>900.7</v>
      </c>
      <c r="AT68" s="792"/>
      <c r="AU68" s="709">
        <f>'TUoS (t)'!I83</f>
        <v>0</v>
      </c>
      <c r="AV68" s="709"/>
      <c r="AW68" s="710">
        <f>'TUoS (t)'!K83</f>
        <v>0</v>
      </c>
      <c r="AX68" s="792">
        <f>'TUoS (t)'!S83</f>
        <v>0</v>
      </c>
      <c r="AY68" s="709">
        <f>'TUoS (t)'!T83</f>
        <v>0</v>
      </c>
      <c r="AZ68" s="792"/>
      <c r="BA68" s="709"/>
      <c r="BB68" s="710"/>
      <c r="BC68" s="792"/>
      <c r="BD68" s="709"/>
      <c r="BE68" s="715"/>
      <c r="BF68" s="716"/>
      <c r="BG68" s="716"/>
      <c r="BH68" s="718"/>
      <c r="BJ68" s="790" t="s">
        <v>576</v>
      </c>
      <c r="BK68" s="806"/>
      <c r="BL68" s="804" t="s">
        <v>104</v>
      </c>
      <c r="BM68" s="709">
        <f>'JSO (t)'!G83</f>
        <v>0</v>
      </c>
      <c r="BN68" s="792"/>
      <c r="BO68" s="709">
        <f>'JSO (t)'!I83</f>
        <v>4.4000000000000003E-3</v>
      </c>
      <c r="BP68" s="709"/>
      <c r="BQ68" s="710">
        <f>'JSO (t)'!K83</f>
        <v>2.8E-3</v>
      </c>
      <c r="BR68" s="792">
        <f>'JSO (t)'!S83</f>
        <v>0</v>
      </c>
      <c r="BS68" s="709">
        <f>'JSO (t)'!T83</f>
        <v>0</v>
      </c>
      <c r="BT68" s="792"/>
      <c r="BU68" s="709"/>
      <c r="BV68" s="710"/>
      <c r="BW68" s="792"/>
      <c r="BX68" s="709"/>
      <c r="BY68" s="715"/>
      <c r="BZ68" s="716"/>
      <c r="CA68" s="716"/>
      <c r="CB68" s="718"/>
    </row>
    <row r="69" spans="2:80" ht="15" customHeight="1" x14ac:dyDescent="0.2">
      <c r="B69" s="790" t="s">
        <v>659</v>
      </c>
      <c r="C69" s="806"/>
      <c r="D69" s="804" t="s">
        <v>104</v>
      </c>
      <c r="E69" s="709">
        <f>'NUoS (t)'!G84</f>
        <v>391.32590000000005</v>
      </c>
      <c r="F69" s="792"/>
      <c r="G69" s="709">
        <f>'NUoS (t)'!I84</f>
        <v>4.1400000000000006E-2</v>
      </c>
      <c r="H69" s="709"/>
      <c r="I69" s="710">
        <f>'NUoS (t)'!K84</f>
        <v>2.5900000000000003E-2</v>
      </c>
      <c r="J69" s="792">
        <f>'NUoS (t)'!S84</f>
        <v>0.21479999999999999</v>
      </c>
      <c r="K69" s="709">
        <f>'NUoS (t)'!T84</f>
        <v>0.1036</v>
      </c>
      <c r="L69" s="792"/>
      <c r="M69" s="709"/>
      <c r="N69" s="710"/>
      <c r="O69" s="792"/>
      <c r="P69" s="709"/>
      <c r="Q69" s="715"/>
      <c r="R69" s="716"/>
      <c r="S69" s="716"/>
      <c r="T69" s="718"/>
      <c r="V69" s="790" t="s">
        <v>659</v>
      </c>
      <c r="W69" s="806"/>
      <c r="X69" s="804" t="s">
        <v>104</v>
      </c>
      <c r="Y69" s="709">
        <f>'DUoS (t)'!G84</f>
        <v>391.32590000000005</v>
      </c>
      <c r="Z69" s="792"/>
      <c r="AA69" s="709">
        <f>'DUoS (t)'!I84</f>
        <v>2.3900000000000001E-2</v>
      </c>
      <c r="AB69" s="709"/>
      <c r="AC69" s="710">
        <f>'DUoS (t)'!K84</f>
        <v>1.49E-2</v>
      </c>
      <c r="AD69" s="792">
        <f>'DUoS (t)'!S84</f>
        <v>0.1065</v>
      </c>
      <c r="AE69" s="709">
        <f>'DUoS (t)'!T84</f>
        <v>0.1036</v>
      </c>
      <c r="AF69" s="792"/>
      <c r="AG69" s="709"/>
      <c r="AH69" s="710"/>
      <c r="AI69" s="792"/>
      <c r="AJ69" s="709"/>
      <c r="AK69" s="715"/>
      <c r="AL69" s="716"/>
      <c r="AM69" s="716"/>
      <c r="AN69" s="718"/>
      <c r="AP69" s="790" t="s">
        <v>659</v>
      </c>
      <c r="AQ69" s="806"/>
      <c r="AR69" s="804" t="s">
        <v>104</v>
      </c>
      <c r="AS69" s="709">
        <f>'TUoS (t)'!G84</f>
        <v>0</v>
      </c>
      <c r="AT69" s="792"/>
      <c r="AU69" s="709">
        <f>'TUoS (t)'!I84</f>
        <v>1.3100000000000001E-2</v>
      </c>
      <c r="AV69" s="709"/>
      <c r="AW69" s="710">
        <f>'TUoS (t)'!K84</f>
        <v>8.2000000000000007E-3</v>
      </c>
      <c r="AX69" s="792">
        <f>'TUoS (t)'!S84</f>
        <v>0.10829999999999999</v>
      </c>
      <c r="AY69" s="709">
        <f>'TUoS (t)'!T84</f>
        <v>0</v>
      </c>
      <c r="AZ69" s="792"/>
      <c r="BA69" s="709"/>
      <c r="BB69" s="710"/>
      <c r="BC69" s="792"/>
      <c r="BD69" s="709"/>
      <c r="BE69" s="715"/>
      <c r="BF69" s="716"/>
      <c r="BG69" s="716"/>
      <c r="BH69" s="718"/>
      <c r="BJ69" s="790" t="s">
        <v>659</v>
      </c>
      <c r="BK69" s="806"/>
      <c r="BL69" s="804" t="s">
        <v>104</v>
      </c>
      <c r="BM69" s="709">
        <f>'JSO (t)'!G84</f>
        <v>0</v>
      </c>
      <c r="BN69" s="792"/>
      <c r="BO69" s="709">
        <f>'JSO (t)'!I84</f>
        <v>4.4000000000000003E-3</v>
      </c>
      <c r="BP69" s="709"/>
      <c r="BQ69" s="710">
        <f>'JSO (t)'!K84</f>
        <v>2.8E-3</v>
      </c>
      <c r="BR69" s="792">
        <f>'JSO (t)'!S84</f>
        <v>0</v>
      </c>
      <c r="BS69" s="709">
        <f>'JSO (t)'!T84</f>
        <v>0</v>
      </c>
      <c r="BT69" s="792"/>
      <c r="BU69" s="709"/>
      <c r="BV69" s="710"/>
      <c r="BW69" s="792"/>
      <c r="BX69" s="709"/>
      <c r="BY69" s="715"/>
      <c r="BZ69" s="716"/>
      <c r="CA69" s="716"/>
      <c r="CB69" s="718"/>
    </row>
    <row r="70" spans="2:80" ht="15" customHeight="1" x14ac:dyDescent="0.2">
      <c r="B70" s="668" t="s">
        <v>577</v>
      </c>
      <c r="C70" s="679"/>
      <c r="D70" s="671" t="s">
        <v>104</v>
      </c>
      <c r="E70" s="702">
        <f>'NUoS (t)'!G85</f>
        <v>634.71590000000003</v>
      </c>
      <c r="F70" s="703"/>
      <c r="G70" s="702">
        <f>'NUoS (t)'!I85</f>
        <v>2.8300000000000002E-2</v>
      </c>
      <c r="H70" s="702"/>
      <c r="I70" s="704">
        <f>'NUoS (t)'!K85</f>
        <v>1.77E-2</v>
      </c>
      <c r="J70" s="703">
        <f>'NUoS (t)'!S85</f>
        <v>0.1065</v>
      </c>
      <c r="K70" s="702">
        <f>'NUoS (t)'!T85</f>
        <v>0.1036</v>
      </c>
      <c r="L70" s="703"/>
      <c r="M70" s="702"/>
      <c r="N70" s="704"/>
      <c r="O70" s="703"/>
      <c r="P70" s="702"/>
      <c r="Q70" s="713"/>
      <c r="R70" s="711"/>
      <c r="S70" s="711"/>
      <c r="T70" s="714"/>
      <c r="V70" s="668" t="s">
        <v>577</v>
      </c>
      <c r="W70" s="679"/>
      <c r="X70" s="671" t="s">
        <v>104</v>
      </c>
      <c r="Y70" s="702">
        <f>'DUoS (t)'!G85</f>
        <v>41.0959</v>
      </c>
      <c r="Z70" s="703"/>
      <c r="AA70" s="702">
        <f>'DUoS (t)'!I85</f>
        <v>2.3900000000000001E-2</v>
      </c>
      <c r="AB70" s="702"/>
      <c r="AC70" s="704">
        <f>'DUoS (t)'!K85</f>
        <v>1.49E-2</v>
      </c>
      <c r="AD70" s="703">
        <f>'DUoS (t)'!S85</f>
        <v>0.1065</v>
      </c>
      <c r="AE70" s="702">
        <f>'DUoS (t)'!T85</f>
        <v>0.1036</v>
      </c>
      <c r="AF70" s="703"/>
      <c r="AG70" s="702"/>
      <c r="AH70" s="704"/>
      <c r="AI70" s="703"/>
      <c r="AJ70" s="702"/>
      <c r="AK70" s="713"/>
      <c r="AL70" s="711"/>
      <c r="AM70" s="711"/>
      <c r="AN70" s="714"/>
      <c r="AP70" s="668" t="s">
        <v>577</v>
      </c>
      <c r="AQ70" s="679"/>
      <c r="AR70" s="671" t="s">
        <v>104</v>
      </c>
      <c r="AS70" s="702">
        <f>'TUoS (t)'!G85</f>
        <v>593.62</v>
      </c>
      <c r="AT70" s="703"/>
      <c r="AU70" s="702">
        <f>'TUoS (t)'!I85</f>
        <v>0</v>
      </c>
      <c r="AV70" s="702"/>
      <c r="AW70" s="704">
        <f>'TUoS (t)'!K85</f>
        <v>0</v>
      </c>
      <c r="AX70" s="703">
        <f>'TUoS (t)'!S85</f>
        <v>0</v>
      </c>
      <c r="AY70" s="702">
        <f>'TUoS (t)'!T85</f>
        <v>0</v>
      </c>
      <c r="AZ70" s="703"/>
      <c r="BA70" s="702"/>
      <c r="BB70" s="704"/>
      <c r="BC70" s="703"/>
      <c r="BD70" s="702"/>
      <c r="BE70" s="713"/>
      <c r="BF70" s="711"/>
      <c r="BG70" s="711"/>
      <c r="BH70" s="714"/>
      <c r="BJ70" s="668" t="s">
        <v>577</v>
      </c>
      <c r="BK70" s="679"/>
      <c r="BL70" s="671" t="s">
        <v>104</v>
      </c>
      <c r="BM70" s="702">
        <f>'JSO (t)'!G85</f>
        <v>0</v>
      </c>
      <c r="BN70" s="703"/>
      <c r="BO70" s="702">
        <f>'JSO (t)'!I85</f>
        <v>4.4000000000000003E-3</v>
      </c>
      <c r="BP70" s="702"/>
      <c r="BQ70" s="704">
        <f>'JSO (t)'!K85</f>
        <v>2.8E-3</v>
      </c>
      <c r="BR70" s="703">
        <f>'JSO (t)'!S85</f>
        <v>0</v>
      </c>
      <c r="BS70" s="702">
        <f>'JSO (t)'!T85</f>
        <v>0</v>
      </c>
      <c r="BT70" s="703"/>
      <c r="BU70" s="702"/>
      <c r="BV70" s="704"/>
      <c r="BW70" s="703"/>
      <c r="BX70" s="702"/>
      <c r="BY70" s="713"/>
      <c r="BZ70" s="711"/>
      <c r="CA70" s="711"/>
      <c r="CB70" s="714"/>
    </row>
    <row r="71" spans="2:80" ht="15" customHeight="1" x14ac:dyDescent="0.2">
      <c r="B71" s="663" t="s">
        <v>113</v>
      </c>
      <c r="C71" s="665"/>
      <c r="D71" s="107"/>
      <c r="E71" s="724"/>
      <c r="F71" s="715"/>
      <c r="G71" s="716"/>
      <c r="H71" s="716"/>
      <c r="I71" s="717"/>
      <c r="J71" s="715"/>
      <c r="K71" s="716"/>
      <c r="L71" s="715"/>
      <c r="M71" s="716"/>
      <c r="N71" s="717"/>
      <c r="O71" s="715"/>
      <c r="P71" s="716"/>
      <c r="Q71" s="715"/>
      <c r="R71" s="716"/>
      <c r="S71" s="716"/>
      <c r="T71" s="718"/>
      <c r="V71" s="663" t="s">
        <v>113</v>
      </c>
      <c r="W71" s="665"/>
      <c r="X71" s="107"/>
      <c r="Y71" s="724"/>
      <c r="Z71" s="715"/>
      <c r="AA71" s="716"/>
      <c r="AB71" s="716"/>
      <c r="AC71" s="717"/>
      <c r="AD71" s="715"/>
      <c r="AE71" s="716"/>
      <c r="AF71" s="715"/>
      <c r="AG71" s="716"/>
      <c r="AH71" s="717"/>
      <c r="AI71" s="715"/>
      <c r="AJ71" s="716"/>
      <c r="AK71" s="715"/>
      <c r="AL71" s="716"/>
      <c r="AM71" s="716"/>
      <c r="AN71" s="718"/>
      <c r="AP71" s="663" t="s">
        <v>113</v>
      </c>
      <c r="AQ71" s="665"/>
      <c r="AR71" s="107"/>
      <c r="AS71" s="724"/>
      <c r="AT71" s="715"/>
      <c r="AU71" s="716"/>
      <c r="AV71" s="716"/>
      <c r="AW71" s="717"/>
      <c r="AX71" s="715"/>
      <c r="AY71" s="716"/>
      <c r="AZ71" s="715"/>
      <c r="BA71" s="716"/>
      <c r="BB71" s="717"/>
      <c r="BC71" s="715"/>
      <c r="BD71" s="716"/>
      <c r="BE71" s="715"/>
      <c r="BF71" s="716"/>
      <c r="BG71" s="716"/>
      <c r="BH71" s="718"/>
      <c r="BJ71" s="663" t="s">
        <v>113</v>
      </c>
      <c r="BK71" s="665"/>
      <c r="BL71" s="107"/>
      <c r="BM71" s="724"/>
      <c r="BN71" s="715"/>
      <c r="BO71" s="716"/>
      <c r="BP71" s="716"/>
      <c r="BQ71" s="717"/>
      <c r="BR71" s="715"/>
      <c r="BS71" s="716"/>
      <c r="BT71" s="715"/>
      <c r="BU71" s="716"/>
      <c r="BV71" s="717"/>
      <c r="BW71" s="715"/>
      <c r="BX71" s="716"/>
      <c r="BY71" s="715"/>
      <c r="BZ71" s="716"/>
      <c r="CA71" s="716"/>
      <c r="CB71" s="718"/>
    </row>
    <row r="72" spans="2:80" ht="15" customHeight="1" x14ac:dyDescent="0.2">
      <c r="B72" s="663" t="s">
        <v>114</v>
      </c>
      <c r="C72" s="85"/>
      <c r="D72" s="85"/>
      <c r="E72" s="724"/>
      <c r="F72" s="715"/>
      <c r="G72" s="716"/>
      <c r="H72" s="716"/>
      <c r="I72" s="717"/>
      <c r="J72" s="715"/>
      <c r="K72" s="716"/>
      <c r="L72" s="715"/>
      <c r="M72" s="716"/>
      <c r="N72" s="717"/>
      <c r="O72" s="715"/>
      <c r="P72" s="716"/>
      <c r="Q72" s="715"/>
      <c r="R72" s="716"/>
      <c r="S72" s="716"/>
      <c r="T72" s="718"/>
      <c r="V72" s="663" t="s">
        <v>114</v>
      </c>
      <c r="W72" s="85"/>
      <c r="X72" s="85"/>
      <c r="Y72" s="724"/>
      <c r="Z72" s="715"/>
      <c r="AA72" s="716"/>
      <c r="AB72" s="716"/>
      <c r="AC72" s="717"/>
      <c r="AD72" s="715"/>
      <c r="AE72" s="716"/>
      <c r="AF72" s="715"/>
      <c r="AG72" s="716"/>
      <c r="AH72" s="717"/>
      <c r="AI72" s="715"/>
      <c r="AJ72" s="716"/>
      <c r="AK72" s="715"/>
      <c r="AL72" s="716"/>
      <c r="AM72" s="716"/>
      <c r="AN72" s="718"/>
      <c r="AP72" s="663" t="s">
        <v>114</v>
      </c>
      <c r="AQ72" s="85"/>
      <c r="AR72" s="85"/>
      <c r="AS72" s="724"/>
      <c r="AT72" s="715"/>
      <c r="AU72" s="716"/>
      <c r="AV72" s="716"/>
      <c r="AW72" s="717"/>
      <c r="AX72" s="715"/>
      <c r="AY72" s="716"/>
      <c r="AZ72" s="715"/>
      <c r="BA72" s="716"/>
      <c r="BB72" s="717"/>
      <c r="BC72" s="715"/>
      <c r="BD72" s="716"/>
      <c r="BE72" s="715"/>
      <c r="BF72" s="716"/>
      <c r="BG72" s="716"/>
      <c r="BH72" s="718"/>
      <c r="BJ72" s="663" t="s">
        <v>114</v>
      </c>
      <c r="BK72" s="85"/>
      <c r="BL72" s="85"/>
      <c r="BM72" s="724"/>
      <c r="BN72" s="715"/>
      <c r="BO72" s="716"/>
      <c r="BP72" s="716"/>
      <c r="BQ72" s="717"/>
      <c r="BR72" s="715"/>
      <c r="BS72" s="716"/>
      <c r="BT72" s="715"/>
      <c r="BU72" s="716"/>
      <c r="BV72" s="717"/>
      <c r="BW72" s="715"/>
      <c r="BX72" s="716"/>
      <c r="BY72" s="715"/>
      <c r="BZ72" s="716"/>
      <c r="CA72" s="716"/>
      <c r="CB72" s="718"/>
    </row>
    <row r="73" spans="2:80" ht="15" customHeight="1" x14ac:dyDescent="0.2">
      <c r="B73" s="668" t="s">
        <v>115</v>
      </c>
      <c r="C73" s="669"/>
      <c r="D73" s="671" t="s">
        <v>116</v>
      </c>
      <c r="E73" s="702">
        <f>'NUoS (t)'!G94</f>
        <v>0</v>
      </c>
      <c r="F73" s="703">
        <f>'NUoS (t)'!H94</f>
        <v>1.35E-2</v>
      </c>
      <c r="G73" s="711"/>
      <c r="H73" s="711"/>
      <c r="I73" s="712"/>
      <c r="J73" s="703">
        <f>'NUoS (t)'!S94</f>
        <v>0.1497</v>
      </c>
      <c r="K73" s="711">
        <f>'NUoS (t)'!T94</f>
        <v>7.3999999999999996E-2</v>
      </c>
      <c r="L73" s="713"/>
      <c r="M73" s="711"/>
      <c r="N73" s="712"/>
      <c r="O73" s="713"/>
      <c r="P73" s="711"/>
      <c r="Q73" s="713"/>
      <c r="R73" s="711"/>
      <c r="S73" s="711"/>
      <c r="T73" s="714"/>
      <c r="V73" s="668" t="s">
        <v>115</v>
      </c>
      <c r="W73" s="669"/>
      <c r="X73" s="671" t="s">
        <v>116</v>
      </c>
      <c r="Y73" s="702">
        <f>'DUoS (t)'!G94</f>
        <v>0</v>
      </c>
      <c r="Z73" s="703">
        <f>'DUoS (t)'!H94</f>
        <v>4.4000000000000003E-3</v>
      </c>
      <c r="AA73" s="711"/>
      <c r="AB73" s="711"/>
      <c r="AC73" s="712"/>
      <c r="AD73" s="703">
        <f>'DUoS (t)'!S94</f>
        <v>4.1399999999999999E-2</v>
      </c>
      <c r="AE73" s="711">
        <f>'DUoS (t)'!T94</f>
        <v>7.3999999999999996E-2</v>
      </c>
      <c r="AF73" s="713"/>
      <c r="AG73" s="711"/>
      <c r="AH73" s="712"/>
      <c r="AI73" s="713"/>
      <c r="AJ73" s="711"/>
      <c r="AK73" s="713"/>
      <c r="AL73" s="711"/>
      <c r="AM73" s="711"/>
      <c r="AN73" s="714"/>
      <c r="AP73" s="668" t="s">
        <v>115</v>
      </c>
      <c r="AQ73" s="669"/>
      <c r="AR73" s="671" t="s">
        <v>116</v>
      </c>
      <c r="AS73" s="702">
        <f>'TUoS (t)'!G94</f>
        <v>0</v>
      </c>
      <c r="AT73" s="703">
        <f>'TUoS (t)'!H94</f>
        <v>8.2000000000000007E-3</v>
      </c>
      <c r="AU73" s="711"/>
      <c r="AV73" s="711"/>
      <c r="AW73" s="712"/>
      <c r="AX73" s="703">
        <f>'TUoS (t)'!S94</f>
        <v>0.10829999999999999</v>
      </c>
      <c r="AY73" s="711">
        <f>'TUoS (t)'!T94</f>
        <v>0</v>
      </c>
      <c r="AZ73" s="713"/>
      <c r="BA73" s="711"/>
      <c r="BB73" s="712"/>
      <c r="BC73" s="713"/>
      <c r="BD73" s="711"/>
      <c r="BE73" s="713"/>
      <c r="BF73" s="711"/>
      <c r="BG73" s="711"/>
      <c r="BH73" s="714"/>
      <c r="BJ73" s="668" t="s">
        <v>115</v>
      </c>
      <c r="BK73" s="669"/>
      <c r="BL73" s="671" t="s">
        <v>116</v>
      </c>
      <c r="BM73" s="702">
        <f>'JSO (t)'!G94</f>
        <v>0</v>
      </c>
      <c r="BN73" s="703">
        <f>'JSO (t)'!H94</f>
        <v>8.9999999999999998E-4</v>
      </c>
      <c r="BO73" s="711"/>
      <c r="BP73" s="711"/>
      <c r="BQ73" s="712"/>
      <c r="BR73" s="703">
        <f>'JSO (t)'!S94</f>
        <v>0</v>
      </c>
      <c r="BS73" s="711">
        <f>'JSO (t)'!T94</f>
        <v>0</v>
      </c>
      <c r="BT73" s="713"/>
      <c r="BU73" s="711"/>
      <c r="BV73" s="712"/>
      <c r="BW73" s="713"/>
      <c r="BX73" s="711"/>
      <c r="BY73" s="713"/>
      <c r="BZ73" s="711"/>
      <c r="CA73" s="711"/>
      <c r="CB73" s="714"/>
    </row>
    <row r="74" spans="2:80" ht="15" customHeight="1" x14ac:dyDescent="0.2">
      <c r="B74" s="790" t="s">
        <v>117</v>
      </c>
      <c r="C74" s="791"/>
      <c r="D74" s="804" t="s">
        <v>118</v>
      </c>
      <c r="E74" s="709">
        <f>'NUoS (t)'!G95</f>
        <v>0</v>
      </c>
      <c r="F74" s="792">
        <f>'NUoS (t)'!H95</f>
        <v>1.35E-2</v>
      </c>
      <c r="G74" s="716"/>
      <c r="H74" s="716"/>
      <c r="I74" s="717"/>
      <c r="J74" s="792">
        <f>'NUoS (t)'!S95</f>
        <v>0.1497</v>
      </c>
      <c r="K74" s="709">
        <f>'NUoS (t)'!T95</f>
        <v>7.3999999999999996E-2</v>
      </c>
      <c r="L74" s="715"/>
      <c r="M74" s="716"/>
      <c r="N74" s="717"/>
      <c r="O74" s="715"/>
      <c r="P74" s="716"/>
      <c r="Q74" s="715"/>
      <c r="R74" s="716"/>
      <c r="S74" s="716"/>
      <c r="T74" s="718"/>
      <c r="V74" s="790" t="s">
        <v>117</v>
      </c>
      <c r="W74" s="791"/>
      <c r="X74" s="804" t="s">
        <v>118</v>
      </c>
      <c r="Y74" s="709">
        <f>'DUoS (t)'!G95</f>
        <v>0</v>
      </c>
      <c r="Z74" s="792">
        <f>'DUoS (t)'!H95</f>
        <v>4.4000000000000003E-3</v>
      </c>
      <c r="AA74" s="716"/>
      <c r="AB74" s="716"/>
      <c r="AC74" s="717"/>
      <c r="AD74" s="792">
        <f>'DUoS (t)'!S95</f>
        <v>4.1399999999999999E-2</v>
      </c>
      <c r="AE74" s="709">
        <f>'DUoS (t)'!T95</f>
        <v>7.3999999999999996E-2</v>
      </c>
      <c r="AF74" s="715"/>
      <c r="AG74" s="716"/>
      <c r="AH74" s="717"/>
      <c r="AI74" s="715"/>
      <c r="AJ74" s="716"/>
      <c r="AK74" s="715"/>
      <c r="AL74" s="716"/>
      <c r="AM74" s="716"/>
      <c r="AN74" s="718"/>
      <c r="AP74" s="790" t="s">
        <v>117</v>
      </c>
      <c r="AQ74" s="791"/>
      <c r="AR74" s="804" t="s">
        <v>118</v>
      </c>
      <c r="AS74" s="709">
        <f>'TUoS (t)'!G95</f>
        <v>0</v>
      </c>
      <c r="AT74" s="792">
        <f>'TUoS (t)'!H95</f>
        <v>8.2000000000000007E-3</v>
      </c>
      <c r="AU74" s="716"/>
      <c r="AV74" s="716"/>
      <c r="AW74" s="717"/>
      <c r="AX74" s="792">
        <f>'TUoS (t)'!S95</f>
        <v>0.10829999999999999</v>
      </c>
      <c r="AY74" s="709">
        <f>'TUoS (t)'!T95</f>
        <v>0</v>
      </c>
      <c r="AZ74" s="715"/>
      <c r="BA74" s="716"/>
      <c r="BB74" s="717"/>
      <c r="BC74" s="715"/>
      <c r="BD74" s="716"/>
      <c r="BE74" s="715"/>
      <c r="BF74" s="716"/>
      <c r="BG74" s="716"/>
      <c r="BH74" s="718"/>
      <c r="BJ74" s="790" t="s">
        <v>117</v>
      </c>
      <c r="BK74" s="791"/>
      <c r="BL74" s="804" t="s">
        <v>118</v>
      </c>
      <c r="BM74" s="709">
        <f>'JSO (t)'!G95</f>
        <v>0</v>
      </c>
      <c r="BN74" s="792">
        <f>'JSO (t)'!H95</f>
        <v>8.9999999999999998E-4</v>
      </c>
      <c r="BO74" s="716"/>
      <c r="BP74" s="716"/>
      <c r="BQ74" s="717"/>
      <c r="BR74" s="792">
        <f>'JSO (t)'!S95</f>
        <v>0</v>
      </c>
      <c r="BS74" s="709">
        <f>'JSO (t)'!T95</f>
        <v>0</v>
      </c>
      <c r="BT74" s="715"/>
      <c r="BU74" s="716"/>
      <c r="BV74" s="717"/>
      <c r="BW74" s="715"/>
      <c r="BX74" s="716"/>
      <c r="BY74" s="715"/>
      <c r="BZ74" s="716"/>
      <c r="CA74" s="716"/>
      <c r="CB74" s="718"/>
    </row>
    <row r="75" spans="2:80" ht="15" customHeight="1" x14ac:dyDescent="0.2">
      <c r="B75" s="790" t="s">
        <v>122</v>
      </c>
      <c r="C75" s="791"/>
      <c r="D75" s="804" t="s">
        <v>118</v>
      </c>
      <c r="E75" s="709">
        <f>'NUoS (t)'!G96</f>
        <v>590.96</v>
      </c>
      <c r="F75" s="792">
        <f>'NUoS (t)'!H96</f>
        <v>1.35E-2</v>
      </c>
      <c r="G75" s="716"/>
      <c r="H75" s="716"/>
      <c r="I75" s="717"/>
      <c r="J75" s="792">
        <f>'NUoS (t)'!S96</f>
        <v>0.1497</v>
      </c>
      <c r="K75" s="709">
        <f>'NUoS (t)'!T96</f>
        <v>7.3999999999999996E-2</v>
      </c>
      <c r="L75" s="715"/>
      <c r="M75" s="716"/>
      <c r="N75" s="717"/>
      <c r="O75" s="715"/>
      <c r="P75" s="716"/>
      <c r="Q75" s="715"/>
      <c r="R75" s="716"/>
      <c r="S75" s="716"/>
      <c r="T75" s="718"/>
      <c r="V75" s="790" t="s">
        <v>122</v>
      </c>
      <c r="W75" s="791"/>
      <c r="X75" s="804" t="s">
        <v>118</v>
      </c>
      <c r="Y75" s="709">
        <f>'DUoS (t)'!G96</f>
        <v>590.96</v>
      </c>
      <c r="Z75" s="792">
        <f>'DUoS (t)'!H96</f>
        <v>4.4000000000000003E-3</v>
      </c>
      <c r="AA75" s="716"/>
      <c r="AB75" s="716"/>
      <c r="AC75" s="717"/>
      <c r="AD75" s="792">
        <f>'DUoS (t)'!S96</f>
        <v>4.1399999999999999E-2</v>
      </c>
      <c r="AE75" s="709">
        <f>'DUoS (t)'!T96</f>
        <v>7.3999999999999996E-2</v>
      </c>
      <c r="AF75" s="715"/>
      <c r="AG75" s="716"/>
      <c r="AH75" s="717"/>
      <c r="AI75" s="715"/>
      <c r="AJ75" s="716"/>
      <c r="AK75" s="715"/>
      <c r="AL75" s="716"/>
      <c r="AM75" s="716"/>
      <c r="AN75" s="718"/>
      <c r="AP75" s="790" t="s">
        <v>122</v>
      </c>
      <c r="AQ75" s="791"/>
      <c r="AR75" s="804" t="s">
        <v>118</v>
      </c>
      <c r="AS75" s="709">
        <f>'TUoS (t)'!G96</f>
        <v>0</v>
      </c>
      <c r="AT75" s="792">
        <f>'TUoS (t)'!H96</f>
        <v>8.2000000000000007E-3</v>
      </c>
      <c r="AU75" s="716"/>
      <c r="AV75" s="716"/>
      <c r="AW75" s="717"/>
      <c r="AX75" s="792">
        <f>'TUoS (t)'!S96</f>
        <v>0.10829999999999999</v>
      </c>
      <c r="AY75" s="709">
        <f>'TUoS (t)'!T96</f>
        <v>0</v>
      </c>
      <c r="AZ75" s="715"/>
      <c r="BA75" s="716"/>
      <c r="BB75" s="717"/>
      <c r="BC75" s="715"/>
      <c r="BD75" s="716"/>
      <c r="BE75" s="715"/>
      <c r="BF75" s="716"/>
      <c r="BG75" s="716"/>
      <c r="BH75" s="718"/>
      <c r="BJ75" s="790" t="s">
        <v>122</v>
      </c>
      <c r="BK75" s="791"/>
      <c r="BL75" s="804" t="s">
        <v>118</v>
      </c>
      <c r="BM75" s="709">
        <f>'JSO (t)'!G96</f>
        <v>0</v>
      </c>
      <c r="BN75" s="792">
        <f>'JSO (t)'!H96</f>
        <v>8.9999999999999998E-4</v>
      </c>
      <c r="BO75" s="716"/>
      <c r="BP75" s="716"/>
      <c r="BQ75" s="717"/>
      <c r="BR75" s="792">
        <f>'JSO (t)'!S96</f>
        <v>0</v>
      </c>
      <c r="BS75" s="709">
        <f>'JSO (t)'!T96</f>
        <v>0</v>
      </c>
      <c r="BT75" s="715"/>
      <c r="BU75" s="716"/>
      <c r="BV75" s="717"/>
      <c r="BW75" s="715"/>
      <c r="BX75" s="716"/>
      <c r="BY75" s="715"/>
      <c r="BZ75" s="716"/>
      <c r="CA75" s="716"/>
      <c r="CB75" s="718"/>
    </row>
    <row r="76" spans="2:80" ht="15" customHeight="1" x14ac:dyDescent="0.2">
      <c r="B76" s="668" t="s">
        <v>123</v>
      </c>
      <c r="C76" s="669"/>
      <c r="D76" s="671" t="s">
        <v>118</v>
      </c>
      <c r="E76" s="702">
        <f>'NUoS (t)'!G97</f>
        <v>559.94000000000005</v>
      </c>
      <c r="F76" s="703">
        <f>'NUoS (t)'!H97</f>
        <v>5.3E-3</v>
      </c>
      <c r="G76" s="711"/>
      <c r="H76" s="711"/>
      <c r="I76" s="712"/>
      <c r="J76" s="703">
        <f>'NUoS (t)'!S97</f>
        <v>4.1399999999999999E-2</v>
      </c>
      <c r="K76" s="702">
        <f>'NUoS (t)'!T97</f>
        <v>7.3999999999999996E-2</v>
      </c>
      <c r="L76" s="713"/>
      <c r="M76" s="711"/>
      <c r="N76" s="712"/>
      <c r="O76" s="713"/>
      <c r="P76" s="711"/>
      <c r="Q76" s="713"/>
      <c r="R76" s="711"/>
      <c r="S76" s="711"/>
      <c r="T76" s="714"/>
      <c r="V76" s="668" t="s">
        <v>123</v>
      </c>
      <c r="W76" s="669"/>
      <c r="X76" s="671" t="s">
        <v>118</v>
      </c>
      <c r="Y76" s="702">
        <f>'DUoS (t)'!G97</f>
        <v>0</v>
      </c>
      <c r="Z76" s="703">
        <f>'DUoS (t)'!H97</f>
        <v>4.4000000000000003E-3</v>
      </c>
      <c r="AA76" s="711"/>
      <c r="AB76" s="711"/>
      <c r="AC76" s="712"/>
      <c r="AD76" s="703">
        <f>'DUoS (t)'!S97</f>
        <v>4.1399999999999999E-2</v>
      </c>
      <c r="AE76" s="702">
        <f>'DUoS (t)'!T97</f>
        <v>7.3999999999999996E-2</v>
      </c>
      <c r="AF76" s="713"/>
      <c r="AG76" s="711"/>
      <c r="AH76" s="712"/>
      <c r="AI76" s="713"/>
      <c r="AJ76" s="711"/>
      <c r="AK76" s="713"/>
      <c r="AL76" s="711"/>
      <c r="AM76" s="711"/>
      <c r="AN76" s="714"/>
      <c r="AP76" s="668" t="s">
        <v>123</v>
      </c>
      <c r="AQ76" s="669"/>
      <c r="AR76" s="671" t="s">
        <v>118</v>
      </c>
      <c r="AS76" s="702">
        <f>'TUoS (t)'!G97</f>
        <v>559.94000000000005</v>
      </c>
      <c r="AT76" s="703">
        <f>'TUoS (t)'!H97</f>
        <v>0</v>
      </c>
      <c r="AU76" s="711"/>
      <c r="AV76" s="711"/>
      <c r="AW76" s="712"/>
      <c r="AX76" s="703">
        <f>'TUoS (t)'!S97</f>
        <v>0</v>
      </c>
      <c r="AY76" s="702">
        <f>'TUoS (t)'!T97</f>
        <v>0</v>
      </c>
      <c r="AZ76" s="713"/>
      <c r="BA76" s="711"/>
      <c r="BB76" s="712"/>
      <c r="BC76" s="713"/>
      <c r="BD76" s="711"/>
      <c r="BE76" s="713"/>
      <c r="BF76" s="711"/>
      <c r="BG76" s="711"/>
      <c r="BH76" s="714"/>
      <c r="BJ76" s="668" t="s">
        <v>123</v>
      </c>
      <c r="BK76" s="669"/>
      <c r="BL76" s="671" t="s">
        <v>118</v>
      </c>
      <c r="BM76" s="702">
        <f>'JSO (t)'!G97</f>
        <v>0</v>
      </c>
      <c r="BN76" s="703">
        <f>'JSO (t)'!H97</f>
        <v>8.9999999999999998E-4</v>
      </c>
      <c r="BO76" s="711"/>
      <c r="BP76" s="711"/>
      <c r="BQ76" s="712"/>
      <c r="BR76" s="703">
        <f>'JSO (t)'!S97</f>
        <v>0</v>
      </c>
      <c r="BS76" s="702">
        <f>'JSO (t)'!T97</f>
        <v>0</v>
      </c>
      <c r="BT76" s="713"/>
      <c r="BU76" s="711"/>
      <c r="BV76" s="712"/>
      <c r="BW76" s="713"/>
      <c r="BX76" s="711"/>
      <c r="BY76" s="713"/>
      <c r="BZ76" s="711"/>
      <c r="CA76" s="711"/>
      <c r="CB76" s="714"/>
    </row>
    <row r="77" spans="2:80" ht="15" customHeight="1" x14ac:dyDescent="0.2">
      <c r="B77" s="668" t="s">
        <v>119</v>
      </c>
      <c r="C77" s="669"/>
      <c r="D77" s="671" t="s">
        <v>118</v>
      </c>
      <c r="E77" s="702">
        <f>'NUoS (t)'!G98</f>
        <v>835.62</v>
      </c>
      <c r="F77" s="703">
        <f>'NUoS (t)'!H98</f>
        <v>1.35E-2</v>
      </c>
      <c r="G77" s="711"/>
      <c r="H77" s="711"/>
      <c r="I77" s="712"/>
      <c r="J77" s="703">
        <f>'NUoS (t)'!S98</f>
        <v>0.1497</v>
      </c>
      <c r="K77" s="702">
        <f>'NUoS (t)'!T98</f>
        <v>7.3999999999999996E-2</v>
      </c>
      <c r="L77" s="713"/>
      <c r="M77" s="711"/>
      <c r="N77" s="712"/>
      <c r="O77" s="713"/>
      <c r="P77" s="711"/>
      <c r="Q77" s="713"/>
      <c r="R77" s="711"/>
      <c r="S77" s="711"/>
      <c r="T77" s="714"/>
      <c r="V77" s="668" t="s">
        <v>119</v>
      </c>
      <c r="W77" s="669"/>
      <c r="X77" s="671" t="s">
        <v>118</v>
      </c>
      <c r="Y77" s="702">
        <f>'DUoS (t)'!G98</f>
        <v>835.62</v>
      </c>
      <c r="Z77" s="703">
        <f>'DUoS (t)'!H98</f>
        <v>4.4000000000000003E-3</v>
      </c>
      <c r="AA77" s="711"/>
      <c r="AB77" s="711"/>
      <c r="AC77" s="712"/>
      <c r="AD77" s="703">
        <f>'DUoS (t)'!S98</f>
        <v>4.1399999999999999E-2</v>
      </c>
      <c r="AE77" s="702">
        <f>'DUoS (t)'!T98</f>
        <v>7.3999999999999996E-2</v>
      </c>
      <c r="AF77" s="713"/>
      <c r="AG77" s="711"/>
      <c r="AH77" s="712"/>
      <c r="AI77" s="713"/>
      <c r="AJ77" s="711"/>
      <c r="AK77" s="713"/>
      <c r="AL77" s="711"/>
      <c r="AM77" s="711"/>
      <c r="AN77" s="714"/>
      <c r="AP77" s="668" t="s">
        <v>119</v>
      </c>
      <c r="AQ77" s="669"/>
      <c r="AR77" s="671" t="s">
        <v>118</v>
      </c>
      <c r="AS77" s="702">
        <f>'TUoS (t)'!G98</f>
        <v>0</v>
      </c>
      <c r="AT77" s="703">
        <f>'TUoS (t)'!H98</f>
        <v>8.2000000000000007E-3</v>
      </c>
      <c r="AU77" s="711"/>
      <c r="AV77" s="711"/>
      <c r="AW77" s="712"/>
      <c r="AX77" s="703">
        <f>'TUoS (t)'!S98</f>
        <v>0.10829999999999999</v>
      </c>
      <c r="AY77" s="702">
        <f>'TUoS (t)'!T98</f>
        <v>0</v>
      </c>
      <c r="AZ77" s="713"/>
      <c r="BA77" s="711"/>
      <c r="BB77" s="712"/>
      <c r="BC77" s="713"/>
      <c r="BD77" s="711"/>
      <c r="BE77" s="713"/>
      <c r="BF77" s="711"/>
      <c r="BG77" s="711"/>
      <c r="BH77" s="714"/>
      <c r="BJ77" s="668" t="s">
        <v>119</v>
      </c>
      <c r="BK77" s="669"/>
      <c r="BL77" s="671" t="s">
        <v>118</v>
      </c>
      <c r="BM77" s="702">
        <f>'JSO (t)'!G98</f>
        <v>0</v>
      </c>
      <c r="BN77" s="703">
        <f>'JSO (t)'!H98</f>
        <v>8.9999999999999998E-4</v>
      </c>
      <c r="BO77" s="711"/>
      <c r="BP77" s="711"/>
      <c r="BQ77" s="712"/>
      <c r="BR77" s="703">
        <f>'JSO (t)'!S98</f>
        <v>0</v>
      </c>
      <c r="BS77" s="702">
        <f>'JSO (t)'!T98</f>
        <v>0</v>
      </c>
      <c r="BT77" s="713"/>
      <c r="BU77" s="711"/>
      <c r="BV77" s="712"/>
      <c r="BW77" s="713"/>
      <c r="BX77" s="711"/>
      <c r="BY77" s="713"/>
      <c r="BZ77" s="711"/>
      <c r="CA77" s="711"/>
      <c r="CB77" s="714"/>
    </row>
    <row r="78" spans="2:80" ht="15" customHeight="1" x14ac:dyDescent="0.2">
      <c r="B78" s="790" t="s">
        <v>120</v>
      </c>
      <c r="C78" s="791"/>
      <c r="D78" s="804" t="s">
        <v>118</v>
      </c>
      <c r="E78" s="709">
        <f>'NUoS (t)'!G99</f>
        <v>0</v>
      </c>
      <c r="F78" s="792">
        <f>'NUoS (t)'!H99</f>
        <v>1.35E-2</v>
      </c>
      <c r="G78" s="716"/>
      <c r="H78" s="716"/>
      <c r="I78" s="717"/>
      <c r="J78" s="792">
        <f>'NUoS (t)'!S99</f>
        <v>0.1497</v>
      </c>
      <c r="K78" s="709">
        <f>'NUoS (t)'!T99</f>
        <v>7.3999999999999996E-2</v>
      </c>
      <c r="L78" s="715"/>
      <c r="M78" s="716"/>
      <c r="N78" s="717"/>
      <c r="O78" s="715"/>
      <c r="P78" s="716"/>
      <c r="Q78" s="715"/>
      <c r="R78" s="716"/>
      <c r="S78" s="716"/>
      <c r="T78" s="718"/>
      <c r="V78" s="790" t="s">
        <v>120</v>
      </c>
      <c r="W78" s="791"/>
      <c r="X78" s="804" t="s">
        <v>118</v>
      </c>
      <c r="Y78" s="709">
        <f>'DUoS (t)'!G99</f>
        <v>0</v>
      </c>
      <c r="Z78" s="792">
        <f>'DUoS (t)'!H99</f>
        <v>4.4000000000000003E-3</v>
      </c>
      <c r="AA78" s="716"/>
      <c r="AB78" s="716"/>
      <c r="AC78" s="717"/>
      <c r="AD78" s="792">
        <f>'DUoS (t)'!S99</f>
        <v>4.1399999999999999E-2</v>
      </c>
      <c r="AE78" s="709">
        <f>'DUoS (t)'!T99</f>
        <v>7.3999999999999996E-2</v>
      </c>
      <c r="AF78" s="715"/>
      <c r="AG78" s="716"/>
      <c r="AH78" s="717"/>
      <c r="AI78" s="715"/>
      <c r="AJ78" s="716"/>
      <c r="AK78" s="715"/>
      <c r="AL78" s="716"/>
      <c r="AM78" s="716"/>
      <c r="AN78" s="718"/>
      <c r="AP78" s="790" t="s">
        <v>120</v>
      </c>
      <c r="AQ78" s="791"/>
      <c r="AR78" s="804" t="s">
        <v>118</v>
      </c>
      <c r="AS78" s="709">
        <f>'TUoS (t)'!G99</f>
        <v>0</v>
      </c>
      <c r="AT78" s="792">
        <f>'TUoS (t)'!H99</f>
        <v>8.2000000000000007E-3</v>
      </c>
      <c r="AU78" s="716"/>
      <c r="AV78" s="716"/>
      <c r="AW78" s="717"/>
      <c r="AX78" s="792">
        <f>'TUoS (t)'!S99</f>
        <v>0.10829999999999999</v>
      </c>
      <c r="AY78" s="709">
        <f>'TUoS (t)'!T99</f>
        <v>0</v>
      </c>
      <c r="AZ78" s="715"/>
      <c r="BA78" s="716"/>
      <c r="BB78" s="717"/>
      <c r="BC78" s="715"/>
      <c r="BD78" s="716"/>
      <c r="BE78" s="715"/>
      <c r="BF78" s="716"/>
      <c r="BG78" s="716"/>
      <c r="BH78" s="718"/>
      <c r="BJ78" s="790" t="s">
        <v>120</v>
      </c>
      <c r="BK78" s="791"/>
      <c r="BL78" s="804" t="s">
        <v>118</v>
      </c>
      <c r="BM78" s="709">
        <f>'JSO (t)'!G99</f>
        <v>0</v>
      </c>
      <c r="BN78" s="792">
        <f>'JSO (t)'!H99</f>
        <v>8.9999999999999998E-4</v>
      </c>
      <c r="BO78" s="716"/>
      <c r="BP78" s="716"/>
      <c r="BQ78" s="717"/>
      <c r="BR78" s="792">
        <f>'JSO (t)'!S99</f>
        <v>0</v>
      </c>
      <c r="BS78" s="709">
        <f>'JSO (t)'!T99</f>
        <v>0</v>
      </c>
      <c r="BT78" s="715"/>
      <c r="BU78" s="716"/>
      <c r="BV78" s="717"/>
      <c r="BW78" s="715"/>
      <c r="BX78" s="716"/>
      <c r="BY78" s="715"/>
      <c r="BZ78" s="716"/>
      <c r="CA78" s="716"/>
      <c r="CB78" s="718"/>
    </row>
    <row r="79" spans="2:80" ht="15" customHeight="1" x14ac:dyDescent="0.2">
      <c r="B79" s="790" t="s">
        <v>121</v>
      </c>
      <c r="C79" s="791"/>
      <c r="D79" s="804" t="s">
        <v>118</v>
      </c>
      <c r="E79" s="709">
        <f>'NUoS (t)'!G100</f>
        <v>1223.8400000000001</v>
      </c>
      <c r="F79" s="792">
        <f>'NUoS (t)'!H100</f>
        <v>5.3E-3</v>
      </c>
      <c r="G79" s="716"/>
      <c r="H79" s="716"/>
      <c r="I79" s="717"/>
      <c r="J79" s="792">
        <f>'NUoS (t)'!S100</f>
        <v>4.1399999999999999E-2</v>
      </c>
      <c r="K79" s="709">
        <f>'NUoS (t)'!T100</f>
        <v>7.3999999999999996E-2</v>
      </c>
      <c r="L79" s="715"/>
      <c r="M79" s="716"/>
      <c r="N79" s="717"/>
      <c r="O79" s="715"/>
      <c r="P79" s="716"/>
      <c r="Q79" s="715"/>
      <c r="R79" s="716"/>
      <c r="S79" s="716"/>
      <c r="T79" s="718"/>
      <c r="V79" s="790" t="s">
        <v>121</v>
      </c>
      <c r="W79" s="791"/>
      <c r="X79" s="804" t="s">
        <v>118</v>
      </c>
      <c r="Y79" s="709">
        <f>'DUoS (t)'!G100</f>
        <v>295.24</v>
      </c>
      <c r="Z79" s="792">
        <f>'DUoS (t)'!H100</f>
        <v>4.4000000000000003E-3</v>
      </c>
      <c r="AA79" s="716"/>
      <c r="AB79" s="716"/>
      <c r="AC79" s="717"/>
      <c r="AD79" s="792">
        <f>'DUoS (t)'!S100</f>
        <v>4.1399999999999999E-2</v>
      </c>
      <c r="AE79" s="709">
        <f>'DUoS (t)'!T100</f>
        <v>7.3999999999999996E-2</v>
      </c>
      <c r="AF79" s="715"/>
      <c r="AG79" s="716"/>
      <c r="AH79" s="717"/>
      <c r="AI79" s="715"/>
      <c r="AJ79" s="716"/>
      <c r="AK79" s="715"/>
      <c r="AL79" s="716"/>
      <c r="AM79" s="716"/>
      <c r="AN79" s="718"/>
      <c r="AP79" s="790" t="s">
        <v>121</v>
      </c>
      <c r="AQ79" s="791"/>
      <c r="AR79" s="804" t="s">
        <v>118</v>
      </c>
      <c r="AS79" s="709">
        <f>'TUoS (t)'!G100</f>
        <v>928.6</v>
      </c>
      <c r="AT79" s="792">
        <f>'TUoS (t)'!H100</f>
        <v>0</v>
      </c>
      <c r="AU79" s="716"/>
      <c r="AV79" s="716"/>
      <c r="AW79" s="717"/>
      <c r="AX79" s="792">
        <f>'TUoS (t)'!S100</f>
        <v>0</v>
      </c>
      <c r="AY79" s="709">
        <f>'TUoS (t)'!T100</f>
        <v>0</v>
      </c>
      <c r="AZ79" s="715"/>
      <c r="BA79" s="716"/>
      <c r="BB79" s="717"/>
      <c r="BC79" s="715"/>
      <c r="BD79" s="716"/>
      <c r="BE79" s="715"/>
      <c r="BF79" s="716"/>
      <c r="BG79" s="716"/>
      <c r="BH79" s="718"/>
      <c r="BJ79" s="790" t="s">
        <v>121</v>
      </c>
      <c r="BK79" s="791"/>
      <c r="BL79" s="804" t="s">
        <v>118</v>
      </c>
      <c r="BM79" s="709">
        <f>'JSO (t)'!G100</f>
        <v>0</v>
      </c>
      <c r="BN79" s="792">
        <f>'JSO (t)'!H100</f>
        <v>8.9999999999999998E-4</v>
      </c>
      <c r="BO79" s="716"/>
      <c r="BP79" s="716"/>
      <c r="BQ79" s="717"/>
      <c r="BR79" s="792">
        <f>'JSO (t)'!S100</f>
        <v>0</v>
      </c>
      <c r="BS79" s="709">
        <f>'JSO (t)'!T100</f>
        <v>0</v>
      </c>
      <c r="BT79" s="715"/>
      <c r="BU79" s="716"/>
      <c r="BV79" s="717"/>
      <c r="BW79" s="715"/>
      <c r="BX79" s="716"/>
      <c r="BY79" s="715"/>
      <c r="BZ79" s="716"/>
      <c r="CA79" s="716"/>
      <c r="CB79" s="718"/>
    </row>
    <row r="80" spans="2:80" ht="15" customHeight="1" x14ac:dyDescent="0.2">
      <c r="B80" s="663" t="s">
        <v>124</v>
      </c>
      <c r="C80" s="85"/>
      <c r="D80" s="85"/>
      <c r="E80" s="715"/>
      <c r="F80" s="715"/>
      <c r="G80" s="716"/>
      <c r="H80" s="716"/>
      <c r="I80" s="717"/>
      <c r="J80" s="715"/>
      <c r="K80" s="716"/>
      <c r="L80" s="715"/>
      <c r="M80" s="716"/>
      <c r="N80" s="717"/>
      <c r="O80" s="715"/>
      <c r="P80" s="716"/>
      <c r="Q80" s="715"/>
      <c r="R80" s="716"/>
      <c r="S80" s="716"/>
      <c r="T80" s="718"/>
      <c r="V80" s="663" t="s">
        <v>124</v>
      </c>
      <c r="W80" s="85"/>
      <c r="X80" s="85"/>
      <c r="Y80" s="715"/>
      <c r="Z80" s="715"/>
      <c r="AA80" s="716"/>
      <c r="AB80" s="716"/>
      <c r="AC80" s="717"/>
      <c r="AD80" s="715"/>
      <c r="AE80" s="716"/>
      <c r="AF80" s="715"/>
      <c r="AG80" s="716"/>
      <c r="AH80" s="717"/>
      <c r="AI80" s="715"/>
      <c r="AJ80" s="716"/>
      <c r="AK80" s="715"/>
      <c r="AL80" s="716"/>
      <c r="AM80" s="716"/>
      <c r="AN80" s="718"/>
      <c r="AP80" s="663" t="s">
        <v>124</v>
      </c>
      <c r="AQ80" s="85"/>
      <c r="AR80" s="85"/>
      <c r="AS80" s="715"/>
      <c r="AT80" s="715"/>
      <c r="AU80" s="716"/>
      <c r="AV80" s="716"/>
      <c r="AW80" s="717"/>
      <c r="AX80" s="715"/>
      <c r="AY80" s="716"/>
      <c r="AZ80" s="715"/>
      <c r="BA80" s="716"/>
      <c r="BB80" s="717"/>
      <c r="BC80" s="715"/>
      <c r="BD80" s="716"/>
      <c r="BE80" s="715"/>
      <c r="BF80" s="716"/>
      <c r="BG80" s="716"/>
      <c r="BH80" s="718"/>
      <c r="BJ80" s="663" t="s">
        <v>124</v>
      </c>
      <c r="BK80" s="85"/>
      <c r="BL80" s="85"/>
      <c r="BM80" s="715"/>
      <c r="BN80" s="715"/>
      <c r="BO80" s="716"/>
      <c r="BP80" s="716"/>
      <c r="BQ80" s="717"/>
      <c r="BR80" s="715"/>
      <c r="BS80" s="716"/>
      <c r="BT80" s="715"/>
      <c r="BU80" s="716"/>
      <c r="BV80" s="717"/>
      <c r="BW80" s="715"/>
      <c r="BX80" s="716"/>
      <c r="BY80" s="715"/>
      <c r="BZ80" s="716"/>
      <c r="CA80" s="716"/>
      <c r="CB80" s="718"/>
    </row>
    <row r="81" spans="2:80" ht="15" customHeight="1" x14ac:dyDescent="0.2">
      <c r="B81" s="668" t="s">
        <v>125</v>
      </c>
      <c r="C81" s="669"/>
      <c r="D81" s="671" t="s">
        <v>126</v>
      </c>
      <c r="E81" s="702">
        <f>'NUoS (t)'!G102</f>
        <v>3487.2</v>
      </c>
      <c r="F81" s="703">
        <f>'NUoS (t)'!H102</f>
        <v>5.3E-3</v>
      </c>
      <c r="G81" s="711"/>
      <c r="H81" s="711"/>
      <c r="I81" s="712"/>
      <c r="J81" s="703">
        <f>'NUoS (t)'!S102</f>
        <v>4.1399999999999999E-2</v>
      </c>
      <c r="K81" s="702">
        <f>'NUoS (t)'!T102</f>
        <v>7.3999999999999996E-2</v>
      </c>
      <c r="L81" s="713"/>
      <c r="M81" s="711"/>
      <c r="N81" s="712"/>
      <c r="O81" s="713"/>
      <c r="P81" s="711"/>
      <c r="Q81" s="713"/>
      <c r="R81" s="711"/>
      <c r="S81" s="711"/>
      <c r="T81" s="714"/>
      <c r="V81" s="668" t="s">
        <v>125</v>
      </c>
      <c r="W81" s="669"/>
      <c r="X81" s="671" t="s">
        <v>126</v>
      </c>
      <c r="Y81" s="702">
        <f>'DUoS (t)'!G102</f>
        <v>0</v>
      </c>
      <c r="Z81" s="703">
        <f>'DUoS (t)'!H102</f>
        <v>4.4000000000000003E-3</v>
      </c>
      <c r="AA81" s="711"/>
      <c r="AB81" s="711"/>
      <c r="AC81" s="712"/>
      <c r="AD81" s="703">
        <f>'DUoS (t)'!S102</f>
        <v>4.1399999999999999E-2</v>
      </c>
      <c r="AE81" s="702">
        <f>'DUoS (t)'!T102</f>
        <v>7.3999999999999996E-2</v>
      </c>
      <c r="AF81" s="713"/>
      <c r="AG81" s="711"/>
      <c r="AH81" s="712"/>
      <c r="AI81" s="713"/>
      <c r="AJ81" s="711"/>
      <c r="AK81" s="713"/>
      <c r="AL81" s="711"/>
      <c r="AM81" s="711"/>
      <c r="AN81" s="714"/>
      <c r="AP81" s="668" t="s">
        <v>125</v>
      </c>
      <c r="AQ81" s="669"/>
      <c r="AR81" s="671" t="s">
        <v>126</v>
      </c>
      <c r="AS81" s="702">
        <f>'TUoS (t)'!G102</f>
        <v>3487.2</v>
      </c>
      <c r="AT81" s="703">
        <f>'TUoS (t)'!H102</f>
        <v>0</v>
      </c>
      <c r="AU81" s="711"/>
      <c r="AV81" s="711"/>
      <c r="AW81" s="712"/>
      <c r="AX81" s="703">
        <f>'TUoS (t)'!S102</f>
        <v>0</v>
      </c>
      <c r="AY81" s="702">
        <f>'TUoS (t)'!T102</f>
        <v>0</v>
      </c>
      <c r="AZ81" s="713"/>
      <c r="BA81" s="711"/>
      <c r="BB81" s="712"/>
      <c r="BC81" s="713"/>
      <c r="BD81" s="711"/>
      <c r="BE81" s="713"/>
      <c r="BF81" s="711"/>
      <c r="BG81" s="711"/>
      <c r="BH81" s="714"/>
      <c r="BJ81" s="668" t="s">
        <v>125</v>
      </c>
      <c r="BK81" s="669"/>
      <c r="BL81" s="671" t="s">
        <v>126</v>
      </c>
      <c r="BM81" s="702">
        <f>'JSO (t)'!G102</f>
        <v>0</v>
      </c>
      <c r="BN81" s="703">
        <f>'JSO (t)'!H102</f>
        <v>8.9999999999999998E-4</v>
      </c>
      <c r="BO81" s="711"/>
      <c r="BP81" s="711"/>
      <c r="BQ81" s="712"/>
      <c r="BR81" s="703">
        <f>'JSO (t)'!S102</f>
        <v>0</v>
      </c>
      <c r="BS81" s="702">
        <f>'JSO (t)'!T102</f>
        <v>0</v>
      </c>
      <c r="BT81" s="713"/>
      <c r="BU81" s="711"/>
      <c r="BV81" s="712"/>
      <c r="BW81" s="713"/>
      <c r="BX81" s="711"/>
      <c r="BY81" s="713"/>
      <c r="BZ81" s="711"/>
      <c r="CA81" s="711"/>
      <c r="CB81" s="714"/>
    </row>
    <row r="82" spans="2:80" ht="15" customHeight="1" x14ac:dyDescent="0.2">
      <c r="B82" s="668" t="s">
        <v>127</v>
      </c>
      <c r="C82" s="669"/>
      <c r="D82" s="671" t="s">
        <v>126</v>
      </c>
      <c r="E82" s="702">
        <f>'NUoS (t)'!G103</f>
        <v>113.9</v>
      </c>
      <c r="F82" s="703">
        <f>'NUoS (t)'!H103</f>
        <v>5.3E-3</v>
      </c>
      <c r="G82" s="711"/>
      <c r="H82" s="711"/>
      <c r="I82" s="712"/>
      <c r="J82" s="703">
        <f>'NUoS (t)'!S103</f>
        <v>0.2198</v>
      </c>
      <c r="K82" s="702">
        <f>'NUoS (t)'!T103</f>
        <v>7.3999999999999996E-2</v>
      </c>
      <c r="L82" s="713"/>
      <c r="M82" s="711"/>
      <c r="N82" s="712"/>
      <c r="O82" s="713"/>
      <c r="P82" s="711"/>
      <c r="Q82" s="713"/>
      <c r="R82" s="711"/>
      <c r="S82" s="711"/>
      <c r="T82" s="714"/>
      <c r="V82" s="668" t="s">
        <v>127</v>
      </c>
      <c r="W82" s="669"/>
      <c r="X82" s="671" t="s">
        <v>126</v>
      </c>
      <c r="Y82" s="702">
        <f>'DUoS (t)'!G103</f>
        <v>0</v>
      </c>
      <c r="Z82" s="703">
        <f>'DUoS (t)'!H103</f>
        <v>4.4000000000000003E-3</v>
      </c>
      <c r="AA82" s="711"/>
      <c r="AB82" s="711"/>
      <c r="AC82" s="712"/>
      <c r="AD82" s="703">
        <f>'DUoS (t)'!S103</f>
        <v>4.1399999999999999E-2</v>
      </c>
      <c r="AE82" s="702">
        <f>'DUoS (t)'!T103</f>
        <v>7.3999999999999996E-2</v>
      </c>
      <c r="AF82" s="713"/>
      <c r="AG82" s="711"/>
      <c r="AH82" s="712"/>
      <c r="AI82" s="713"/>
      <c r="AJ82" s="711"/>
      <c r="AK82" s="713"/>
      <c r="AL82" s="711"/>
      <c r="AM82" s="711"/>
      <c r="AN82" s="714"/>
      <c r="AP82" s="668" t="s">
        <v>127</v>
      </c>
      <c r="AQ82" s="669"/>
      <c r="AR82" s="671" t="s">
        <v>126</v>
      </c>
      <c r="AS82" s="702">
        <f>'TUoS (t)'!G103</f>
        <v>113.9</v>
      </c>
      <c r="AT82" s="703">
        <f>'TUoS (t)'!H103</f>
        <v>0</v>
      </c>
      <c r="AU82" s="711"/>
      <c r="AV82" s="711"/>
      <c r="AW82" s="712"/>
      <c r="AX82" s="703">
        <f>'TUoS (t)'!S103</f>
        <v>0.1784</v>
      </c>
      <c r="AY82" s="702">
        <f>'TUoS (t)'!T103</f>
        <v>0</v>
      </c>
      <c r="AZ82" s="713"/>
      <c r="BA82" s="711"/>
      <c r="BB82" s="712"/>
      <c r="BC82" s="713"/>
      <c r="BD82" s="711"/>
      <c r="BE82" s="713"/>
      <c r="BF82" s="711"/>
      <c r="BG82" s="711"/>
      <c r="BH82" s="714"/>
      <c r="BJ82" s="668" t="s">
        <v>127</v>
      </c>
      <c r="BK82" s="669"/>
      <c r="BL82" s="671" t="s">
        <v>126</v>
      </c>
      <c r="BM82" s="702">
        <f>'JSO (t)'!G103</f>
        <v>0</v>
      </c>
      <c r="BN82" s="703">
        <f>'JSO (t)'!H103</f>
        <v>8.9999999999999998E-4</v>
      </c>
      <c r="BO82" s="711"/>
      <c r="BP82" s="711"/>
      <c r="BQ82" s="712"/>
      <c r="BR82" s="703">
        <f>'JSO (t)'!S103</f>
        <v>0</v>
      </c>
      <c r="BS82" s="702">
        <f>'JSO (t)'!T103</f>
        <v>0</v>
      </c>
      <c r="BT82" s="713"/>
      <c r="BU82" s="711"/>
      <c r="BV82" s="712"/>
      <c r="BW82" s="713"/>
      <c r="BX82" s="711"/>
      <c r="BY82" s="713"/>
      <c r="BZ82" s="711"/>
      <c r="CA82" s="711"/>
      <c r="CB82" s="714"/>
    </row>
    <row r="83" spans="2:80" ht="15" customHeight="1" x14ac:dyDescent="0.2">
      <c r="B83" s="790" t="s">
        <v>128</v>
      </c>
      <c r="C83" s="791"/>
      <c r="D83" s="804" t="s">
        <v>126</v>
      </c>
      <c r="E83" s="709">
        <f>'NUoS (t)'!G104</f>
        <v>168.9</v>
      </c>
      <c r="F83" s="792">
        <f>'NUoS (t)'!H104</f>
        <v>5.3E-3</v>
      </c>
      <c r="G83" s="716"/>
      <c r="H83" s="716"/>
      <c r="I83" s="717"/>
      <c r="J83" s="792">
        <f>'NUoS (t)'!S104</f>
        <v>0.26180000000000003</v>
      </c>
      <c r="K83" s="709">
        <f>'NUoS (t)'!T104</f>
        <v>7.3999999999999996E-2</v>
      </c>
      <c r="L83" s="715"/>
      <c r="M83" s="716"/>
      <c r="N83" s="717"/>
      <c r="O83" s="715"/>
      <c r="P83" s="716"/>
      <c r="Q83" s="715"/>
      <c r="R83" s="716"/>
      <c r="S83" s="716"/>
      <c r="T83" s="718"/>
      <c r="V83" s="790" t="s">
        <v>128</v>
      </c>
      <c r="W83" s="791"/>
      <c r="X83" s="804" t="s">
        <v>126</v>
      </c>
      <c r="Y83" s="709">
        <f>'DUoS (t)'!G104</f>
        <v>0</v>
      </c>
      <c r="Z83" s="792">
        <f>'DUoS (t)'!H104</f>
        <v>4.4000000000000003E-3</v>
      </c>
      <c r="AA83" s="716"/>
      <c r="AB83" s="716"/>
      <c r="AC83" s="717"/>
      <c r="AD83" s="792">
        <f>'DUoS (t)'!S104</f>
        <v>4.1399999999999999E-2</v>
      </c>
      <c r="AE83" s="709">
        <f>'DUoS (t)'!T104</f>
        <v>7.3999999999999996E-2</v>
      </c>
      <c r="AF83" s="715"/>
      <c r="AG83" s="716"/>
      <c r="AH83" s="717"/>
      <c r="AI83" s="715"/>
      <c r="AJ83" s="716"/>
      <c r="AK83" s="715"/>
      <c r="AL83" s="716"/>
      <c r="AM83" s="716"/>
      <c r="AN83" s="718"/>
      <c r="AP83" s="790" t="s">
        <v>128</v>
      </c>
      <c r="AQ83" s="791"/>
      <c r="AR83" s="804" t="s">
        <v>126</v>
      </c>
      <c r="AS83" s="709">
        <f>'TUoS (t)'!G104</f>
        <v>168.9</v>
      </c>
      <c r="AT83" s="792">
        <f>'TUoS (t)'!H104</f>
        <v>0</v>
      </c>
      <c r="AU83" s="716"/>
      <c r="AV83" s="716"/>
      <c r="AW83" s="717"/>
      <c r="AX83" s="792">
        <f>'TUoS (t)'!S104</f>
        <v>0.22040000000000001</v>
      </c>
      <c r="AY83" s="709">
        <f>'TUoS (t)'!T104</f>
        <v>0</v>
      </c>
      <c r="AZ83" s="715"/>
      <c r="BA83" s="716"/>
      <c r="BB83" s="717"/>
      <c r="BC83" s="715"/>
      <c r="BD83" s="716"/>
      <c r="BE83" s="715"/>
      <c r="BF83" s="716"/>
      <c r="BG83" s="716"/>
      <c r="BH83" s="718"/>
      <c r="BJ83" s="790" t="s">
        <v>128</v>
      </c>
      <c r="BK83" s="791"/>
      <c r="BL83" s="804" t="s">
        <v>126</v>
      </c>
      <c r="BM83" s="709">
        <f>'JSO (t)'!G104</f>
        <v>0</v>
      </c>
      <c r="BN83" s="792">
        <f>'JSO (t)'!H104</f>
        <v>8.9999999999999998E-4</v>
      </c>
      <c r="BO83" s="716"/>
      <c r="BP83" s="716"/>
      <c r="BQ83" s="717"/>
      <c r="BR83" s="792">
        <f>'JSO (t)'!S104</f>
        <v>0</v>
      </c>
      <c r="BS83" s="709">
        <f>'JSO (t)'!T104</f>
        <v>0</v>
      </c>
      <c r="BT83" s="715"/>
      <c r="BU83" s="716"/>
      <c r="BV83" s="717"/>
      <c r="BW83" s="715"/>
      <c r="BX83" s="716"/>
      <c r="BY83" s="715"/>
      <c r="BZ83" s="716"/>
      <c r="CA83" s="716"/>
      <c r="CB83" s="718"/>
    </row>
    <row r="84" spans="2:80" ht="15" customHeight="1" x14ac:dyDescent="0.2">
      <c r="B84" s="790"/>
      <c r="C84" s="791" t="s">
        <v>129</v>
      </c>
      <c r="D84" s="804" t="s">
        <v>126</v>
      </c>
      <c r="E84" s="709">
        <f>'NUoS (t)'!G105</f>
        <v>150.5</v>
      </c>
      <c r="F84" s="792">
        <f>'NUoS (t)'!H105</f>
        <v>5.3E-3</v>
      </c>
      <c r="G84" s="716"/>
      <c r="H84" s="716"/>
      <c r="I84" s="717"/>
      <c r="J84" s="792">
        <f>'NUoS (t)'!S105</f>
        <v>0.25530000000000003</v>
      </c>
      <c r="K84" s="709">
        <f>'NUoS (t)'!T105</f>
        <v>7.3999999999999996E-2</v>
      </c>
      <c r="L84" s="715"/>
      <c r="M84" s="716"/>
      <c r="N84" s="717"/>
      <c r="O84" s="715"/>
      <c r="P84" s="716"/>
      <c r="Q84" s="715"/>
      <c r="R84" s="716"/>
      <c r="S84" s="716"/>
      <c r="T84" s="718"/>
      <c r="V84" s="790"/>
      <c r="W84" s="791" t="s">
        <v>129</v>
      </c>
      <c r="X84" s="804" t="s">
        <v>126</v>
      </c>
      <c r="Y84" s="709">
        <f>'DUoS (t)'!G105</f>
        <v>0</v>
      </c>
      <c r="Z84" s="792">
        <f>'DUoS (t)'!H105</f>
        <v>4.4000000000000003E-3</v>
      </c>
      <c r="AA84" s="716"/>
      <c r="AB84" s="716"/>
      <c r="AC84" s="717"/>
      <c r="AD84" s="792">
        <f>'DUoS (t)'!S105</f>
        <v>4.1399999999999999E-2</v>
      </c>
      <c r="AE84" s="709">
        <f>'DUoS (t)'!T105</f>
        <v>7.3999999999999996E-2</v>
      </c>
      <c r="AF84" s="715"/>
      <c r="AG84" s="716"/>
      <c r="AH84" s="717"/>
      <c r="AI84" s="715"/>
      <c r="AJ84" s="716"/>
      <c r="AK84" s="715"/>
      <c r="AL84" s="716"/>
      <c r="AM84" s="716"/>
      <c r="AN84" s="718"/>
      <c r="AP84" s="790"/>
      <c r="AQ84" s="791" t="s">
        <v>129</v>
      </c>
      <c r="AR84" s="804" t="s">
        <v>126</v>
      </c>
      <c r="AS84" s="709">
        <f>'TUoS (t)'!G105</f>
        <v>150.5</v>
      </c>
      <c r="AT84" s="792">
        <f>'TUoS (t)'!H105</f>
        <v>0</v>
      </c>
      <c r="AU84" s="716"/>
      <c r="AV84" s="716"/>
      <c r="AW84" s="717"/>
      <c r="AX84" s="792">
        <f>'TUoS (t)'!S105</f>
        <v>0.21390000000000001</v>
      </c>
      <c r="AY84" s="709">
        <f>'TUoS (t)'!T105</f>
        <v>0</v>
      </c>
      <c r="AZ84" s="715"/>
      <c r="BA84" s="716"/>
      <c r="BB84" s="717"/>
      <c r="BC84" s="715"/>
      <c r="BD84" s="716"/>
      <c r="BE84" s="715"/>
      <c r="BF84" s="716"/>
      <c r="BG84" s="716"/>
      <c r="BH84" s="718"/>
      <c r="BJ84" s="790"/>
      <c r="BK84" s="791" t="s">
        <v>129</v>
      </c>
      <c r="BL84" s="804" t="s">
        <v>126</v>
      </c>
      <c r="BM84" s="709">
        <f>'JSO (t)'!G105</f>
        <v>0</v>
      </c>
      <c r="BN84" s="792">
        <f>'JSO (t)'!H105</f>
        <v>8.9999999999999998E-4</v>
      </c>
      <c r="BO84" s="716"/>
      <c r="BP84" s="716"/>
      <c r="BQ84" s="717"/>
      <c r="BR84" s="792">
        <f>'JSO (t)'!S105</f>
        <v>0</v>
      </c>
      <c r="BS84" s="709">
        <f>'JSO (t)'!T105</f>
        <v>0</v>
      </c>
      <c r="BT84" s="715"/>
      <c r="BU84" s="716"/>
      <c r="BV84" s="717"/>
      <c r="BW84" s="715"/>
      <c r="BX84" s="716"/>
      <c r="BY84" s="715"/>
      <c r="BZ84" s="716"/>
      <c r="CA84" s="716"/>
      <c r="CB84" s="718"/>
    </row>
    <row r="85" spans="2:80" ht="15" customHeight="1" x14ac:dyDescent="0.2">
      <c r="B85" s="668" t="s">
        <v>582</v>
      </c>
      <c r="C85" s="669"/>
      <c r="D85" s="671" t="s">
        <v>126</v>
      </c>
      <c r="E85" s="702">
        <f>'NUoS (t)'!G106</f>
        <v>0</v>
      </c>
      <c r="F85" s="703">
        <f>'NUoS (t)'!H106</f>
        <v>1.35E-2</v>
      </c>
      <c r="G85" s="711"/>
      <c r="H85" s="711"/>
      <c r="I85" s="712"/>
      <c r="J85" s="703">
        <f>'NUoS (t)'!S106</f>
        <v>0.1497</v>
      </c>
      <c r="K85" s="702">
        <f>'NUoS (t)'!T106</f>
        <v>7.3999999999999996E-2</v>
      </c>
      <c r="L85" s="713"/>
      <c r="M85" s="711"/>
      <c r="N85" s="712"/>
      <c r="O85" s="713"/>
      <c r="P85" s="711"/>
      <c r="Q85" s="713"/>
      <c r="R85" s="711"/>
      <c r="S85" s="711"/>
      <c r="T85" s="714"/>
      <c r="V85" s="668" t="s">
        <v>582</v>
      </c>
      <c r="W85" s="669"/>
      <c r="X85" s="671" t="s">
        <v>126</v>
      </c>
      <c r="Y85" s="702">
        <f>'DUoS (t)'!G106</f>
        <v>0</v>
      </c>
      <c r="Z85" s="703">
        <f>'DUoS (t)'!H106</f>
        <v>4.4000000000000003E-3</v>
      </c>
      <c r="AA85" s="711"/>
      <c r="AB85" s="711"/>
      <c r="AC85" s="712"/>
      <c r="AD85" s="703">
        <f>'DUoS (t)'!S106</f>
        <v>4.1399999999999999E-2</v>
      </c>
      <c r="AE85" s="702">
        <f>'DUoS (t)'!T106</f>
        <v>7.3999999999999996E-2</v>
      </c>
      <c r="AF85" s="713"/>
      <c r="AG85" s="711"/>
      <c r="AH85" s="712"/>
      <c r="AI85" s="713"/>
      <c r="AJ85" s="711"/>
      <c r="AK85" s="713"/>
      <c r="AL85" s="711"/>
      <c r="AM85" s="711"/>
      <c r="AN85" s="714"/>
      <c r="AP85" s="668" t="s">
        <v>582</v>
      </c>
      <c r="AQ85" s="669"/>
      <c r="AR85" s="671" t="s">
        <v>126</v>
      </c>
      <c r="AS85" s="702">
        <f>'TUoS (t)'!G106</f>
        <v>0</v>
      </c>
      <c r="AT85" s="703">
        <f>'TUoS (t)'!H106</f>
        <v>8.2000000000000007E-3</v>
      </c>
      <c r="AU85" s="711"/>
      <c r="AV85" s="711"/>
      <c r="AW85" s="712"/>
      <c r="AX85" s="703">
        <f>'TUoS (t)'!S106</f>
        <v>0.10829999999999999</v>
      </c>
      <c r="AY85" s="702">
        <f>'TUoS (t)'!T106</f>
        <v>0</v>
      </c>
      <c r="AZ85" s="713"/>
      <c r="BA85" s="711"/>
      <c r="BB85" s="712"/>
      <c r="BC85" s="713"/>
      <c r="BD85" s="711"/>
      <c r="BE85" s="713"/>
      <c r="BF85" s="711"/>
      <c r="BG85" s="711"/>
      <c r="BH85" s="714"/>
      <c r="BJ85" s="668" t="s">
        <v>582</v>
      </c>
      <c r="BK85" s="669"/>
      <c r="BL85" s="671" t="s">
        <v>126</v>
      </c>
      <c r="BM85" s="702">
        <f>'JSO (t)'!G106</f>
        <v>0</v>
      </c>
      <c r="BN85" s="703">
        <f>'JSO (t)'!H106</f>
        <v>8.9999999999999998E-4</v>
      </c>
      <c r="BO85" s="711"/>
      <c r="BP85" s="711"/>
      <c r="BQ85" s="712"/>
      <c r="BR85" s="703">
        <f>'JSO (t)'!S106</f>
        <v>0</v>
      </c>
      <c r="BS85" s="702">
        <f>'JSO (t)'!T106</f>
        <v>0</v>
      </c>
      <c r="BT85" s="713"/>
      <c r="BU85" s="711"/>
      <c r="BV85" s="712"/>
      <c r="BW85" s="713"/>
      <c r="BX85" s="711"/>
      <c r="BY85" s="713"/>
      <c r="BZ85" s="711"/>
      <c r="CA85" s="711"/>
      <c r="CB85" s="714"/>
    </row>
    <row r="86" spans="2:80" ht="15" customHeight="1" x14ac:dyDescent="0.2">
      <c r="B86" s="668" t="s">
        <v>583</v>
      </c>
      <c r="C86" s="669"/>
      <c r="D86" s="671" t="s">
        <v>126</v>
      </c>
      <c r="E86" s="702">
        <f>'NUoS (t)'!G107</f>
        <v>0</v>
      </c>
      <c r="F86" s="703">
        <f>'NUoS (t)'!H107</f>
        <v>1.35E-2</v>
      </c>
      <c r="G86" s="711"/>
      <c r="H86" s="711"/>
      <c r="I86" s="712"/>
      <c r="J86" s="703">
        <f>'NUoS (t)'!S107</f>
        <v>0.1497</v>
      </c>
      <c r="K86" s="702">
        <f>'NUoS (t)'!T107</f>
        <v>7.3999999999999996E-2</v>
      </c>
      <c r="L86" s="713"/>
      <c r="M86" s="711"/>
      <c r="N86" s="712"/>
      <c r="O86" s="713"/>
      <c r="P86" s="711"/>
      <c r="Q86" s="713"/>
      <c r="R86" s="711"/>
      <c r="S86" s="711"/>
      <c r="T86" s="714"/>
      <c r="V86" s="668" t="s">
        <v>583</v>
      </c>
      <c r="W86" s="669"/>
      <c r="X86" s="671" t="s">
        <v>126</v>
      </c>
      <c r="Y86" s="702">
        <f>'DUoS (t)'!G107</f>
        <v>0</v>
      </c>
      <c r="Z86" s="703">
        <f>'DUoS (t)'!H107</f>
        <v>4.4000000000000003E-3</v>
      </c>
      <c r="AA86" s="711"/>
      <c r="AB86" s="711"/>
      <c r="AC86" s="712"/>
      <c r="AD86" s="703">
        <f>'DUoS (t)'!S107</f>
        <v>4.1399999999999999E-2</v>
      </c>
      <c r="AE86" s="702">
        <f>'DUoS (t)'!T107</f>
        <v>7.3999999999999996E-2</v>
      </c>
      <c r="AF86" s="713"/>
      <c r="AG86" s="711"/>
      <c r="AH86" s="712"/>
      <c r="AI86" s="713"/>
      <c r="AJ86" s="711"/>
      <c r="AK86" s="713"/>
      <c r="AL86" s="711"/>
      <c r="AM86" s="711"/>
      <c r="AN86" s="714"/>
      <c r="AP86" s="668" t="s">
        <v>583</v>
      </c>
      <c r="AQ86" s="669"/>
      <c r="AR86" s="671" t="s">
        <v>126</v>
      </c>
      <c r="AS86" s="702">
        <f>'TUoS (t)'!G107</f>
        <v>0</v>
      </c>
      <c r="AT86" s="703">
        <f>'TUoS (t)'!H107</f>
        <v>8.2000000000000007E-3</v>
      </c>
      <c r="AU86" s="711"/>
      <c r="AV86" s="711"/>
      <c r="AW86" s="712"/>
      <c r="AX86" s="703">
        <f>'TUoS (t)'!S107</f>
        <v>0.10829999999999999</v>
      </c>
      <c r="AY86" s="702">
        <f>'TUoS (t)'!T107</f>
        <v>0</v>
      </c>
      <c r="AZ86" s="713"/>
      <c r="BA86" s="711"/>
      <c r="BB86" s="712"/>
      <c r="BC86" s="713"/>
      <c r="BD86" s="711"/>
      <c r="BE86" s="713"/>
      <c r="BF86" s="711"/>
      <c r="BG86" s="711"/>
      <c r="BH86" s="714"/>
      <c r="BJ86" s="668" t="s">
        <v>583</v>
      </c>
      <c r="BK86" s="669"/>
      <c r="BL86" s="671" t="s">
        <v>126</v>
      </c>
      <c r="BM86" s="702">
        <f>'JSO (t)'!G107</f>
        <v>0</v>
      </c>
      <c r="BN86" s="703">
        <f>'JSO (t)'!H107</f>
        <v>8.9999999999999998E-4</v>
      </c>
      <c r="BO86" s="711"/>
      <c r="BP86" s="711"/>
      <c r="BQ86" s="712"/>
      <c r="BR86" s="703">
        <f>'JSO (t)'!S107</f>
        <v>0</v>
      </c>
      <c r="BS86" s="702">
        <f>'JSO (t)'!T107</f>
        <v>0</v>
      </c>
      <c r="BT86" s="713"/>
      <c r="BU86" s="711"/>
      <c r="BV86" s="712"/>
      <c r="BW86" s="713"/>
      <c r="BX86" s="711"/>
      <c r="BY86" s="713"/>
      <c r="BZ86" s="711"/>
      <c r="CA86" s="711"/>
      <c r="CB86" s="714"/>
    </row>
    <row r="87" spans="2:80" ht="15" customHeight="1" x14ac:dyDescent="0.2">
      <c r="B87" s="790" t="s">
        <v>578</v>
      </c>
      <c r="C87" s="791"/>
      <c r="D87" s="804" t="s">
        <v>126</v>
      </c>
      <c r="E87" s="709">
        <f>'NUoS (t)'!G108</f>
        <v>308.88</v>
      </c>
      <c r="F87" s="792">
        <f>'NUoS (t)'!H108</f>
        <v>5.3E-3</v>
      </c>
      <c r="G87" s="716"/>
      <c r="H87" s="716"/>
      <c r="I87" s="717"/>
      <c r="J87" s="792">
        <f>'NUoS (t)'!S108</f>
        <v>4.1399999999999999E-2</v>
      </c>
      <c r="K87" s="709">
        <f>'NUoS (t)'!T108</f>
        <v>7.3999999999999996E-2</v>
      </c>
      <c r="L87" s="715"/>
      <c r="M87" s="716"/>
      <c r="N87" s="717"/>
      <c r="O87" s="715"/>
      <c r="P87" s="716"/>
      <c r="Q87" s="715"/>
      <c r="R87" s="716"/>
      <c r="S87" s="716"/>
      <c r="T87" s="718"/>
      <c r="V87" s="790" t="s">
        <v>578</v>
      </c>
      <c r="W87" s="791"/>
      <c r="X87" s="804" t="s">
        <v>126</v>
      </c>
      <c r="Y87" s="709">
        <f>'DUoS (t)'!G108</f>
        <v>0</v>
      </c>
      <c r="Z87" s="792">
        <f>'DUoS (t)'!H108</f>
        <v>4.4000000000000003E-3</v>
      </c>
      <c r="AA87" s="716"/>
      <c r="AB87" s="716"/>
      <c r="AC87" s="717"/>
      <c r="AD87" s="792">
        <f>'DUoS (t)'!S108</f>
        <v>4.1399999999999999E-2</v>
      </c>
      <c r="AE87" s="709">
        <f>'DUoS (t)'!T108</f>
        <v>7.3999999999999996E-2</v>
      </c>
      <c r="AF87" s="715"/>
      <c r="AG87" s="716"/>
      <c r="AH87" s="717"/>
      <c r="AI87" s="715"/>
      <c r="AJ87" s="716"/>
      <c r="AK87" s="715"/>
      <c r="AL87" s="716"/>
      <c r="AM87" s="716"/>
      <c r="AN87" s="718"/>
      <c r="AP87" s="790" t="s">
        <v>578</v>
      </c>
      <c r="AQ87" s="791"/>
      <c r="AR87" s="804" t="s">
        <v>126</v>
      </c>
      <c r="AS87" s="709">
        <f>'TUoS (t)'!G108</f>
        <v>308.88</v>
      </c>
      <c r="AT87" s="792">
        <f>'TUoS (t)'!H108</f>
        <v>0</v>
      </c>
      <c r="AU87" s="716"/>
      <c r="AV87" s="716"/>
      <c r="AW87" s="717"/>
      <c r="AX87" s="792">
        <f>'TUoS (t)'!S108</f>
        <v>0</v>
      </c>
      <c r="AY87" s="709">
        <f>'TUoS (t)'!T108</f>
        <v>0</v>
      </c>
      <c r="AZ87" s="715"/>
      <c r="BA87" s="716"/>
      <c r="BB87" s="717"/>
      <c r="BC87" s="715"/>
      <c r="BD87" s="716"/>
      <c r="BE87" s="715"/>
      <c r="BF87" s="716"/>
      <c r="BG87" s="716"/>
      <c r="BH87" s="718"/>
      <c r="BJ87" s="790" t="s">
        <v>578</v>
      </c>
      <c r="BK87" s="791"/>
      <c r="BL87" s="804" t="s">
        <v>126</v>
      </c>
      <c r="BM87" s="709">
        <f>'JSO (t)'!G108</f>
        <v>0</v>
      </c>
      <c r="BN87" s="792">
        <f>'JSO (t)'!H108</f>
        <v>8.9999999999999998E-4</v>
      </c>
      <c r="BO87" s="716"/>
      <c r="BP87" s="716"/>
      <c r="BQ87" s="717"/>
      <c r="BR87" s="792">
        <f>'JSO (t)'!S108</f>
        <v>0</v>
      </c>
      <c r="BS87" s="709">
        <f>'JSO (t)'!T108</f>
        <v>0</v>
      </c>
      <c r="BT87" s="715"/>
      <c r="BU87" s="716"/>
      <c r="BV87" s="717"/>
      <c r="BW87" s="715"/>
      <c r="BX87" s="716"/>
      <c r="BY87" s="715"/>
      <c r="BZ87" s="716"/>
      <c r="CA87" s="716"/>
      <c r="CB87" s="718"/>
    </row>
    <row r="88" spans="2:80" ht="15" customHeight="1" x14ac:dyDescent="0.2">
      <c r="B88" s="790" t="s">
        <v>130</v>
      </c>
      <c r="C88" s="791"/>
      <c r="D88" s="804" t="s">
        <v>126</v>
      </c>
      <c r="E88" s="709">
        <f>'NUoS (t)'!G109</f>
        <v>2406.08</v>
      </c>
      <c r="F88" s="792">
        <f>'NUoS (t)'!H109</f>
        <v>5.3E-3</v>
      </c>
      <c r="G88" s="716"/>
      <c r="H88" s="716"/>
      <c r="I88" s="717"/>
      <c r="J88" s="792">
        <f>'NUoS (t)'!S109</f>
        <v>4.1399999999999999E-2</v>
      </c>
      <c r="K88" s="709">
        <f>'NUoS (t)'!T109</f>
        <v>7.3999999999999996E-2</v>
      </c>
      <c r="L88" s="715"/>
      <c r="M88" s="716"/>
      <c r="N88" s="717"/>
      <c r="O88" s="715"/>
      <c r="P88" s="716"/>
      <c r="Q88" s="715"/>
      <c r="R88" s="716"/>
      <c r="S88" s="716"/>
      <c r="T88" s="718"/>
      <c r="V88" s="790" t="s">
        <v>130</v>
      </c>
      <c r="W88" s="791"/>
      <c r="X88" s="804" t="s">
        <v>126</v>
      </c>
      <c r="Y88" s="709">
        <f>'DUoS (t)'!G109</f>
        <v>0</v>
      </c>
      <c r="Z88" s="792">
        <f>'DUoS (t)'!H109</f>
        <v>4.4000000000000003E-3</v>
      </c>
      <c r="AA88" s="716"/>
      <c r="AB88" s="716"/>
      <c r="AC88" s="717"/>
      <c r="AD88" s="792">
        <f>'DUoS (t)'!S109</f>
        <v>4.1399999999999999E-2</v>
      </c>
      <c r="AE88" s="709">
        <f>'DUoS (t)'!T109</f>
        <v>7.3999999999999996E-2</v>
      </c>
      <c r="AF88" s="715"/>
      <c r="AG88" s="716"/>
      <c r="AH88" s="717"/>
      <c r="AI88" s="715"/>
      <c r="AJ88" s="716"/>
      <c r="AK88" s="715"/>
      <c r="AL88" s="716"/>
      <c r="AM88" s="716"/>
      <c r="AN88" s="718"/>
      <c r="AP88" s="790" t="s">
        <v>130</v>
      </c>
      <c r="AQ88" s="791"/>
      <c r="AR88" s="804" t="s">
        <v>126</v>
      </c>
      <c r="AS88" s="709">
        <f>'TUoS (t)'!G109</f>
        <v>2406.08</v>
      </c>
      <c r="AT88" s="792">
        <f>'TUoS (t)'!H109</f>
        <v>0</v>
      </c>
      <c r="AU88" s="716"/>
      <c r="AV88" s="716"/>
      <c r="AW88" s="717"/>
      <c r="AX88" s="792">
        <f>'TUoS (t)'!S109</f>
        <v>0</v>
      </c>
      <c r="AY88" s="709">
        <f>'TUoS (t)'!T109</f>
        <v>0</v>
      </c>
      <c r="AZ88" s="715"/>
      <c r="BA88" s="716"/>
      <c r="BB88" s="717"/>
      <c r="BC88" s="715"/>
      <c r="BD88" s="716"/>
      <c r="BE88" s="715"/>
      <c r="BF88" s="716"/>
      <c r="BG88" s="716"/>
      <c r="BH88" s="718"/>
      <c r="BJ88" s="790" t="s">
        <v>130</v>
      </c>
      <c r="BK88" s="791"/>
      <c r="BL88" s="804" t="s">
        <v>126</v>
      </c>
      <c r="BM88" s="709">
        <f>'JSO (t)'!G109</f>
        <v>0</v>
      </c>
      <c r="BN88" s="792">
        <f>'JSO (t)'!H109</f>
        <v>8.9999999999999998E-4</v>
      </c>
      <c r="BO88" s="716"/>
      <c r="BP88" s="716"/>
      <c r="BQ88" s="717"/>
      <c r="BR88" s="792">
        <f>'JSO (t)'!S109</f>
        <v>0</v>
      </c>
      <c r="BS88" s="709">
        <f>'JSO (t)'!T109</f>
        <v>0</v>
      </c>
      <c r="BT88" s="715"/>
      <c r="BU88" s="716"/>
      <c r="BV88" s="717"/>
      <c r="BW88" s="715"/>
      <c r="BX88" s="716"/>
      <c r="BY88" s="715"/>
      <c r="BZ88" s="716"/>
      <c r="CA88" s="716"/>
      <c r="CB88" s="718"/>
    </row>
    <row r="89" spans="2:80" ht="15" customHeight="1" x14ac:dyDescent="0.2">
      <c r="B89" s="668" t="s">
        <v>131</v>
      </c>
      <c r="C89" s="669"/>
      <c r="D89" s="671" t="s">
        <v>126</v>
      </c>
      <c r="E89" s="702">
        <f>'NUoS (t)'!G110</f>
        <v>118.64000000000001</v>
      </c>
      <c r="F89" s="703">
        <f>'NUoS (t)'!H110</f>
        <v>5.3E-3</v>
      </c>
      <c r="G89" s="711"/>
      <c r="H89" s="711"/>
      <c r="I89" s="712"/>
      <c r="J89" s="703">
        <f>'NUoS (t)'!S110</f>
        <v>0.21989999999999998</v>
      </c>
      <c r="K89" s="702">
        <f>'NUoS (t)'!T110</f>
        <v>7.3999999999999996E-2</v>
      </c>
      <c r="L89" s="713"/>
      <c r="M89" s="711"/>
      <c r="N89" s="712"/>
      <c r="O89" s="713"/>
      <c r="P89" s="711"/>
      <c r="Q89" s="713"/>
      <c r="R89" s="711"/>
      <c r="S89" s="711"/>
      <c r="T89" s="714"/>
      <c r="V89" s="668" t="s">
        <v>131</v>
      </c>
      <c r="W89" s="669"/>
      <c r="X89" s="671" t="s">
        <v>126</v>
      </c>
      <c r="Y89" s="702">
        <f>'DUoS (t)'!G110</f>
        <v>84.04</v>
      </c>
      <c r="Z89" s="703">
        <f>'DUoS (t)'!H110</f>
        <v>4.4000000000000003E-3</v>
      </c>
      <c r="AA89" s="711"/>
      <c r="AB89" s="711"/>
      <c r="AC89" s="712"/>
      <c r="AD89" s="703">
        <f>'DUoS (t)'!S110</f>
        <v>4.1399999999999999E-2</v>
      </c>
      <c r="AE89" s="702">
        <f>'DUoS (t)'!T110</f>
        <v>7.3999999999999996E-2</v>
      </c>
      <c r="AF89" s="713"/>
      <c r="AG89" s="711"/>
      <c r="AH89" s="712"/>
      <c r="AI89" s="713"/>
      <c r="AJ89" s="711"/>
      <c r="AK89" s="713"/>
      <c r="AL89" s="711"/>
      <c r="AM89" s="711"/>
      <c r="AN89" s="714"/>
      <c r="AP89" s="668" t="s">
        <v>131</v>
      </c>
      <c r="AQ89" s="669"/>
      <c r="AR89" s="671" t="s">
        <v>126</v>
      </c>
      <c r="AS89" s="702">
        <f>'TUoS (t)'!G110</f>
        <v>34.6</v>
      </c>
      <c r="AT89" s="703">
        <f>'TUoS (t)'!H110</f>
        <v>0</v>
      </c>
      <c r="AU89" s="711"/>
      <c r="AV89" s="711"/>
      <c r="AW89" s="712"/>
      <c r="AX89" s="703">
        <f>'TUoS (t)'!S110</f>
        <v>0.17849999999999999</v>
      </c>
      <c r="AY89" s="702">
        <f>'TUoS (t)'!T110</f>
        <v>0</v>
      </c>
      <c r="AZ89" s="713"/>
      <c r="BA89" s="711"/>
      <c r="BB89" s="712"/>
      <c r="BC89" s="713"/>
      <c r="BD89" s="711"/>
      <c r="BE89" s="713"/>
      <c r="BF89" s="711"/>
      <c r="BG89" s="711"/>
      <c r="BH89" s="714"/>
      <c r="BJ89" s="668" t="s">
        <v>131</v>
      </c>
      <c r="BK89" s="669"/>
      <c r="BL89" s="671" t="s">
        <v>126</v>
      </c>
      <c r="BM89" s="702">
        <f>'JSO (t)'!G110</f>
        <v>0</v>
      </c>
      <c r="BN89" s="703">
        <f>'JSO (t)'!H110</f>
        <v>8.9999999999999998E-4</v>
      </c>
      <c r="BO89" s="711"/>
      <c r="BP89" s="711"/>
      <c r="BQ89" s="712"/>
      <c r="BR89" s="703">
        <f>'JSO (t)'!S110</f>
        <v>0</v>
      </c>
      <c r="BS89" s="702">
        <f>'JSO (t)'!T110</f>
        <v>0</v>
      </c>
      <c r="BT89" s="713"/>
      <c r="BU89" s="711"/>
      <c r="BV89" s="712"/>
      <c r="BW89" s="713"/>
      <c r="BX89" s="711"/>
      <c r="BY89" s="713"/>
      <c r="BZ89" s="711"/>
      <c r="CA89" s="711"/>
      <c r="CB89" s="714"/>
    </row>
    <row r="90" spans="2:80" ht="15" customHeight="1" x14ac:dyDescent="0.2">
      <c r="B90" s="668" t="s">
        <v>579</v>
      </c>
      <c r="C90" s="669"/>
      <c r="D90" s="671" t="s">
        <v>126</v>
      </c>
      <c r="E90" s="702">
        <f>'NUoS (t)'!G111</f>
        <v>658.28</v>
      </c>
      <c r="F90" s="703">
        <f>'NUoS (t)'!H111</f>
        <v>5.3E-3</v>
      </c>
      <c r="G90" s="711"/>
      <c r="H90" s="711"/>
      <c r="I90" s="712"/>
      <c r="J90" s="703">
        <f>'NUoS (t)'!S111</f>
        <v>4.1399999999999999E-2</v>
      </c>
      <c r="K90" s="702">
        <f>'NUoS (t)'!T111</f>
        <v>7.3999999999999996E-2</v>
      </c>
      <c r="L90" s="713"/>
      <c r="M90" s="711"/>
      <c r="N90" s="712"/>
      <c r="O90" s="713"/>
      <c r="P90" s="711"/>
      <c r="Q90" s="713"/>
      <c r="R90" s="711"/>
      <c r="S90" s="711"/>
      <c r="T90" s="714"/>
      <c r="V90" s="668" t="s">
        <v>579</v>
      </c>
      <c r="W90" s="669"/>
      <c r="X90" s="671" t="s">
        <v>126</v>
      </c>
      <c r="Y90" s="702">
        <f>'DUoS (t)'!G111</f>
        <v>0</v>
      </c>
      <c r="Z90" s="703">
        <f>'DUoS (t)'!H111</f>
        <v>4.4000000000000003E-3</v>
      </c>
      <c r="AA90" s="711"/>
      <c r="AB90" s="711"/>
      <c r="AC90" s="712"/>
      <c r="AD90" s="703">
        <f>'DUoS (t)'!S111</f>
        <v>4.1399999999999999E-2</v>
      </c>
      <c r="AE90" s="702">
        <f>'DUoS (t)'!T111</f>
        <v>7.3999999999999996E-2</v>
      </c>
      <c r="AF90" s="713"/>
      <c r="AG90" s="711"/>
      <c r="AH90" s="712"/>
      <c r="AI90" s="713"/>
      <c r="AJ90" s="711"/>
      <c r="AK90" s="713"/>
      <c r="AL90" s="711"/>
      <c r="AM90" s="711"/>
      <c r="AN90" s="714"/>
      <c r="AP90" s="668" t="s">
        <v>579</v>
      </c>
      <c r="AQ90" s="669"/>
      <c r="AR90" s="671" t="s">
        <v>126</v>
      </c>
      <c r="AS90" s="702">
        <f>'TUoS (t)'!G111</f>
        <v>658.28</v>
      </c>
      <c r="AT90" s="703">
        <f>'TUoS (t)'!H111</f>
        <v>0</v>
      </c>
      <c r="AU90" s="711"/>
      <c r="AV90" s="711"/>
      <c r="AW90" s="712"/>
      <c r="AX90" s="703">
        <f>'TUoS (t)'!S111</f>
        <v>0</v>
      </c>
      <c r="AY90" s="702">
        <f>'TUoS (t)'!T111</f>
        <v>0</v>
      </c>
      <c r="AZ90" s="713"/>
      <c r="BA90" s="711"/>
      <c r="BB90" s="712"/>
      <c r="BC90" s="713"/>
      <c r="BD90" s="711"/>
      <c r="BE90" s="713"/>
      <c r="BF90" s="711"/>
      <c r="BG90" s="711"/>
      <c r="BH90" s="714"/>
      <c r="BJ90" s="668" t="s">
        <v>579</v>
      </c>
      <c r="BK90" s="669"/>
      <c r="BL90" s="671" t="s">
        <v>126</v>
      </c>
      <c r="BM90" s="702">
        <f>'JSO (t)'!G111</f>
        <v>0</v>
      </c>
      <c r="BN90" s="703">
        <f>'JSO (t)'!H111</f>
        <v>8.9999999999999998E-4</v>
      </c>
      <c r="BO90" s="711"/>
      <c r="BP90" s="711"/>
      <c r="BQ90" s="712"/>
      <c r="BR90" s="703">
        <f>'JSO (t)'!S111</f>
        <v>0</v>
      </c>
      <c r="BS90" s="702">
        <f>'JSO (t)'!T111</f>
        <v>0</v>
      </c>
      <c r="BT90" s="713"/>
      <c r="BU90" s="711"/>
      <c r="BV90" s="712"/>
      <c r="BW90" s="713"/>
      <c r="BX90" s="711"/>
      <c r="BY90" s="713"/>
      <c r="BZ90" s="711"/>
      <c r="CA90" s="711"/>
      <c r="CB90" s="714"/>
    </row>
    <row r="91" spans="2:80" ht="15" customHeight="1" x14ac:dyDescent="0.2">
      <c r="B91" s="663" t="s">
        <v>132</v>
      </c>
      <c r="C91" s="85"/>
      <c r="D91" s="85"/>
      <c r="E91" s="715"/>
      <c r="F91" s="715"/>
      <c r="G91" s="716"/>
      <c r="H91" s="716"/>
      <c r="I91" s="717"/>
      <c r="J91" s="715"/>
      <c r="K91" s="716"/>
      <c r="L91" s="715"/>
      <c r="M91" s="716"/>
      <c r="N91" s="717"/>
      <c r="O91" s="715"/>
      <c r="P91" s="716"/>
      <c r="Q91" s="715"/>
      <c r="R91" s="716"/>
      <c r="S91" s="716"/>
      <c r="T91" s="718"/>
      <c r="V91" s="663" t="s">
        <v>132</v>
      </c>
      <c r="W91" s="85"/>
      <c r="X91" s="85"/>
      <c r="Y91" s="715"/>
      <c r="Z91" s="715"/>
      <c r="AA91" s="716"/>
      <c r="AB91" s="716"/>
      <c r="AC91" s="717"/>
      <c r="AD91" s="715"/>
      <c r="AE91" s="716"/>
      <c r="AF91" s="715"/>
      <c r="AG91" s="716"/>
      <c r="AH91" s="717"/>
      <c r="AI91" s="715"/>
      <c r="AJ91" s="716"/>
      <c r="AK91" s="715"/>
      <c r="AL91" s="716"/>
      <c r="AM91" s="716"/>
      <c r="AN91" s="718"/>
      <c r="AP91" s="663" t="s">
        <v>132</v>
      </c>
      <c r="AQ91" s="85"/>
      <c r="AR91" s="85"/>
      <c r="AS91" s="715"/>
      <c r="AT91" s="715"/>
      <c r="AU91" s="716"/>
      <c r="AV91" s="716"/>
      <c r="AW91" s="717"/>
      <c r="AX91" s="715"/>
      <c r="AY91" s="716"/>
      <c r="AZ91" s="715"/>
      <c r="BA91" s="716"/>
      <c r="BB91" s="717"/>
      <c r="BC91" s="715"/>
      <c r="BD91" s="716"/>
      <c r="BE91" s="715"/>
      <c r="BF91" s="716"/>
      <c r="BG91" s="716"/>
      <c r="BH91" s="718"/>
      <c r="BJ91" s="663" t="s">
        <v>132</v>
      </c>
      <c r="BK91" s="85"/>
      <c r="BL91" s="85"/>
      <c r="BM91" s="715"/>
      <c r="BN91" s="715"/>
      <c r="BO91" s="716"/>
      <c r="BP91" s="716"/>
      <c r="BQ91" s="717"/>
      <c r="BR91" s="715"/>
      <c r="BS91" s="716"/>
      <c r="BT91" s="715"/>
      <c r="BU91" s="716"/>
      <c r="BV91" s="717"/>
      <c r="BW91" s="715"/>
      <c r="BX91" s="716"/>
      <c r="BY91" s="715"/>
      <c r="BZ91" s="716"/>
      <c r="CA91" s="716"/>
      <c r="CB91" s="718"/>
    </row>
    <row r="92" spans="2:80" ht="15" customHeight="1" x14ac:dyDescent="0.2">
      <c r="B92" s="668" t="s">
        <v>133</v>
      </c>
      <c r="C92" s="669"/>
      <c r="D92" s="671" t="s">
        <v>134</v>
      </c>
      <c r="E92" s="702">
        <f>'NUoS (t)'!G113</f>
        <v>0</v>
      </c>
      <c r="F92" s="703">
        <f>'NUoS (t)'!H113</f>
        <v>1.0700000000000001E-2</v>
      </c>
      <c r="G92" s="711"/>
      <c r="H92" s="711"/>
      <c r="I92" s="712"/>
      <c r="J92" s="703">
        <f>'NUoS (t)'!S113</f>
        <v>0.10829999999999999</v>
      </c>
      <c r="K92" s="702">
        <f>'NUoS (t)'!T113</f>
        <v>4.1399999999999999E-2</v>
      </c>
      <c r="L92" s="713"/>
      <c r="M92" s="711"/>
      <c r="N92" s="712"/>
      <c r="O92" s="713"/>
      <c r="P92" s="711"/>
      <c r="Q92" s="713"/>
      <c r="R92" s="711"/>
      <c r="S92" s="711"/>
      <c r="T92" s="714"/>
      <c r="V92" s="668" t="s">
        <v>133</v>
      </c>
      <c r="W92" s="669"/>
      <c r="X92" s="671" t="s">
        <v>134</v>
      </c>
      <c r="Y92" s="702">
        <f>'DUoS (t)'!G113</f>
        <v>0</v>
      </c>
      <c r="Z92" s="703">
        <f>'DUoS (t)'!H113</f>
        <v>1.6000000000000001E-3</v>
      </c>
      <c r="AA92" s="711"/>
      <c r="AB92" s="711"/>
      <c r="AC92" s="712"/>
      <c r="AD92" s="703">
        <f>'DUoS (t)'!S113</f>
        <v>0</v>
      </c>
      <c r="AE92" s="702">
        <f>'DUoS (t)'!T113</f>
        <v>4.1399999999999999E-2</v>
      </c>
      <c r="AF92" s="713"/>
      <c r="AG92" s="711"/>
      <c r="AH92" s="712"/>
      <c r="AI92" s="713"/>
      <c r="AJ92" s="711"/>
      <c r="AK92" s="713"/>
      <c r="AL92" s="711"/>
      <c r="AM92" s="711"/>
      <c r="AN92" s="714"/>
      <c r="AP92" s="668" t="s">
        <v>133</v>
      </c>
      <c r="AQ92" s="669"/>
      <c r="AR92" s="671" t="s">
        <v>134</v>
      </c>
      <c r="AS92" s="702">
        <f>'TUoS (t)'!G113</f>
        <v>0</v>
      </c>
      <c r="AT92" s="703">
        <f>'TUoS (t)'!H113</f>
        <v>8.2000000000000007E-3</v>
      </c>
      <c r="AU92" s="711"/>
      <c r="AV92" s="711"/>
      <c r="AW92" s="712"/>
      <c r="AX92" s="703">
        <f>'TUoS (t)'!S113</f>
        <v>0.10829999999999999</v>
      </c>
      <c r="AY92" s="702">
        <f>'TUoS (t)'!T113</f>
        <v>0</v>
      </c>
      <c r="AZ92" s="713"/>
      <c r="BA92" s="711"/>
      <c r="BB92" s="712"/>
      <c r="BC92" s="713"/>
      <c r="BD92" s="711"/>
      <c r="BE92" s="713"/>
      <c r="BF92" s="711"/>
      <c r="BG92" s="711"/>
      <c r="BH92" s="714"/>
      <c r="BJ92" s="668" t="s">
        <v>133</v>
      </c>
      <c r="BK92" s="669"/>
      <c r="BL92" s="671" t="s">
        <v>134</v>
      </c>
      <c r="BM92" s="702">
        <f>'JSO (t)'!G113</f>
        <v>0</v>
      </c>
      <c r="BN92" s="703">
        <f>'JSO (t)'!H113</f>
        <v>8.9999999999999998E-4</v>
      </c>
      <c r="BO92" s="711"/>
      <c r="BP92" s="711"/>
      <c r="BQ92" s="712"/>
      <c r="BR92" s="703">
        <f>'JSO (t)'!S113</f>
        <v>0</v>
      </c>
      <c r="BS92" s="702">
        <f>'JSO (t)'!T113</f>
        <v>0</v>
      </c>
      <c r="BT92" s="713"/>
      <c r="BU92" s="711"/>
      <c r="BV92" s="712"/>
      <c r="BW92" s="713"/>
      <c r="BX92" s="711"/>
      <c r="BY92" s="713"/>
      <c r="BZ92" s="711"/>
      <c r="CA92" s="711"/>
      <c r="CB92" s="714"/>
    </row>
    <row r="93" spans="2:80" ht="15" customHeight="1" x14ac:dyDescent="0.2">
      <c r="B93" s="790" t="s">
        <v>135</v>
      </c>
      <c r="C93" s="791"/>
      <c r="D93" s="804" t="s">
        <v>136</v>
      </c>
      <c r="E93" s="709">
        <f>'NUoS (t)'!G114</f>
        <v>0</v>
      </c>
      <c r="F93" s="792">
        <f>'NUoS (t)'!H114</f>
        <v>1.0700000000000001E-2</v>
      </c>
      <c r="G93" s="716"/>
      <c r="H93" s="716"/>
      <c r="I93" s="717"/>
      <c r="J93" s="792">
        <f>'NUoS (t)'!S114</f>
        <v>0.10829999999999999</v>
      </c>
      <c r="K93" s="709">
        <f>'NUoS (t)'!T114</f>
        <v>4.1399999999999999E-2</v>
      </c>
      <c r="L93" s="715"/>
      <c r="M93" s="716"/>
      <c r="N93" s="717"/>
      <c r="O93" s="715"/>
      <c r="P93" s="716"/>
      <c r="Q93" s="715"/>
      <c r="R93" s="716"/>
      <c r="S93" s="716"/>
      <c r="T93" s="718"/>
      <c r="V93" s="790" t="s">
        <v>135</v>
      </c>
      <c r="W93" s="791"/>
      <c r="X93" s="804" t="s">
        <v>136</v>
      </c>
      <c r="Y93" s="709">
        <f>'DUoS (t)'!G114</f>
        <v>0</v>
      </c>
      <c r="Z93" s="792">
        <f>'DUoS (t)'!H114</f>
        <v>1.6000000000000001E-3</v>
      </c>
      <c r="AA93" s="716"/>
      <c r="AB93" s="716"/>
      <c r="AC93" s="717"/>
      <c r="AD93" s="792">
        <f>'DUoS (t)'!S114</f>
        <v>0</v>
      </c>
      <c r="AE93" s="709">
        <f>'DUoS (t)'!T114</f>
        <v>4.1399999999999999E-2</v>
      </c>
      <c r="AF93" s="715"/>
      <c r="AG93" s="716"/>
      <c r="AH93" s="717"/>
      <c r="AI93" s="715"/>
      <c r="AJ93" s="716"/>
      <c r="AK93" s="715"/>
      <c r="AL93" s="716"/>
      <c r="AM93" s="716"/>
      <c r="AN93" s="718"/>
      <c r="AP93" s="790" t="s">
        <v>135</v>
      </c>
      <c r="AQ93" s="791"/>
      <c r="AR93" s="804" t="s">
        <v>136</v>
      </c>
      <c r="AS93" s="709">
        <f>'TUoS (t)'!G114</f>
        <v>0</v>
      </c>
      <c r="AT93" s="792">
        <f>'TUoS (t)'!H114</f>
        <v>8.2000000000000007E-3</v>
      </c>
      <c r="AU93" s="716"/>
      <c r="AV93" s="716"/>
      <c r="AW93" s="717"/>
      <c r="AX93" s="792">
        <f>'TUoS (t)'!S114</f>
        <v>0.10829999999999999</v>
      </c>
      <c r="AY93" s="709">
        <f>'TUoS (t)'!T114</f>
        <v>0</v>
      </c>
      <c r="AZ93" s="715"/>
      <c r="BA93" s="716"/>
      <c r="BB93" s="717"/>
      <c r="BC93" s="715"/>
      <c r="BD93" s="716"/>
      <c r="BE93" s="715"/>
      <c r="BF93" s="716"/>
      <c r="BG93" s="716"/>
      <c r="BH93" s="718"/>
      <c r="BJ93" s="790" t="s">
        <v>135</v>
      </c>
      <c r="BK93" s="791"/>
      <c r="BL93" s="804" t="s">
        <v>136</v>
      </c>
      <c r="BM93" s="709">
        <f>'JSO (t)'!G114</f>
        <v>0</v>
      </c>
      <c r="BN93" s="792">
        <f>'JSO (t)'!H114</f>
        <v>8.9999999999999998E-4</v>
      </c>
      <c r="BO93" s="716"/>
      <c r="BP93" s="716"/>
      <c r="BQ93" s="717"/>
      <c r="BR93" s="792">
        <f>'JSO (t)'!S114</f>
        <v>0</v>
      </c>
      <c r="BS93" s="709">
        <f>'JSO (t)'!T114</f>
        <v>0</v>
      </c>
      <c r="BT93" s="715"/>
      <c r="BU93" s="716"/>
      <c r="BV93" s="717"/>
      <c r="BW93" s="715"/>
      <c r="BX93" s="716"/>
      <c r="BY93" s="715"/>
      <c r="BZ93" s="716"/>
      <c r="CA93" s="716"/>
      <c r="CB93" s="718"/>
    </row>
    <row r="94" spans="2:80" ht="15" customHeight="1" x14ac:dyDescent="0.2">
      <c r="B94" s="790" t="s">
        <v>137</v>
      </c>
      <c r="C94" s="791"/>
      <c r="D94" s="804" t="s">
        <v>136</v>
      </c>
      <c r="E94" s="709">
        <f>'NUoS (t)'!G115</f>
        <v>1019.18</v>
      </c>
      <c r="F94" s="792">
        <f>'NUoS (t)'!H115</f>
        <v>1.0700000000000001E-2</v>
      </c>
      <c r="G94" s="716"/>
      <c r="H94" s="716"/>
      <c r="I94" s="717"/>
      <c r="J94" s="792">
        <f>'NUoS (t)'!S115</f>
        <v>0.10829999999999999</v>
      </c>
      <c r="K94" s="709">
        <f>'NUoS (t)'!T115</f>
        <v>4.1399999999999999E-2</v>
      </c>
      <c r="L94" s="715"/>
      <c r="M94" s="716"/>
      <c r="N94" s="717"/>
      <c r="O94" s="715"/>
      <c r="P94" s="716"/>
      <c r="Q94" s="715"/>
      <c r="R94" s="716"/>
      <c r="S94" s="716"/>
      <c r="T94" s="718"/>
      <c r="V94" s="790" t="s">
        <v>137</v>
      </c>
      <c r="W94" s="791"/>
      <c r="X94" s="804" t="s">
        <v>136</v>
      </c>
      <c r="Y94" s="709">
        <f>'DUoS (t)'!G115</f>
        <v>1019.18</v>
      </c>
      <c r="Z94" s="792">
        <f>'DUoS (t)'!H115</f>
        <v>1.6000000000000001E-3</v>
      </c>
      <c r="AA94" s="716"/>
      <c r="AB94" s="716"/>
      <c r="AC94" s="717"/>
      <c r="AD94" s="792">
        <f>'DUoS (t)'!S115</f>
        <v>0</v>
      </c>
      <c r="AE94" s="709">
        <f>'DUoS (t)'!T115</f>
        <v>4.1399999999999999E-2</v>
      </c>
      <c r="AF94" s="715"/>
      <c r="AG94" s="716"/>
      <c r="AH94" s="717"/>
      <c r="AI94" s="715"/>
      <c r="AJ94" s="716"/>
      <c r="AK94" s="715"/>
      <c r="AL94" s="716"/>
      <c r="AM94" s="716"/>
      <c r="AN94" s="718"/>
      <c r="AP94" s="790" t="s">
        <v>137</v>
      </c>
      <c r="AQ94" s="791"/>
      <c r="AR94" s="804" t="s">
        <v>136</v>
      </c>
      <c r="AS94" s="709">
        <f>'TUoS (t)'!G115</f>
        <v>0</v>
      </c>
      <c r="AT94" s="792">
        <f>'TUoS (t)'!H115</f>
        <v>8.2000000000000007E-3</v>
      </c>
      <c r="AU94" s="716"/>
      <c r="AV94" s="716"/>
      <c r="AW94" s="717"/>
      <c r="AX94" s="792">
        <f>'TUoS (t)'!S115</f>
        <v>0.10829999999999999</v>
      </c>
      <c r="AY94" s="709">
        <f>'TUoS (t)'!T115</f>
        <v>0</v>
      </c>
      <c r="AZ94" s="715"/>
      <c r="BA94" s="716"/>
      <c r="BB94" s="717"/>
      <c r="BC94" s="715"/>
      <c r="BD94" s="716"/>
      <c r="BE94" s="715"/>
      <c r="BF94" s="716"/>
      <c r="BG94" s="716"/>
      <c r="BH94" s="718"/>
      <c r="BJ94" s="790" t="s">
        <v>137</v>
      </c>
      <c r="BK94" s="791"/>
      <c r="BL94" s="804" t="s">
        <v>136</v>
      </c>
      <c r="BM94" s="709">
        <f>'JSO (t)'!G115</f>
        <v>0</v>
      </c>
      <c r="BN94" s="792">
        <f>'JSO (t)'!H115</f>
        <v>8.9999999999999998E-4</v>
      </c>
      <c r="BO94" s="716"/>
      <c r="BP94" s="716"/>
      <c r="BQ94" s="717"/>
      <c r="BR94" s="792">
        <f>'JSO (t)'!S115</f>
        <v>0</v>
      </c>
      <c r="BS94" s="709">
        <f>'JSO (t)'!T115</f>
        <v>0</v>
      </c>
      <c r="BT94" s="715"/>
      <c r="BU94" s="716"/>
      <c r="BV94" s="717"/>
      <c r="BW94" s="715"/>
      <c r="BX94" s="716"/>
      <c r="BY94" s="715"/>
      <c r="BZ94" s="716"/>
      <c r="CA94" s="716"/>
      <c r="CB94" s="718"/>
    </row>
    <row r="95" spans="2:80" ht="15" customHeight="1" x14ac:dyDescent="0.2">
      <c r="B95" s="668" t="s">
        <v>138</v>
      </c>
      <c r="C95" s="669"/>
      <c r="D95" s="671" t="s">
        <v>136</v>
      </c>
      <c r="E95" s="702">
        <f>'NUoS (t)'!G116</f>
        <v>432.88</v>
      </c>
      <c r="F95" s="703">
        <f>'NUoS (t)'!H116</f>
        <v>1.0700000000000001E-2</v>
      </c>
      <c r="G95" s="711"/>
      <c r="H95" s="711"/>
      <c r="I95" s="712"/>
      <c r="J95" s="703">
        <f>'NUoS (t)'!S116</f>
        <v>0.10829999999999999</v>
      </c>
      <c r="K95" s="702">
        <f>'NUoS (t)'!T116</f>
        <v>4.1399999999999999E-2</v>
      </c>
      <c r="L95" s="713"/>
      <c r="M95" s="711"/>
      <c r="N95" s="712"/>
      <c r="O95" s="713"/>
      <c r="P95" s="711"/>
      <c r="Q95" s="713"/>
      <c r="R95" s="711"/>
      <c r="S95" s="711"/>
      <c r="T95" s="714"/>
      <c r="V95" s="668" t="s">
        <v>138</v>
      </c>
      <c r="W95" s="669"/>
      <c r="X95" s="671" t="s">
        <v>136</v>
      </c>
      <c r="Y95" s="702">
        <f>'DUoS (t)'!G116</f>
        <v>432.88</v>
      </c>
      <c r="Z95" s="703">
        <f>'DUoS (t)'!H116</f>
        <v>1.6000000000000001E-3</v>
      </c>
      <c r="AA95" s="711"/>
      <c r="AB95" s="711"/>
      <c r="AC95" s="712"/>
      <c r="AD95" s="703">
        <f>'DUoS (t)'!S116</f>
        <v>0</v>
      </c>
      <c r="AE95" s="702">
        <f>'DUoS (t)'!T116</f>
        <v>4.1399999999999999E-2</v>
      </c>
      <c r="AF95" s="713"/>
      <c r="AG95" s="711"/>
      <c r="AH95" s="712"/>
      <c r="AI95" s="713"/>
      <c r="AJ95" s="711"/>
      <c r="AK95" s="713"/>
      <c r="AL95" s="711"/>
      <c r="AM95" s="711"/>
      <c r="AN95" s="714"/>
      <c r="AP95" s="668" t="s">
        <v>138</v>
      </c>
      <c r="AQ95" s="669"/>
      <c r="AR95" s="671" t="s">
        <v>136</v>
      </c>
      <c r="AS95" s="702">
        <f>'TUoS (t)'!G116</f>
        <v>0</v>
      </c>
      <c r="AT95" s="703">
        <f>'TUoS (t)'!H116</f>
        <v>8.2000000000000007E-3</v>
      </c>
      <c r="AU95" s="711"/>
      <c r="AV95" s="711"/>
      <c r="AW95" s="712"/>
      <c r="AX95" s="703">
        <f>'TUoS (t)'!S116</f>
        <v>0.10829999999999999</v>
      </c>
      <c r="AY95" s="702">
        <f>'TUoS (t)'!T116</f>
        <v>0</v>
      </c>
      <c r="AZ95" s="713"/>
      <c r="BA95" s="711"/>
      <c r="BB95" s="712"/>
      <c r="BC95" s="713"/>
      <c r="BD95" s="711"/>
      <c r="BE95" s="713"/>
      <c r="BF95" s="711"/>
      <c r="BG95" s="711"/>
      <c r="BH95" s="714"/>
      <c r="BJ95" s="668" t="s">
        <v>138</v>
      </c>
      <c r="BK95" s="669"/>
      <c r="BL95" s="671" t="s">
        <v>136</v>
      </c>
      <c r="BM95" s="702">
        <f>'JSO (t)'!G116</f>
        <v>0</v>
      </c>
      <c r="BN95" s="703">
        <f>'JSO (t)'!H116</f>
        <v>8.9999999999999998E-4</v>
      </c>
      <c r="BO95" s="711"/>
      <c r="BP95" s="711"/>
      <c r="BQ95" s="712"/>
      <c r="BR95" s="703">
        <f>'JSO (t)'!S116</f>
        <v>0</v>
      </c>
      <c r="BS95" s="702">
        <f>'JSO (t)'!T116</f>
        <v>0</v>
      </c>
      <c r="BT95" s="713"/>
      <c r="BU95" s="711"/>
      <c r="BV95" s="712"/>
      <c r="BW95" s="713"/>
      <c r="BX95" s="711"/>
      <c r="BY95" s="713"/>
      <c r="BZ95" s="711"/>
      <c r="CA95" s="711"/>
      <c r="CB95" s="714"/>
    </row>
    <row r="96" spans="2:80" ht="15" customHeight="1" x14ac:dyDescent="0.2">
      <c r="B96" s="663" t="s">
        <v>139</v>
      </c>
      <c r="C96" s="85"/>
      <c r="D96" s="85"/>
      <c r="E96" s="715"/>
      <c r="F96" s="715"/>
      <c r="G96" s="716"/>
      <c r="H96" s="716"/>
      <c r="I96" s="717"/>
      <c r="J96" s="715"/>
      <c r="K96" s="716"/>
      <c r="L96" s="715"/>
      <c r="M96" s="716"/>
      <c r="N96" s="717"/>
      <c r="O96" s="715"/>
      <c r="P96" s="716"/>
      <c r="Q96" s="715"/>
      <c r="R96" s="716"/>
      <c r="S96" s="716"/>
      <c r="T96" s="718"/>
      <c r="V96" s="663" t="s">
        <v>139</v>
      </c>
      <c r="W96" s="85"/>
      <c r="X96" s="85"/>
      <c r="Y96" s="715"/>
      <c r="Z96" s="715"/>
      <c r="AA96" s="716"/>
      <c r="AB96" s="716"/>
      <c r="AC96" s="717"/>
      <c r="AD96" s="715"/>
      <c r="AE96" s="716"/>
      <c r="AF96" s="715"/>
      <c r="AG96" s="716"/>
      <c r="AH96" s="717"/>
      <c r="AI96" s="715"/>
      <c r="AJ96" s="716"/>
      <c r="AK96" s="715"/>
      <c r="AL96" s="716"/>
      <c r="AM96" s="716"/>
      <c r="AN96" s="718"/>
      <c r="AP96" s="663" t="s">
        <v>139</v>
      </c>
      <c r="AQ96" s="85"/>
      <c r="AR96" s="85"/>
      <c r="AS96" s="715"/>
      <c r="AT96" s="715"/>
      <c r="AU96" s="716"/>
      <c r="AV96" s="716"/>
      <c r="AW96" s="717"/>
      <c r="AX96" s="715"/>
      <c r="AY96" s="716"/>
      <c r="AZ96" s="715"/>
      <c r="BA96" s="716"/>
      <c r="BB96" s="717"/>
      <c r="BC96" s="715"/>
      <c r="BD96" s="716"/>
      <c r="BE96" s="715"/>
      <c r="BF96" s="716"/>
      <c r="BG96" s="716"/>
      <c r="BH96" s="718"/>
      <c r="BJ96" s="663" t="s">
        <v>139</v>
      </c>
      <c r="BK96" s="85"/>
      <c r="BL96" s="85"/>
      <c r="BM96" s="715"/>
      <c r="BN96" s="715"/>
      <c r="BO96" s="716"/>
      <c r="BP96" s="716"/>
      <c r="BQ96" s="717"/>
      <c r="BR96" s="715"/>
      <c r="BS96" s="716"/>
      <c r="BT96" s="715"/>
      <c r="BU96" s="716"/>
      <c r="BV96" s="717"/>
      <c r="BW96" s="715"/>
      <c r="BX96" s="716"/>
      <c r="BY96" s="715"/>
      <c r="BZ96" s="716"/>
      <c r="CA96" s="716"/>
      <c r="CB96" s="718"/>
    </row>
    <row r="97" spans="1:80" ht="15" customHeight="1" x14ac:dyDescent="0.2">
      <c r="B97" s="668" t="s">
        <v>140</v>
      </c>
      <c r="C97" s="669"/>
      <c r="D97" s="671" t="s">
        <v>141</v>
      </c>
      <c r="E97" s="702">
        <f>'NUoS (t)'!G118</f>
        <v>5469.3</v>
      </c>
      <c r="F97" s="703">
        <f>'NUoS (t)'!H118</f>
        <v>2.5000000000000001E-3</v>
      </c>
      <c r="G97" s="711"/>
      <c r="H97" s="711"/>
      <c r="I97" s="712"/>
      <c r="J97" s="703">
        <f>'NUoS (t)'!S118</f>
        <v>0</v>
      </c>
      <c r="K97" s="702">
        <f>'NUoS (t)'!T118</f>
        <v>4.1399999999999999E-2</v>
      </c>
      <c r="L97" s="713"/>
      <c r="M97" s="711"/>
      <c r="N97" s="712"/>
      <c r="O97" s="713"/>
      <c r="P97" s="711"/>
      <c r="Q97" s="713"/>
      <c r="R97" s="711"/>
      <c r="S97" s="711"/>
      <c r="T97" s="714"/>
      <c r="V97" s="668" t="s">
        <v>140</v>
      </c>
      <c r="W97" s="669"/>
      <c r="X97" s="671" t="s">
        <v>141</v>
      </c>
      <c r="Y97" s="702">
        <f>'DUoS (t)'!G118</f>
        <v>0</v>
      </c>
      <c r="Z97" s="703">
        <f>'DUoS (t)'!H118</f>
        <v>1.6000000000000001E-3</v>
      </c>
      <c r="AA97" s="711"/>
      <c r="AB97" s="711"/>
      <c r="AC97" s="712"/>
      <c r="AD97" s="703">
        <f>'DUoS (t)'!S118</f>
        <v>0</v>
      </c>
      <c r="AE97" s="702">
        <f>'DUoS (t)'!T118</f>
        <v>4.1399999999999999E-2</v>
      </c>
      <c r="AF97" s="713"/>
      <c r="AG97" s="711"/>
      <c r="AH97" s="712"/>
      <c r="AI97" s="713"/>
      <c r="AJ97" s="711"/>
      <c r="AK97" s="713"/>
      <c r="AL97" s="711"/>
      <c r="AM97" s="711"/>
      <c r="AN97" s="714"/>
      <c r="AP97" s="668" t="s">
        <v>140</v>
      </c>
      <c r="AQ97" s="669"/>
      <c r="AR97" s="671" t="s">
        <v>141</v>
      </c>
      <c r="AS97" s="702">
        <f>'TUoS (t)'!G118</f>
        <v>5469.3</v>
      </c>
      <c r="AT97" s="703">
        <f>'TUoS (t)'!H118</f>
        <v>0</v>
      </c>
      <c r="AU97" s="711"/>
      <c r="AV97" s="711"/>
      <c r="AW97" s="712"/>
      <c r="AX97" s="703">
        <f>'TUoS (t)'!S118</f>
        <v>0</v>
      </c>
      <c r="AY97" s="702">
        <f>'TUoS (t)'!T118</f>
        <v>0</v>
      </c>
      <c r="AZ97" s="713"/>
      <c r="BA97" s="711"/>
      <c r="BB97" s="712"/>
      <c r="BC97" s="713"/>
      <c r="BD97" s="711"/>
      <c r="BE97" s="713"/>
      <c r="BF97" s="711"/>
      <c r="BG97" s="711"/>
      <c r="BH97" s="714"/>
      <c r="BJ97" s="668" t="s">
        <v>140</v>
      </c>
      <c r="BK97" s="669"/>
      <c r="BL97" s="671" t="s">
        <v>141</v>
      </c>
      <c r="BM97" s="702">
        <f>'JSO (t)'!G118</f>
        <v>0</v>
      </c>
      <c r="BN97" s="703">
        <f>'JSO (t)'!H118</f>
        <v>8.9999999999999998E-4</v>
      </c>
      <c r="BO97" s="711"/>
      <c r="BP97" s="711"/>
      <c r="BQ97" s="712"/>
      <c r="BR97" s="703">
        <f>'JSO (t)'!S118</f>
        <v>0</v>
      </c>
      <c r="BS97" s="702">
        <f>'JSO (t)'!T118</f>
        <v>0</v>
      </c>
      <c r="BT97" s="713"/>
      <c r="BU97" s="711"/>
      <c r="BV97" s="712"/>
      <c r="BW97" s="713"/>
      <c r="BX97" s="711"/>
      <c r="BY97" s="713"/>
      <c r="BZ97" s="711"/>
      <c r="CA97" s="711"/>
      <c r="CB97" s="714"/>
    </row>
    <row r="98" spans="1:80" ht="15" customHeight="1" x14ac:dyDescent="0.2">
      <c r="B98" s="668" t="s">
        <v>142</v>
      </c>
      <c r="C98" s="669"/>
      <c r="D98" s="671" t="s">
        <v>141</v>
      </c>
      <c r="E98" s="702">
        <f>'NUoS (t)'!G119</f>
        <v>1022.4</v>
      </c>
      <c r="F98" s="703">
        <f>'NUoS (t)'!H119</f>
        <v>2.5000000000000001E-3</v>
      </c>
      <c r="G98" s="711"/>
      <c r="H98" s="711"/>
      <c r="I98" s="712"/>
      <c r="J98" s="703">
        <f>'NUoS (t)'!S119</f>
        <v>0.23180000000000001</v>
      </c>
      <c r="K98" s="702">
        <f>'NUoS (t)'!T119</f>
        <v>4.1399999999999999E-2</v>
      </c>
      <c r="L98" s="713"/>
      <c r="M98" s="711"/>
      <c r="N98" s="712"/>
      <c r="O98" s="713"/>
      <c r="P98" s="711"/>
      <c r="Q98" s="713"/>
      <c r="R98" s="711"/>
      <c r="S98" s="711"/>
      <c r="T98" s="714"/>
      <c r="V98" s="668" t="s">
        <v>142</v>
      </c>
      <c r="W98" s="669"/>
      <c r="X98" s="671" t="s">
        <v>141</v>
      </c>
      <c r="Y98" s="702">
        <f>'DUoS (t)'!G119</f>
        <v>0</v>
      </c>
      <c r="Z98" s="703">
        <f>'DUoS (t)'!H119</f>
        <v>1.6000000000000001E-3</v>
      </c>
      <c r="AA98" s="711"/>
      <c r="AB98" s="711"/>
      <c r="AC98" s="712"/>
      <c r="AD98" s="703">
        <f>'DUoS (t)'!S119</f>
        <v>0</v>
      </c>
      <c r="AE98" s="702">
        <f>'DUoS (t)'!T119</f>
        <v>4.1399999999999999E-2</v>
      </c>
      <c r="AF98" s="713"/>
      <c r="AG98" s="711"/>
      <c r="AH98" s="712"/>
      <c r="AI98" s="713"/>
      <c r="AJ98" s="711"/>
      <c r="AK98" s="713"/>
      <c r="AL98" s="711"/>
      <c r="AM98" s="711"/>
      <c r="AN98" s="714"/>
      <c r="AP98" s="668" t="s">
        <v>142</v>
      </c>
      <c r="AQ98" s="669"/>
      <c r="AR98" s="671" t="s">
        <v>141</v>
      </c>
      <c r="AS98" s="702">
        <f>'TUoS (t)'!G119</f>
        <v>1022.4</v>
      </c>
      <c r="AT98" s="703">
        <f>'TUoS (t)'!H119</f>
        <v>0</v>
      </c>
      <c r="AU98" s="711"/>
      <c r="AV98" s="711"/>
      <c r="AW98" s="712"/>
      <c r="AX98" s="703">
        <f>'TUoS (t)'!S119</f>
        <v>0.23180000000000001</v>
      </c>
      <c r="AY98" s="702">
        <f>'TUoS (t)'!T119</f>
        <v>0</v>
      </c>
      <c r="AZ98" s="713"/>
      <c r="BA98" s="711"/>
      <c r="BB98" s="712"/>
      <c r="BC98" s="713"/>
      <c r="BD98" s="711"/>
      <c r="BE98" s="713"/>
      <c r="BF98" s="711"/>
      <c r="BG98" s="711"/>
      <c r="BH98" s="714"/>
      <c r="BJ98" s="668" t="s">
        <v>142</v>
      </c>
      <c r="BK98" s="669"/>
      <c r="BL98" s="671" t="s">
        <v>141</v>
      </c>
      <c r="BM98" s="702">
        <f>'JSO (t)'!G119</f>
        <v>0</v>
      </c>
      <c r="BN98" s="703">
        <f>'JSO (t)'!H119</f>
        <v>8.9999999999999998E-4</v>
      </c>
      <c r="BO98" s="711"/>
      <c r="BP98" s="711"/>
      <c r="BQ98" s="712"/>
      <c r="BR98" s="703">
        <f>'JSO (t)'!S119</f>
        <v>0</v>
      </c>
      <c r="BS98" s="702">
        <f>'JSO (t)'!T119</f>
        <v>0</v>
      </c>
      <c r="BT98" s="713"/>
      <c r="BU98" s="711"/>
      <c r="BV98" s="712"/>
      <c r="BW98" s="713"/>
      <c r="BX98" s="711"/>
      <c r="BY98" s="713"/>
      <c r="BZ98" s="711"/>
      <c r="CA98" s="711"/>
      <c r="CB98" s="714"/>
    </row>
    <row r="99" spans="1:80" ht="15" customHeight="1" x14ac:dyDescent="0.2">
      <c r="B99" s="790" t="s">
        <v>143</v>
      </c>
      <c r="C99" s="791"/>
      <c r="D99" s="804" t="s">
        <v>141</v>
      </c>
      <c r="E99" s="709">
        <f>'NUoS (t)'!G120</f>
        <v>6494.83</v>
      </c>
      <c r="F99" s="792">
        <f>'NUoS (t)'!H120</f>
        <v>2.5000000000000001E-3</v>
      </c>
      <c r="G99" s="716"/>
      <c r="H99" s="716"/>
      <c r="I99" s="717"/>
      <c r="J99" s="792">
        <f>'NUoS (t)'!S120</f>
        <v>0</v>
      </c>
      <c r="K99" s="709">
        <f>'NUoS (t)'!T120</f>
        <v>4.1399999999999999E-2</v>
      </c>
      <c r="L99" s="715"/>
      <c r="M99" s="716"/>
      <c r="N99" s="717"/>
      <c r="O99" s="715"/>
      <c r="P99" s="716"/>
      <c r="Q99" s="715"/>
      <c r="R99" s="716"/>
      <c r="S99" s="716"/>
      <c r="T99" s="718"/>
      <c r="V99" s="790" t="s">
        <v>143</v>
      </c>
      <c r="W99" s="791"/>
      <c r="X99" s="804" t="s">
        <v>141</v>
      </c>
      <c r="Y99" s="709">
        <f>'DUoS (t)'!G120</f>
        <v>0</v>
      </c>
      <c r="Z99" s="792">
        <f>'DUoS (t)'!H120</f>
        <v>1.6000000000000001E-3</v>
      </c>
      <c r="AA99" s="716"/>
      <c r="AB99" s="716"/>
      <c r="AC99" s="717"/>
      <c r="AD99" s="792">
        <f>'DUoS (t)'!S120</f>
        <v>0</v>
      </c>
      <c r="AE99" s="709">
        <f>'DUoS (t)'!T120</f>
        <v>4.1399999999999999E-2</v>
      </c>
      <c r="AF99" s="715"/>
      <c r="AG99" s="716"/>
      <c r="AH99" s="717"/>
      <c r="AI99" s="715"/>
      <c r="AJ99" s="716"/>
      <c r="AK99" s="715"/>
      <c r="AL99" s="716"/>
      <c r="AM99" s="716"/>
      <c r="AN99" s="718"/>
      <c r="AP99" s="790" t="s">
        <v>143</v>
      </c>
      <c r="AQ99" s="791"/>
      <c r="AR99" s="804" t="s">
        <v>141</v>
      </c>
      <c r="AS99" s="709">
        <f>'TUoS (t)'!G120</f>
        <v>6494.83</v>
      </c>
      <c r="AT99" s="792">
        <f>'TUoS (t)'!H120</f>
        <v>0</v>
      </c>
      <c r="AU99" s="716"/>
      <c r="AV99" s="716"/>
      <c r="AW99" s="717"/>
      <c r="AX99" s="792">
        <f>'TUoS (t)'!S120</f>
        <v>0</v>
      </c>
      <c r="AY99" s="709">
        <f>'TUoS (t)'!T120</f>
        <v>0</v>
      </c>
      <c r="AZ99" s="715"/>
      <c r="BA99" s="716"/>
      <c r="BB99" s="717"/>
      <c r="BC99" s="715"/>
      <c r="BD99" s="716"/>
      <c r="BE99" s="715"/>
      <c r="BF99" s="716"/>
      <c r="BG99" s="716"/>
      <c r="BH99" s="718"/>
      <c r="BJ99" s="790" t="s">
        <v>143</v>
      </c>
      <c r="BK99" s="791"/>
      <c r="BL99" s="804" t="s">
        <v>141</v>
      </c>
      <c r="BM99" s="709">
        <f>'JSO (t)'!G120</f>
        <v>0</v>
      </c>
      <c r="BN99" s="792">
        <f>'JSO (t)'!H120</f>
        <v>8.9999999999999998E-4</v>
      </c>
      <c r="BO99" s="716"/>
      <c r="BP99" s="716"/>
      <c r="BQ99" s="717"/>
      <c r="BR99" s="792">
        <f>'JSO (t)'!S120</f>
        <v>0</v>
      </c>
      <c r="BS99" s="709">
        <f>'JSO (t)'!T120</f>
        <v>0</v>
      </c>
      <c r="BT99" s="715"/>
      <c r="BU99" s="716"/>
      <c r="BV99" s="717"/>
      <c r="BW99" s="715"/>
      <c r="BX99" s="716"/>
      <c r="BY99" s="715"/>
      <c r="BZ99" s="716"/>
      <c r="CA99" s="716"/>
      <c r="CB99" s="718"/>
    </row>
    <row r="100" spans="1:80" ht="15" customHeight="1" x14ac:dyDescent="0.2">
      <c r="B100" s="790" t="s">
        <v>144</v>
      </c>
      <c r="C100" s="791"/>
      <c r="D100" s="804" t="s">
        <v>141</v>
      </c>
      <c r="E100" s="709">
        <f>'NUoS (t)'!G121</f>
        <v>73.2</v>
      </c>
      <c r="F100" s="792">
        <f>'NUoS (t)'!H121</f>
        <v>2.5000000000000001E-3</v>
      </c>
      <c r="G100" s="716"/>
      <c r="H100" s="716"/>
      <c r="I100" s="717"/>
      <c r="J100" s="792">
        <f>'NUoS (t)'!S121</f>
        <v>0.1951</v>
      </c>
      <c r="K100" s="709">
        <f>'NUoS (t)'!T121</f>
        <v>4.1399999999999999E-2</v>
      </c>
      <c r="L100" s="715"/>
      <c r="M100" s="716"/>
      <c r="N100" s="717"/>
      <c r="O100" s="715"/>
      <c r="P100" s="716"/>
      <c r="Q100" s="715"/>
      <c r="R100" s="716"/>
      <c r="S100" s="716"/>
      <c r="T100" s="718"/>
      <c r="V100" s="790" t="s">
        <v>144</v>
      </c>
      <c r="W100" s="791"/>
      <c r="X100" s="804" t="s">
        <v>141</v>
      </c>
      <c r="Y100" s="709">
        <f>'DUoS (t)'!G121</f>
        <v>0</v>
      </c>
      <c r="Z100" s="792">
        <f>'DUoS (t)'!H121</f>
        <v>1.6000000000000001E-3</v>
      </c>
      <c r="AA100" s="716"/>
      <c r="AB100" s="716"/>
      <c r="AC100" s="717"/>
      <c r="AD100" s="792">
        <f>'DUoS (t)'!S121</f>
        <v>0</v>
      </c>
      <c r="AE100" s="709">
        <f>'DUoS (t)'!T121</f>
        <v>4.1399999999999999E-2</v>
      </c>
      <c r="AF100" s="715"/>
      <c r="AG100" s="716"/>
      <c r="AH100" s="717"/>
      <c r="AI100" s="715"/>
      <c r="AJ100" s="716"/>
      <c r="AK100" s="715"/>
      <c r="AL100" s="716"/>
      <c r="AM100" s="716"/>
      <c r="AN100" s="718"/>
      <c r="AP100" s="790" t="s">
        <v>144</v>
      </c>
      <c r="AQ100" s="791"/>
      <c r="AR100" s="804" t="s">
        <v>141</v>
      </c>
      <c r="AS100" s="709">
        <f>'TUoS (t)'!G121</f>
        <v>73.2</v>
      </c>
      <c r="AT100" s="792">
        <f>'TUoS (t)'!H121</f>
        <v>0</v>
      </c>
      <c r="AU100" s="716"/>
      <c r="AV100" s="716"/>
      <c r="AW100" s="717"/>
      <c r="AX100" s="792">
        <f>'TUoS (t)'!S121</f>
        <v>0.1951</v>
      </c>
      <c r="AY100" s="709">
        <f>'TUoS (t)'!T121</f>
        <v>0</v>
      </c>
      <c r="AZ100" s="715"/>
      <c r="BA100" s="716"/>
      <c r="BB100" s="717"/>
      <c r="BC100" s="715"/>
      <c r="BD100" s="716"/>
      <c r="BE100" s="715"/>
      <c r="BF100" s="716"/>
      <c r="BG100" s="716"/>
      <c r="BH100" s="718"/>
      <c r="BJ100" s="790" t="s">
        <v>144</v>
      </c>
      <c r="BK100" s="791"/>
      <c r="BL100" s="804" t="s">
        <v>141</v>
      </c>
      <c r="BM100" s="709">
        <f>'JSO (t)'!G121</f>
        <v>0</v>
      </c>
      <c r="BN100" s="792">
        <f>'JSO (t)'!H121</f>
        <v>8.9999999999999998E-4</v>
      </c>
      <c r="BO100" s="716"/>
      <c r="BP100" s="716"/>
      <c r="BQ100" s="717"/>
      <c r="BR100" s="792">
        <f>'JSO (t)'!S121</f>
        <v>0</v>
      </c>
      <c r="BS100" s="709">
        <f>'JSO (t)'!T121</f>
        <v>0</v>
      </c>
      <c r="BT100" s="715"/>
      <c r="BU100" s="716"/>
      <c r="BV100" s="717"/>
      <c r="BW100" s="715"/>
      <c r="BX100" s="716"/>
      <c r="BY100" s="715"/>
      <c r="BZ100" s="716"/>
      <c r="CA100" s="716"/>
      <c r="CB100" s="718"/>
    </row>
    <row r="101" spans="1:80" ht="15" customHeight="1" x14ac:dyDescent="0.2">
      <c r="B101" s="668" t="s">
        <v>145</v>
      </c>
      <c r="C101" s="669"/>
      <c r="D101" s="671" t="s">
        <v>141</v>
      </c>
      <c r="E101" s="702">
        <f>'NUoS (t)'!G122</f>
        <v>334.3</v>
      </c>
      <c r="F101" s="703">
        <f>'NUoS (t)'!H122</f>
        <v>2.5000000000000001E-3</v>
      </c>
      <c r="G101" s="711"/>
      <c r="H101" s="711"/>
      <c r="I101" s="712"/>
      <c r="J101" s="703">
        <f>'NUoS (t)'!S122</f>
        <v>0.2432</v>
      </c>
      <c r="K101" s="702">
        <f>'NUoS (t)'!T122</f>
        <v>4.1399999999999999E-2</v>
      </c>
      <c r="L101" s="713"/>
      <c r="M101" s="711"/>
      <c r="N101" s="712"/>
      <c r="O101" s="713"/>
      <c r="P101" s="711"/>
      <c r="Q101" s="713"/>
      <c r="R101" s="711"/>
      <c r="S101" s="711"/>
      <c r="T101" s="714"/>
      <c r="V101" s="668" t="s">
        <v>145</v>
      </c>
      <c r="W101" s="669"/>
      <c r="X101" s="671" t="s">
        <v>141</v>
      </c>
      <c r="Y101" s="702">
        <f>'DUoS (t)'!G122</f>
        <v>0</v>
      </c>
      <c r="Z101" s="703">
        <f>'DUoS (t)'!H122</f>
        <v>1.6000000000000001E-3</v>
      </c>
      <c r="AA101" s="711"/>
      <c r="AB101" s="711"/>
      <c r="AC101" s="712"/>
      <c r="AD101" s="703">
        <f>'DUoS (t)'!S122</f>
        <v>0</v>
      </c>
      <c r="AE101" s="702">
        <f>'DUoS (t)'!T122</f>
        <v>4.1399999999999999E-2</v>
      </c>
      <c r="AF101" s="713"/>
      <c r="AG101" s="711"/>
      <c r="AH101" s="712"/>
      <c r="AI101" s="713"/>
      <c r="AJ101" s="711"/>
      <c r="AK101" s="713"/>
      <c r="AL101" s="711"/>
      <c r="AM101" s="711"/>
      <c r="AN101" s="714"/>
      <c r="AP101" s="668" t="s">
        <v>145</v>
      </c>
      <c r="AQ101" s="669"/>
      <c r="AR101" s="671" t="s">
        <v>141</v>
      </c>
      <c r="AS101" s="702">
        <f>'TUoS (t)'!G122</f>
        <v>334.3</v>
      </c>
      <c r="AT101" s="703">
        <f>'TUoS (t)'!H122</f>
        <v>0</v>
      </c>
      <c r="AU101" s="711"/>
      <c r="AV101" s="711"/>
      <c r="AW101" s="712"/>
      <c r="AX101" s="703">
        <f>'TUoS (t)'!S122</f>
        <v>0.2432</v>
      </c>
      <c r="AY101" s="702">
        <f>'TUoS (t)'!T122</f>
        <v>0</v>
      </c>
      <c r="AZ101" s="713"/>
      <c r="BA101" s="711"/>
      <c r="BB101" s="712"/>
      <c r="BC101" s="713"/>
      <c r="BD101" s="711"/>
      <c r="BE101" s="713"/>
      <c r="BF101" s="711"/>
      <c r="BG101" s="711"/>
      <c r="BH101" s="714"/>
      <c r="BJ101" s="668" t="s">
        <v>145</v>
      </c>
      <c r="BK101" s="669"/>
      <c r="BL101" s="671" t="s">
        <v>141</v>
      </c>
      <c r="BM101" s="702">
        <f>'JSO (t)'!G122</f>
        <v>0</v>
      </c>
      <c r="BN101" s="703">
        <f>'JSO (t)'!H122</f>
        <v>8.9999999999999998E-4</v>
      </c>
      <c r="BO101" s="711"/>
      <c r="BP101" s="711"/>
      <c r="BQ101" s="712"/>
      <c r="BR101" s="703">
        <f>'JSO (t)'!S122</f>
        <v>0</v>
      </c>
      <c r="BS101" s="702">
        <f>'JSO (t)'!T122</f>
        <v>0</v>
      </c>
      <c r="BT101" s="713"/>
      <c r="BU101" s="711"/>
      <c r="BV101" s="712"/>
      <c r="BW101" s="713"/>
      <c r="BX101" s="711"/>
      <c r="BY101" s="713"/>
      <c r="BZ101" s="711"/>
      <c r="CA101" s="711"/>
      <c r="CB101" s="714"/>
    </row>
    <row r="102" spans="1:80" ht="15" customHeight="1" x14ac:dyDescent="0.2">
      <c r="B102" s="668" t="s">
        <v>146</v>
      </c>
      <c r="C102" s="669"/>
      <c r="D102" s="671" t="s">
        <v>141</v>
      </c>
      <c r="E102" s="702">
        <f>'NUoS (t)'!G123</f>
        <v>440</v>
      </c>
      <c r="F102" s="703">
        <f>'NUoS (t)'!H123</f>
        <v>2.5000000000000001E-3</v>
      </c>
      <c r="G102" s="711"/>
      <c r="H102" s="711"/>
      <c r="I102" s="712"/>
      <c r="J102" s="703">
        <f>'NUoS (t)'!S123</f>
        <v>0.27689999999999998</v>
      </c>
      <c r="K102" s="702">
        <f>'NUoS (t)'!T123</f>
        <v>4.1399999999999999E-2</v>
      </c>
      <c r="L102" s="713"/>
      <c r="M102" s="711"/>
      <c r="N102" s="712"/>
      <c r="O102" s="713"/>
      <c r="P102" s="711"/>
      <c r="Q102" s="713"/>
      <c r="R102" s="711"/>
      <c r="S102" s="711"/>
      <c r="T102" s="714"/>
      <c r="V102" s="668" t="s">
        <v>146</v>
      </c>
      <c r="W102" s="669"/>
      <c r="X102" s="671" t="s">
        <v>141</v>
      </c>
      <c r="Y102" s="702">
        <f>'DUoS (t)'!G123</f>
        <v>0</v>
      </c>
      <c r="Z102" s="703">
        <f>'DUoS (t)'!H123</f>
        <v>1.6000000000000001E-3</v>
      </c>
      <c r="AA102" s="711"/>
      <c r="AB102" s="711"/>
      <c r="AC102" s="712"/>
      <c r="AD102" s="703">
        <f>'DUoS (t)'!S123</f>
        <v>0</v>
      </c>
      <c r="AE102" s="702">
        <f>'DUoS (t)'!T123</f>
        <v>4.1399999999999999E-2</v>
      </c>
      <c r="AF102" s="713"/>
      <c r="AG102" s="711"/>
      <c r="AH102" s="712"/>
      <c r="AI102" s="713"/>
      <c r="AJ102" s="711"/>
      <c r="AK102" s="713"/>
      <c r="AL102" s="711"/>
      <c r="AM102" s="711"/>
      <c r="AN102" s="714"/>
      <c r="AP102" s="668" t="s">
        <v>146</v>
      </c>
      <c r="AQ102" s="669"/>
      <c r="AR102" s="671" t="s">
        <v>141</v>
      </c>
      <c r="AS102" s="702">
        <f>'TUoS (t)'!G123</f>
        <v>440</v>
      </c>
      <c r="AT102" s="703">
        <f>'TUoS (t)'!H123</f>
        <v>0</v>
      </c>
      <c r="AU102" s="711"/>
      <c r="AV102" s="711"/>
      <c r="AW102" s="712"/>
      <c r="AX102" s="703">
        <f>'TUoS (t)'!S123</f>
        <v>0.27689999999999998</v>
      </c>
      <c r="AY102" s="702">
        <f>'TUoS (t)'!T123</f>
        <v>0</v>
      </c>
      <c r="AZ102" s="713"/>
      <c r="BA102" s="711"/>
      <c r="BB102" s="712"/>
      <c r="BC102" s="713"/>
      <c r="BD102" s="711"/>
      <c r="BE102" s="713"/>
      <c r="BF102" s="711"/>
      <c r="BG102" s="711"/>
      <c r="BH102" s="714"/>
      <c r="BJ102" s="668" t="s">
        <v>146</v>
      </c>
      <c r="BK102" s="669"/>
      <c r="BL102" s="671" t="s">
        <v>141</v>
      </c>
      <c r="BM102" s="702">
        <f>'JSO (t)'!G123</f>
        <v>0</v>
      </c>
      <c r="BN102" s="703">
        <f>'JSO (t)'!H123</f>
        <v>8.9999999999999998E-4</v>
      </c>
      <c r="BO102" s="711"/>
      <c r="BP102" s="711"/>
      <c r="BQ102" s="712"/>
      <c r="BR102" s="703">
        <f>'JSO (t)'!S123</f>
        <v>0</v>
      </c>
      <c r="BS102" s="702">
        <f>'JSO (t)'!T123</f>
        <v>0</v>
      </c>
      <c r="BT102" s="713"/>
      <c r="BU102" s="711"/>
      <c r="BV102" s="712"/>
      <c r="BW102" s="713"/>
      <c r="BX102" s="711"/>
      <c r="BY102" s="713"/>
      <c r="BZ102" s="711"/>
      <c r="CA102" s="711"/>
      <c r="CB102" s="714"/>
    </row>
    <row r="103" spans="1:80" ht="15" customHeight="1" x14ac:dyDescent="0.2">
      <c r="B103" s="790" t="s">
        <v>147</v>
      </c>
      <c r="C103" s="791"/>
      <c r="D103" s="804" t="s">
        <v>141</v>
      </c>
      <c r="E103" s="709">
        <f>'NUoS (t)'!G124</f>
        <v>3613.1</v>
      </c>
      <c r="F103" s="792">
        <f>'NUoS (t)'!H124</f>
        <v>2.5000000000000001E-3</v>
      </c>
      <c r="G103" s="716"/>
      <c r="H103" s="716"/>
      <c r="I103" s="717"/>
      <c r="J103" s="792">
        <f>'NUoS (t)'!S124</f>
        <v>0</v>
      </c>
      <c r="K103" s="709">
        <f>'NUoS (t)'!T124</f>
        <v>4.1399999999999999E-2</v>
      </c>
      <c r="L103" s="715"/>
      <c r="M103" s="716"/>
      <c r="N103" s="717"/>
      <c r="O103" s="715"/>
      <c r="P103" s="716"/>
      <c r="Q103" s="715"/>
      <c r="R103" s="716"/>
      <c r="S103" s="716"/>
      <c r="T103" s="718"/>
      <c r="V103" s="790" t="s">
        <v>147</v>
      </c>
      <c r="W103" s="791"/>
      <c r="X103" s="804" t="s">
        <v>141</v>
      </c>
      <c r="Y103" s="709">
        <f>'DUoS (t)'!G124</f>
        <v>0</v>
      </c>
      <c r="Z103" s="792">
        <f>'DUoS (t)'!H124</f>
        <v>1.6000000000000001E-3</v>
      </c>
      <c r="AA103" s="716"/>
      <c r="AB103" s="716"/>
      <c r="AC103" s="717"/>
      <c r="AD103" s="792">
        <f>'DUoS (t)'!S124</f>
        <v>0</v>
      </c>
      <c r="AE103" s="709">
        <f>'DUoS (t)'!T124</f>
        <v>4.1399999999999999E-2</v>
      </c>
      <c r="AF103" s="715"/>
      <c r="AG103" s="716"/>
      <c r="AH103" s="717"/>
      <c r="AI103" s="715"/>
      <c r="AJ103" s="716"/>
      <c r="AK103" s="715"/>
      <c r="AL103" s="716"/>
      <c r="AM103" s="716"/>
      <c r="AN103" s="718"/>
      <c r="AP103" s="790" t="s">
        <v>147</v>
      </c>
      <c r="AQ103" s="791"/>
      <c r="AR103" s="804" t="s">
        <v>141</v>
      </c>
      <c r="AS103" s="709">
        <f>'TUoS (t)'!G124</f>
        <v>3613.1</v>
      </c>
      <c r="AT103" s="792">
        <f>'TUoS (t)'!H124</f>
        <v>0</v>
      </c>
      <c r="AU103" s="716"/>
      <c r="AV103" s="716"/>
      <c r="AW103" s="717"/>
      <c r="AX103" s="792">
        <f>'TUoS (t)'!S124</f>
        <v>0</v>
      </c>
      <c r="AY103" s="709">
        <f>'TUoS (t)'!T124</f>
        <v>0</v>
      </c>
      <c r="AZ103" s="715"/>
      <c r="BA103" s="716"/>
      <c r="BB103" s="717"/>
      <c r="BC103" s="715"/>
      <c r="BD103" s="716"/>
      <c r="BE103" s="715"/>
      <c r="BF103" s="716"/>
      <c r="BG103" s="716"/>
      <c r="BH103" s="718"/>
      <c r="BJ103" s="790" t="s">
        <v>147</v>
      </c>
      <c r="BK103" s="791"/>
      <c r="BL103" s="804" t="s">
        <v>141</v>
      </c>
      <c r="BM103" s="709">
        <f>'JSO (t)'!G124</f>
        <v>0</v>
      </c>
      <c r="BN103" s="792">
        <f>'JSO (t)'!H124</f>
        <v>8.9999999999999998E-4</v>
      </c>
      <c r="BO103" s="716"/>
      <c r="BP103" s="716"/>
      <c r="BQ103" s="717"/>
      <c r="BR103" s="792">
        <f>'JSO (t)'!S124</f>
        <v>0</v>
      </c>
      <c r="BS103" s="709">
        <f>'JSO (t)'!T124</f>
        <v>0</v>
      </c>
      <c r="BT103" s="715"/>
      <c r="BU103" s="716"/>
      <c r="BV103" s="717"/>
      <c r="BW103" s="715"/>
      <c r="BX103" s="716"/>
      <c r="BY103" s="715"/>
      <c r="BZ103" s="716"/>
      <c r="CA103" s="716"/>
      <c r="CB103" s="718"/>
    </row>
    <row r="104" spans="1:80" ht="15" customHeight="1" x14ac:dyDescent="0.2">
      <c r="B104" s="790" t="s">
        <v>148</v>
      </c>
      <c r="C104" s="791"/>
      <c r="D104" s="804" t="s">
        <v>141</v>
      </c>
      <c r="E104" s="709">
        <f>'NUoS (t)'!G125</f>
        <v>1768.7</v>
      </c>
      <c r="F104" s="792">
        <f>'NUoS (t)'!H125</f>
        <v>2.5000000000000001E-3</v>
      </c>
      <c r="G104" s="716"/>
      <c r="H104" s="716"/>
      <c r="I104" s="717"/>
      <c r="J104" s="792">
        <f>'NUoS (t)'!S125</f>
        <v>0</v>
      </c>
      <c r="K104" s="709">
        <f>'NUoS (t)'!T125</f>
        <v>4.1399999999999999E-2</v>
      </c>
      <c r="L104" s="715"/>
      <c r="M104" s="716"/>
      <c r="N104" s="717"/>
      <c r="O104" s="715"/>
      <c r="P104" s="716"/>
      <c r="Q104" s="715"/>
      <c r="R104" s="716"/>
      <c r="S104" s="716"/>
      <c r="T104" s="718"/>
      <c r="V104" s="790" t="s">
        <v>148</v>
      </c>
      <c r="W104" s="791"/>
      <c r="X104" s="804" t="s">
        <v>141</v>
      </c>
      <c r="Y104" s="709">
        <f>'DUoS (t)'!G125</f>
        <v>0</v>
      </c>
      <c r="Z104" s="792">
        <f>'DUoS (t)'!H125</f>
        <v>1.6000000000000001E-3</v>
      </c>
      <c r="AA104" s="716"/>
      <c r="AB104" s="716"/>
      <c r="AC104" s="717"/>
      <c r="AD104" s="792">
        <f>'DUoS (t)'!S125</f>
        <v>0</v>
      </c>
      <c r="AE104" s="709">
        <f>'DUoS (t)'!T125</f>
        <v>4.1399999999999999E-2</v>
      </c>
      <c r="AF104" s="715"/>
      <c r="AG104" s="716"/>
      <c r="AH104" s="717"/>
      <c r="AI104" s="715"/>
      <c r="AJ104" s="716"/>
      <c r="AK104" s="715"/>
      <c r="AL104" s="716"/>
      <c r="AM104" s="716"/>
      <c r="AN104" s="718"/>
      <c r="AP104" s="790" t="s">
        <v>148</v>
      </c>
      <c r="AQ104" s="791"/>
      <c r="AR104" s="804" t="s">
        <v>141</v>
      </c>
      <c r="AS104" s="709">
        <f>'TUoS (t)'!G125</f>
        <v>1768.7</v>
      </c>
      <c r="AT104" s="792">
        <f>'TUoS (t)'!H125</f>
        <v>0</v>
      </c>
      <c r="AU104" s="716"/>
      <c r="AV104" s="716"/>
      <c r="AW104" s="717"/>
      <c r="AX104" s="792">
        <f>'TUoS (t)'!S125</f>
        <v>0</v>
      </c>
      <c r="AY104" s="709">
        <f>'TUoS (t)'!T125</f>
        <v>0</v>
      </c>
      <c r="AZ104" s="715"/>
      <c r="BA104" s="716"/>
      <c r="BB104" s="717"/>
      <c r="BC104" s="715"/>
      <c r="BD104" s="716"/>
      <c r="BE104" s="715"/>
      <c r="BF104" s="716"/>
      <c r="BG104" s="716"/>
      <c r="BH104" s="718"/>
      <c r="BJ104" s="790" t="s">
        <v>148</v>
      </c>
      <c r="BK104" s="791"/>
      <c r="BL104" s="804" t="s">
        <v>141</v>
      </c>
      <c r="BM104" s="709">
        <f>'JSO (t)'!G125</f>
        <v>0</v>
      </c>
      <c r="BN104" s="792">
        <f>'JSO (t)'!H125</f>
        <v>8.9999999999999998E-4</v>
      </c>
      <c r="BO104" s="716"/>
      <c r="BP104" s="716"/>
      <c r="BQ104" s="717"/>
      <c r="BR104" s="792">
        <f>'JSO (t)'!S125</f>
        <v>0</v>
      </c>
      <c r="BS104" s="709">
        <f>'JSO (t)'!T125</f>
        <v>0</v>
      </c>
      <c r="BT104" s="715"/>
      <c r="BU104" s="716"/>
      <c r="BV104" s="717"/>
      <c r="BW104" s="715"/>
      <c r="BX104" s="716"/>
      <c r="BY104" s="715"/>
      <c r="BZ104" s="716"/>
      <c r="CA104" s="716"/>
      <c r="CB104" s="718"/>
    </row>
    <row r="105" spans="1:80" ht="15" customHeight="1" thickBot="1" x14ac:dyDescent="0.25">
      <c r="A105" s="108"/>
      <c r="B105" s="672" t="s">
        <v>149</v>
      </c>
      <c r="C105" s="673"/>
      <c r="D105" s="674" t="s">
        <v>141</v>
      </c>
      <c r="E105" s="726">
        <f>'NUoS (t)'!G126</f>
        <v>940.97</v>
      </c>
      <c r="F105" s="726">
        <f>'NUoS (t)'!H126</f>
        <v>2.5000000000000001E-3</v>
      </c>
      <c r="G105" s="727"/>
      <c r="H105" s="727"/>
      <c r="I105" s="728"/>
      <c r="J105" s="726">
        <f>'NUoS (t)'!S126</f>
        <v>0</v>
      </c>
      <c r="K105" s="815">
        <f>'NUoS (t)'!T126</f>
        <v>4.1399999999999999E-2</v>
      </c>
      <c r="L105" s="729"/>
      <c r="M105" s="727"/>
      <c r="N105" s="728"/>
      <c r="O105" s="729"/>
      <c r="P105" s="727"/>
      <c r="Q105" s="729"/>
      <c r="R105" s="727"/>
      <c r="S105" s="727"/>
      <c r="T105" s="730"/>
      <c r="V105" s="672" t="s">
        <v>149</v>
      </c>
      <c r="W105" s="673"/>
      <c r="X105" s="674" t="s">
        <v>141</v>
      </c>
      <c r="Y105" s="726">
        <f>'DUoS (t)'!G126</f>
        <v>0</v>
      </c>
      <c r="Z105" s="726">
        <f>'DUoS (t)'!H126</f>
        <v>1.6000000000000001E-3</v>
      </c>
      <c r="AA105" s="727"/>
      <c r="AB105" s="727"/>
      <c r="AC105" s="728"/>
      <c r="AD105" s="726">
        <f>'DUoS (t)'!S126</f>
        <v>0</v>
      </c>
      <c r="AE105" s="815">
        <f>'DUoS (t)'!T126</f>
        <v>4.1399999999999999E-2</v>
      </c>
      <c r="AF105" s="729"/>
      <c r="AG105" s="727"/>
      <c r="AH105" s="728"/>
      <c r="AI105" s="729"/>
      <c r="AJ105" s="727"/>
      <c r="AK105" s="729"/>
      <c r="AL105" s="727"/>
      <c r="AM105" s="727"/>
      <c r="AN105" s="730"/>
      <c r="AP105" s="672" t="s">
        <v>149</v>
      </c>
      <c r="AQ105" s="673"/>
      <c r="AR105" s="674" t="s">
        <v>141</v>
      </c>
      <c r="AS105" s="726">
        <f>'TUoS (t)'!G126</f>
        <v>940.97</v>
      </c>
      <c r="AT105" s="726">
        <f>'TUoS (t)'!H126</f>
        <v>0</v>
      </c>
      <c r="AU105" s="727"/>
      <c r="AV105" s="727"/>
      <c r="AW105" s="728"/>
      <c r="AX105" s="726">
        <f>'TUoS (t)'!S126</f>
        <v>0</v>
      </c>
      <c r="AY105" s="815">
        <f>'TUoS (t)'!T126</f>
        <v>0</v>
      </c>
      <c r="AZ105" s="729"/>
      <c r="BA105" s="727"/>
      <c r="BB105" s="728"/>
      <c r="BC105" s="729"/>
      <c r="BD105" s="727"/>
      <c r="BE105" s="729"/>
      <c r="BF105" s="727"/>
      <c r="BG105" s="727"/>
      <c r="BH105" s="730"/>
      <c r="BJ105" s="672" t="s">
        <v>149</v>
      </c>
      <c r="BK105" s="673"/>
      <c r="BL105" s="674" t="s">
        <v>141</v>
      </c>
      <c r="BM105" s="726">
        <f>'JSO (t)'!G126</f>
        <v>0</v>
      </c>
      <c r="BN105" s="726">
        <f>'JSO (t)'!H126</f>
        <v>8.9999999999999998E-4</v>
      </c>
      <c r="BO105" s="727"/>
      <c r="BP105" s="727"/>
      <c r="BQ105" s="728"/>
      <c r="BR105" s="726">
        <f>'JSO (t)'!S126</f>
        <v>0</v>
      </c>
      <c r="BS105" s="815">
        <f>'JSO (t)'!T126</f>
        <v>0</v>
      </c>
      <c r="BT105" s="729"/>
      <c r="BU105" s="727"/>
      <c r="BV105" s="728"/>
      <c r="BW105" s="729"/>
      <c r="BX105" s="727"/>
      <c r="BY105" s="729"/>
      <c r="BZ105" s="727"/>
      <c r="CA105" s="727"/>
      <c r="CB105" s="730"/>
    </row>
    <row r="129" spans="2:64" x14ac:dyDescent="0.2">
      <c r="B129" s="23"/>
      <c r="C129" s="23"/>
      <c r="D129" s="36"/>
      <c r="V129" s="23"/>
      <c r="W129" s="23"/>
      <c r="X129" s="36"/>
      <c r="AP129" s="23"/>
      <c r="AQ129" s="23"/>
      <c r="AR129" s="36"/>
      <c r="BJ129" s="23"/>
      <c r="BK129" s="23"/>
      <c r="BL129" s="36"/>
    </row>
    <row r="130" spans="2:64" x14ac:dyDescent="0.2">
      <c r="B130" s="23"/>
      <c r="C130" s="23"/>
      <c r="V130" s="23"/>
      <c r="W130" s="23"/>
      <c r="AP130" s="23"/>
      <c r="AQ130" s="23"/>
      <c r="BJ130" s="23"/>
      <c r="BK130" s="23"/>
    </row>
    <row r="131" spans="2:64" x14ac:dyDescent="0.2">
      <c r="B131" s="23"/>
      <c r="C131" s="23"/>
      <c r="V131" s="23"/>
      <c r="W131" s="23"/>
      <c r="AP131" s="23"/>
      <c r="AQ131" s="23"/>
      <c r="BJ131" s="23"/>
      <c r="BK131" s="23"/>
    </row>
    <row r="132" spans="2:64" x14ac:dyDescent="0.2">
      <c r="B132" s="23"/>
      <c r="C132" s="23"/>
      <c r="V132" s="23"/>
      <c r="W132" s="23"/>
      <c r="AP132" s="23"/>
      <c r="AQ132" s="23"/>
      <c r="BJ132" s="23"/>
      <c r="BK132" s="23"/>
    </row>
    <row r="133" spans="2:64" x14ac:dyDescent="0.2">
      <c r="B133" s="23"/>
      <c r="C133" s="23"/>
      <c r="V133" s="23"/>
      <c r="W133" s="23"/>
      <c r="AP133" s="23"/>
      <c r="AQ133" s="23"/>
      <c r="BJ133" s="23"/>
      <c r="BK133" s="23"/>
    </row>
    <row r="134" spans="2:64" x14ac:dyDescent="0.2">
      <c r="B134" s="23"/>
      <c r="C134" s="23"/>
      <c r="V134" s="23"/>
      <c r="W134" s="23"/>
      <c r="AP134" s="23"/>
      <c r="AQ134" s="23"/>
      <c r="BJ134" s="23"/>
      <c r="BK134" s="23"/>
    </row>
    <row r="135" spans="2:64" x14ac:dyDescent="0.2">
      <c r="B135" s="23"/>
      <c r="C135" s="23"/>
      <c r="V135" s="23"/>
      <c r="W135" s="23"/>
      <c r="AP135" s="23"/>
      <c r="AQ135" s="23"/>
      <c r="BJ135" s="23"/>
      <c r="BK135" s="23"/>
    </row>
    <row r="136" spans="2:64" x14ac:dyDescent="0.2">
      <c r="B136" s="23"/>
      <c r="C136" s="23"/>
      <c r="V136" s="23"/>
      <c r="W136" s="23"/>
      <c r="AP136" s="23"/>
      <c r="AQ136" s="23"/>
      <c r="BJ136" s="23"/>
      <c r="BK136" s="23"/>
    </row>
    <row r="137" spans="2:64" x14ac:dyDescent="0.2">
      <c r="B137" s="23"/>
      <c r="C137" s="23"/>
      <c r="V137" s="23"/>
      <c r="W137" s="23"/>
      <c r="AP137" s="23"/>
      <c r="AQ137" s="23"/>
      <c r="BJ137" s="23"/>
      <c r="BK137" s="23"/>
    </row>
    <row r="138" spans="2:64" x14ac:dyDescent="0.2">
      <c r="B138" s="23"/>
      <c r="C138" s="23"/>
      <c r="V138" s="23"/>
      <c r="W138" s="23"/>
      <c r="AP138" s="23"/>
      <c r="AQ138" s="23"/>
      <c r="BJ138" s="23"/>
      <c r="BK138" s="23"/>
    </row>
    <row r="139" spans="2:64" x14ac:dyDescent="0.2">
      <c r="B139" s="23"/>
      <c r="C139" s="23"/>
      <c r="V139" s="23"/>
      <c r="W139" s="23"/>
      <c r="AP139" s="23"/>
      <c r="AQ139" s="23"/>
      <c r="BJ139" s="23"/>
      <c r="BK139" s="23"/>
    </row>
    <row r="140" spans="2:64" x14ac:dyDescent="0.2">
      <c r="B140" s="23"/>
      <c r="C140" s="23"/>
      <c r="V140" s="23"/>
      <c r="W140" s="23"/>
      <c r="AP140" s="23"/>
      <c r="AQ140" s="23"/>
      <c r="BJ140" s="23"/>
      <c r="BK140" s="23"/>
    </row>
    <row r="141" spans="2:64" x14ac:dyDescent="0.2">
      <c r="B141" s="23"/>
      <c r="C141" s="23"/>
      <c r="V141" s="23"/>
      <c r="W141" s="23"/>
      <c r="AP141" s="23"/>
      <c r="AQ141" s="23"/>
      <c r="BJ141" s="23"/>
      <c r="BK141" s="23"/>
    </row>
    <row r="142" spans="2:64" x14ac:dyDescent="0.2">
      <c r="B142" s="23"/>
      <c r="C142" s="23"/>
      <c r="V142" s="23"/>
      <c r="W142" s="23"/>
      <c r="AP142" s="23"/>
      <c r="AQ142" s="23"/>
      <c r="BJ142" s="23"/>
      <c r="BK142" s="23"/>
    </row>
    <row r="143" spans="2:64" x14ac:dyDescent="0.2">
      <c r="B143" s="23"/>
      <c r="C143" s="23"/>
      <c r="V143" s="23"/>
      <c r="W143" s="23"/>
      <c r="AP143" s="23"/>
      <c r="AQ143" s="23"/>
      <c r="BJ143" s="23"/>
      <c r="BK143" s="23"/>
    </row>
    <row r="144" spans="2:64" x14ac:dyDescent="0.2">
      <c r="B144" s="23"/>
      <c r="C144" s="23"/>
      <c r="V144" s="23"/>
      <c r="W144" s="23"/>
      <c r="AP144" s="23"/>
      <c r="AQ144" s="23"/>
      <c r="BJ144" s="23"/>
      <c r="BK144" s="23"/>
    </row>
    <row r="145" spans="2:63" x14ac:dyDescent="0.2">
      <c r="B145" s="23"/>
      <c r="C145" s="23"/>
      <c r="V145" s="23"/>
      <c r="W145" s="23"/>
      <c r="AP145" s="23"/>
      <c r="AQ145" s="23"/>
      <c r="BJ145" s="23"/>
      <c r="BK145" s="23"/>
    </row>
    <row r="146" spans="2:63" x14ac:dyDescent="0.2">
      <c r="B146" s="23"/>
      <c r="C146" s="23"/>
      <c r="V146" s="23"/>
      <c r="W146" s="23"/>
      <c r="AP146" s="23"/>
      <c r="AQ146" s="23"/>
      <c r="BJ146" s="23"/>
      <c r="BK146" s="23"/>
    </row>
    <row r="147" spans="2:63" x14ac:dyDescent="0.2">
      <c r="B147" s="23"/>
      <c r="C147" s="23"/>
      <c r="V147" s="23"/>
      <c r="W147" s="23"/>
      <c r="AP147" s="23"/>
      <c r="AQ147" s="23"/>
      <c r="BJ147" s="23"/>
      <c r="BK147" s="23"/>
    </row>
    <row r="148" spans="2:63" x14ac:dyDescent="0.2">
      <c r="B148" s="23"/>
      <c r="C148" s="23"/>
      <c r="V148" s="23"/>
      <c r="W148" s="23"/>
      <c r="AP148" s="23"/>
      <c r="AQ148" s="23"/>
      <c r="BJ148" s="23"/>
      <c r="BK148" s="23"/>
    </row>
    <row r="149" spans="2:63" x14ac:dyDescent="0.2">
      <c r="B149" s="23"/>
      <c r="C149" s="23"/>
      <c r="V149" s="23"/>
      <c r="W149" s="23"/>
      <c r="AP149" s="23"/>
      <c r="AQ149" s="23"/>
      <c r="BJ149" s="23"/>
      <c r="BK149" s="23"/>
    </row>
    <row r="150" spans="2:63" x14ac:dyDescent="0.2">
      <c r="B150" s="23"/>
      <c r="C150" s="23"/>
      <c r="V150" s="23"/>
      <c r="W150" s="23"/>
      <c r="AP150" s="23"/>
      <c r="AQ150" s="23"/>
      <c r="BJ150" s="23"/>
      <c r="BK150" s="23"/>
    </row>
    <row r="151" spans="2:63" x14ac:dyDescent="0.2">
      <c r="B151" s="23"/>
      <c r="C151" s="23"/>
      <c r="V151" s="23"/>
      <c r="W151" s="23"/>
      <c r="AP151" s="23"/>
      <c r="AQ151" s="23"/>
      <c r="BJ151" s="23"/>
      <c r="BK151" s="23"/>
    </row>
    <row r="152" spans="2:63" x14ac:dyDescent="0.2">
      <c r="B152" s="23"/>
      <c r="C152" s="23"/>
      <c r="V152" s="23"/>
      <c r="W152" s="23"/>
      <c r="AP152" s="23"/>
      <c r="AQ152" s="23"/>
      <c r="BJ152" s="23"/>
      <c r="BK152" s="23"/>
    </row>
    <row r="153" spans="2:63" x14ac:dyDescent="0.2">
      <c r="B153" s="23"/>
      <c r="C153" s="23"/>
      <c r="V153" s="23"/>
      <c r="W153" s="23"/>
      <c r="AP153" s="23"/>
      <c r="AQ153" s="23"/>
      <c r="BJ153" s="23"/>
      <c r="BK153" s="23"/>
    </row>
    <row r="154" spans="2:63" x14ac:dyDescent="0.2">
      <c r="B154" s="23"/>
      <c r="C154" s="23"/>
      <c r="V154" s="23"/>
      <c r="W154" s="23"/>
      <c r="AP154" s="23"/>
      <c r="AQ154" s="23"/>
      <c r="BJ154" s="23"/>
      <c r="BK154" s="23"/>
    </row>
    <row r="155" spans="2:63" x14ac:dyDescent="0.2">
      <c r="B155" s="23"/>
      <c r="C155" s="23"/>
      <c r="V155" s="23"/>
      <c r="W155" s="23"/>
      <c r="AP155" s="23"/>
      <c r="AQ155" s="23"/>
      <c r="BJ155" s="23"/>
      <c r="BK155" s="23"/>
    </row>
    <row r="156" spans="2:63" x14ac:dyDescent="0.2">
      <c r="B156" s="23"/>
      <c r="C156" s="23"/>
      <c r="V156" s="23"/>
      <c r="W156" s="23"/>
      <c r="AP156" s="23"/>
      <c r="AQ156" s="23"/>
      <c r="BJ156" s="23"/>
      <c r="BK156" s="23"/>
    </row>
    <row r="157" spans="2:63" x14ac:dyDescent="0.2">
      <c r="B157" s="23"/>
      <c r="C157" s="23"/>
      <c r="V157" s="23"/>
      <c r="W157" s="23"/>
      <c r="AP157" s="23"/>
      <c r="AQ157" s="23"/>
      <c r="BJ157" s="23"/>
      <c r="BK157" s="23"/>
    </row>
    <row r="163" spans="4:64" x14ac:dyDescent="0.2">
      <c r="D163" s="36"/>
      <c r="X163" s="36"/>
      <c r="AR163" s="36"/>
      <c r="BL163" s="36"/>
    </row>
    <row r="174" spans="4:64" x14ac:dyDescent="0.2">
      <c r="D174" s="36"/>
      <c r="X174" s="36"/>
      <c r="AR174" s="36"/>
      <c r="BL174" s="36"/>
    </row>
  </sheetData>
  <mergeCells count="80">
    <mergeCell ref="BN51:BQ51"/>
    <mergeCell ref="BY51:CB51"/>
    <mergeCell ref="BT51:BV51"/>
    <mergeCell ref="BR51:BS51"/>
    <mergeCell ref="BW51:BX51"/>
    <mergeCell ref="AT51:AW51"/>
    <mergeCell ref="BE51:BH51"/>
    <mergeCell ref="AZ51:BB51"/>
    <mergeCell ref="AX51:AY51"/>
    <mergeCell ref="BC51:BD51"/>
    <mergeCell ref="Z51:AC51"/>
    <mergeCell ref="AK51:AN51"/>
    <mergeCell ref="AF51:AH51"/>
    <mergeCell ref="AD51:AE51"/>
    <mergeCell ref="AI51:AJ51"/>
    <mergeCell ref="F51:I51"/>
    <mergeCell ref="Q51:T51"/>
    <mergeCell ref="L51:N51"/>
    <mergeCell ref="J51:K51"/>
    <mergeCell ref="O51:P51"/>
    <mergeCell ref="BN50:BQ50"/>
    <mergeCell ref="BY50:CB50"/>
    <mergeCell ref="BT50:BV50"/>
    <mergeCell ref="BR50:BS50"/>
    <mergeCell ref="BW50:BX50"/>
    <mergeCell ref="AT50:AW50"/>
    <mergeCell ref="BE50:BH50"/>
    <mergeCell ref="AZ50:BB50"/>
    <mergeCell ref="AX50:AY50"/>
    <mergeCell ref="BC50:BD50"/>
    <mergeCell ref="Z50:AC50"/>
    <mergeCell ref="AK50:AN50"/>
    <mergeCell ref="AF50:AH50"/>
    <mergeCell ref="AD50:AE50"/>
    <mergeCell ref="AI50:AJ50"/>
    <mergeCell ref="F50:I50"/>
    <mergeCell ref="Q50:T50"/>
    <mergeCell ref="L50:N50"/>
    <mergeCell ref="J50:K50"/>
    <mergeCell ref="O50:P50"/>
    <mergeCell ref="BN7:BQ7"/>
    <mergeCell ref="BY7:CB7"/>
    <mergeCell ref="BT7:BV7"/>
    <mergeCell ref="BR7:BS7"/>
    <mergeCell ref="BW7:BX7"/>
    <mergeCell ref="BN6:BQ6"/>
    <mergeCell ref="BY6:CB6"/>
    <mergeCell ref="BT6:BV6"/>
    <mergeCell ref="BR6:BS6"/>
    <mergeCell ref="BW6:BX6"/>
    <mergeCell ref="AT7:AW7"/>
    <mergeCell ref="BE7:BH7"/>
    <mergeCell ref="AZ7:BB7"/>
    <mergeCell ref="AX7:AY7"/>
    <mergeCell ref="BC7:BD7"/>
    <mergeCell ref="AT6:AW6"/>
    <mergeCell ref="BE6:BH6"/>
    <mergeCell ref="AZ6:BB6"/>
    <mergeCell ref="AX6:AY6"/>
    <mergeCell ref="BC6:BD6"/>
    <mergeCell ref="Z7:AC7"/>
    <mergeCell ref="AK7:AN7"/>
    <mergeCell ref="AF7:AH7"/>
    <mergeCell ref="AD7:AE7"/>
    <mergeCell ref="AI7:AJ7"/>
    <mergeCell ref="Z6:AC6"/>
    <mergeCell ref="AK6:AN6"/>
    <mergeCell ref="AF6:AH6"/>
    <mergeCell ref="AD6:AE6"/>
    <mergeCell ref="AI6:AJ6"/>
    <mergeCell ref="Q6:T6"/>
    <mergeCell ref="F7:I7"/>
    <mergeCell ref="Q7:T7"/>
    <mergeCell ref="L6:N6"/>
    <mergeCell ref="L7:N7"/>
    <mergeCell ref="J6:K6"/>
    <mergeCell ref="O6:P6"/>
    <mergeCell ref="J7:K7"/>
    <mergeCell ref="O7:P7"/>
    <mergeCell ref="F6:I6"/>
  </mergeCells>
  <pageMargins left="0.25" right="0.25" top="0.75" bottom="0.75" header="0.3" footer="0.3"/>
  <pageSetup paperSize="9" scale="56" fitToHeight="0" orientation="landscape" r:id="rId1"/>
  <rowBreaks count="1" manualBreakCount="1">
    <brk id="49" min="1" max="99" man="1"/>
  </rowBreaks>
  <colBreaks count="1" manualBreakCount="1">
    <brk id="21" max="111" man="1"/>
  </colBreaks>
  <ignoredErrors>
    <ignoredError sqref="C91:C92 C15:C33 C71:C73 C88:C89 C55:C56 AA73:AC73 W73:X73 AO73:AR73 AO81:AO84 W92:X92 AO92:AR92 W97:X105 AO97:AR105 BI88:BI89 CC88:CC89 BI73:BL73 BI92:BL92 BI97:BL105 BO73:BQ73 CC71:CC73 BI81:BI84 AO88:AO89 C36 C59 AA13:AC13 AO13 Y15:Z16 AO15:AO16 W19:Y20 AO19:AS20 W22:Y22 AA22:AC22 AO22:AS22 W23:Z23 AB23 AO23:AT23 W26:Z27 AO26:AT27 W28:Y28 AO28:AS28 Y31 AA31:AC31 Y32:Z32 AB32 Y34:Z35 AB34:AB35 Y36 AO31:AO35 Y57:Z58 AB57:AB58 Y59 Y60:Z60 AB60 AO57:AO58 AU13:AW13 BI13 BI15:BI16 BI19:BM20 AU22:AW22 BI22:BM22 AV23 BI23:BN23 BI26:BN27 BI28:BM28 AS31 AU31:AW31 AS32:AT32 AV32 AS34:AT35 AV34:AV35 AS36 BI31:BI35 AS57:AT58 AV57:AV58 AS59 AS60:AT60 AV60 BI57:BI58 BO13:BQ13 CC13 BO22:BQ22 BP23 BM31 BO31:BQ31 BM32:BN32 BP32 BM34:BN35 BP34:BP35 BM36 CC15:CC35 BM57:BN58 BP57:BP58 BM59 BM60:BN60 BP60 CC55:CC58 C13 BM13 AS13 Y13 AS15:AT16 BM15:BN16 AA59:AC59 AA36:AC36 Y37:AC37 AA28:AC28 W29:AC30 W24:AC25 AA19:AC20 W21:AC21 Y61:AC61 Y33:AC33 AI97:AJ105 W106:AC176 AI92:AJ92 W96:AC96 AI81:AJ84 AI89:AJ89 AI73:AJ73 W80:AC80 W55:AC56 W71:AC72 W17:AC18 W91:AC91 AF73:AH73 AF55:AJ58 AF15:AJ34 AF13:AJ13 AF106:AJ176 AF96:AJ96 AF80:AJ80 AF71:AJ72 AF91:AJ91 AU59:AW59 AU36:AW36 AS37:AW37 AU28:AW28 AU19:AW20 AO29:AW30 AO24:AW25 AO21:AW21 AS61:AW61 AS33:AW33 BC97:BD105 BC92:BD92 BC73:BD73 BC81:BD83 AO106:AW176 AO96:AW96 AO80:AW80 AO55:AW56 AO71:AW72 AO17:AW18 AO91:AW91 AZ55:BD56 AZ15:BD35 AZ13:BD13 AZ106:BD176 AZ96:BD96 AZ80:BD80 AZ71:BD72 AZ91:BD91 BO59:BQ59 BO36:BQ36 BM37:BQ37 BO28:BQ28 BO19:BQ20 BI29:BQ30 BI24:BQ25 BI21:BQ21 BM61:BQ61 BM33:BQ33 BW97:BX105 BW92:BX92 BW73:BX73 BW81:BX83 BI106:BQ176 BI96:BQ96 BI80:BQ80 BI55:BQ56 BI71:BQ72 BI17:BQ18 BI91:BQ91 BT73:BV73 BT55:BX57 BT15:BX34 BT13:BX13 BT106:BX176 BT96:BX96 BT80:BX80 BT71:BX72 BT91:BX91 CC91:CC92 AO37 BI37 CC37 AF37:AH37 AZ37:BB37 BT37:BV37 AO61 BI61 CC61 AF61:AH61 AZ61:BB61 BT61:BV61 C74:C84 W74:X79 AO74:AR79 BI74:BL79 CC74:CC84 AI74:AJ79 BC74:BD79 BW74:BX79 C93:C105 W93:X95 AO93:AR95 BI93:BL95 AI93:AJ95 BC93:BD95 BW93:BX95 CC93:CC176 AF35:AH35 AF59:AH60 AZ36:BB36 AZ57:BB58 BT35:BV35 BT58:BV58 AO36 BI36 CC36 AF36:AH36 BT36:BV36 AO59:AO60 BI59:BI60 CC59:CC60 AZ59:BB60 BT59:BV60"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2F0E-3E9C-43A4-B763-05A741C1E983}">
  <sheetPr>
    <tabColor rgb="FFFFC000"/>
  </sheetPr>
  <dimension ref="A1:Y162"/>
  <sheetViews>
    <sheetView showGridLines="0" topLeftCell="A79" zoomScale="90" zoomScaleNormal="90" workbookViewId="0">
      <selection activeCell="A100" sqref="A100:Y148"/>
    </sheetView>
  </sheetViews>
  <sheetFormatPr defaultRowHeight="15" x14ac:dyDescent="0.25"/>
  <cols>
    <col min="1" max="1" width="3.7109375" style="357" customWidth="1"/>
    <col min="2" max="2" width="7.7109375" style="357" customWidth="1"/>
    <col min="3" max="3" width="27.5703125" style="357" customWidth="1"/>
    <col min="4" max="4" width="2.7109375" style="357" customWidth="1"/>
    <col min="5" max="5" width="13.7109375" style="357" customWidth="1"/>
    <col min="6" max="6" width="9.7109375" style="512" customWidth="1"/>
    <col min="7" max="25" width="9.7109375" style="357" customWidth="1"/>
    <col min="26" max="16384" width="9.140625" style="357"/>
  </cols>
  <sheetData>
    <row r="1" spans="1:25" ht="15.75" thickBot="1" x14ac:dyDescent="0.3"/>
    <row r="2" spans="1:25" ht="15.75" x14ac:dyDescent="0.25">
      <c r="B2" s="358" t="s">
        <v>284</v>
      </c>
      <c r="F2" s="885" t="s">
        <v>320</v>
      </c>
      <c r="G2" s="886"/>
      <c r="H2" s="886"/>
      <c r="I2" s="887"/>
      <c r="J2" s="886" t="s">
        <v>321</v>
      </c>
      <c r="K2" s="886"/>
      <c r="L2" s="886"/>
      <c r="M2" s="887"/>
      <c r="N2" s="885" t="s">
        <v>322</v>
      </c>
      <c r="O2" s="886"/>
      <c r="P2" s="886"/>
      <c r="Q2" s="887"/>
      <c r="R2" s="885" t="s">
        <v>323</v>
      </c>
      <c r="S2" s="886"/>
      <c r="T2" s="886"/>
      <c r="U2" s="887"/>
      <c r="V2" s="885" t="s">
        <v>324</v>
      </c>
      <c r="W2" s="886"/>
      <c r="X2" s="886"/>
      <c r="Y2" s="887"/>
    </row>
    <row r="3" spans="1:25" ht="16.5" thickBot="1" x14ac:dyDescent="0.3">
      <c r="B3" s="358" t="s">
        <v>703</v>
      </c>
      <c r="F3" s="360" t="s">
        <v>286</v>
      </c>
      <c r="G3" s="362" t="s">
        <v>287</v>
      </c>
      <c r="H3" s="362" t="s">
        <v>288</v>
      </c>
      <c r="I3" s="363" t="s">
        <v>289</v>
      </c>
      <c r="J3" s="361" t="s">
        <v>286</v>
      </c>
      <c r="K3" s="362" t="s">
        <v>287</v>
      </c>
      <c r="L3" s="362" t="s">
        <v>288</v>
      </c>
      <c r="M3" s="363" t="s">
        <v>289</v>
      </c>
      <c r="N3" s="360" t="s">
        <v>286</v>
      </c>
      <c r="O3" s="362" t="s">
        <v>287</v>
      </c>
      <c r="P3" s="362" t="s">
        <v>288</v>
      </c>
      <c r="Q3" s="363" t="s">
        <v>289</v>
      </c>
      <c r="R3" s="360" t="s">
        <v>286</v>
      </c>
      <c r="S3" s="362" t="s">
        <v>287</v>
      </c>
      <c r="T3" s="362" t="s">
        <v>288</v>
      </c>
      <c r="U3" s="363" t="s">
        <v>289</v>
      </c>
      <c r="V3" s="361" t="s">
        <v>286</v>
      </c>
      <c r="W3" s="362" t="s">
        <v>287</v>
      </c>
      <c r="X3" s="362" t="s">
        <v>288</v>
      </c>
      <c r="Y3" s="363" t="s">
        <v>289</v>
      </c>
    </row>
    <row r="4" spans="1:25" ht="15.75" x14ac:dyDescent="0.25">
      <c r="A4" s="359" t="str">
        <f>[16]Residential!A2</f>
        <v>Residential Customers</v>
      </c>
      <c r="B4" s="364"/>
      <c r="C4" s="364"/>
      <c r="D4" s="364"/>
      <c r="E4" s="364"/>
      <c r="F4" s="517"/>
      <c r="G4" s="521"/>
      <c r="H4" s="521"/>
      <c r="I4" s="522"/>
      <c r="J4" s="366"/>
      <c r="K4" s="364"/>
      <c r="L4" s="364"/>
      <c r="M4" s="367"/>
      <c r="N4" s="365"/>
      <c r="O4" s="364"/>
      <c r="P4" s="364"/>
      <c r="Q4" s="367"/>
      <c r="R4" s="365"/>
      <c r="S4" s="364"/>
      <c r="T4" s="364"/>
      <c r="U4" s="367"/>
      <c r="V4" s="366"/>
      <c r="W4" s="364"/>
      <c r="X4" s="364"/>
      <c r="Y4" s="367"/>
    </row>
    <row r="5" spans="1:25" ht="15.95" customHeight="1" x14ac:dyDescent="0.25">
      <c r="A5" s="368"/>
      <c r="B5" s="369" t="str">
        <f>[16]Residential!B48</f>
        <v>Residential Type 6</v>
      </c>
      <c r="C5" s="370"/>
      <c r="D5" s="370"/>
      <c r="E5" s="370" t="s">
        <v>290</v>
      </c>
      <c r="F5" s="842" t="s">
        <v>708</v>
      </c>
      <c r="G5" s="523"/>
      <c r="H5" s="523"/>
      <c r="I5" s="524"/>
      <c r="J5" s="840" t="s">
        <v>290</v>
      </c>
      <c r="K5" s="370"/>
      <c r="L5" s="370"/>
      <c r="M5" s="373"/>
      <c r="N5" s="840" t="s">
        <v>290</v>
      </c>
      <c r="O5" s="370"/>
      <c r="P5" s="370"/>
      <c r="Q5" s="373"/>
      <c r="R5" s="840" t="s">
        <v>290</v>
      </c>
      <c r="S5" s="370"/>
      <c r="T5" s="370"/>
      <c r="U5" s="373"/>
      <c r="V5" s="840" t="s">
        <v>290</v>
      </c>
      <c r="W5" s="370"/>
      <c r="X5" s="370"/>
      <c r="Y5" s="373"/>
    </row>
    <row r="6" spans="1:25" ht="15.95" customHeight="1" x14ac:dyDescent="0.25">
      <c r="A6" s="374"/>
      <c r="B6" s="375"/>
      <c r="C6" s="357" t="str">
        <f>[16]Residential!B49</f>
        <v>Customers/Supply Ch</v>
      </c>
      <c r="E6" s="357" t="s">
        <v>291</v>
      </c>
      <c r="F6" s="745">
        <f>'DUoS (t)'!$G$18*Days_Year</f>
        <v>155.0155</v>
      </c>
      <c r="G6" s="746">
        <f>'TUoS (t)'!$G$18*Days_Year</f>
        <v>0</v>
      </c>
      <c r="H6" s="746">
        <f>'JSO (t)'!$G$18*Days_Year</f>
        <v>15.001499999999998</v>
      </c>
      <c r="I6" s="747">
        <f>SUM(F6:H6)</f>
        <v>170.017</v>
      </c>
      <c r="J6" s="510">
        <f>'[17]Price Schedule 5 year'!J6</f>
        <v>165.00219999999999</v>
      </c>
      <c r="K6" s="378">
        <f>'[17]Price Schedule 5 year'!K6</f>
        <v>0</v>
      </c>
      <c r="L6" s="378">
        <f>'[17]Price Schedule 5 year'!L6</f>
        <v>15</v>
      </c>
      <c r="M6" s="379">
        <f>SUM(J6:L6)</f>
        <v>180.00219999999999</v>
      </c>
      <c r="N6" s="376">
        <f>'[17]Price Schedule 5 year'!N6</f>
        <v>175.00219999999999</v>
      </c>
      <c r="O6" s="378">
        <f>'[17]Price Schedule 5 year'!O6</f>
        <v>0</v>
      </c>
      <c r="P6" s="378">
        <f>'[17]Price Schedule 5 year'!P6</f>
        <v>15</v>
      </c>
      <c r="Q6" s="379">
        <f>SUM(N6:P6)</f>
        <v>190.00219999999999</v>
      </c>
      <c r="R6" s="376">
        <f>'[17]Price Schedule 5 year'!R6</f>
        <v>185.00219999999999</v>
      </c>
      <c r="S6" s="378">
        <f>'[17]Price Schedule 5 year'!S6</f>
        <v>0</v>
      </c>
      <c r="T6" s="378">
        <f>'[17]Price Schedule 5 year'!T6</f>
        <v>15</v>
      </c>
      <c r="U6" s="379">
        <f>SUM(R6:T6)</f>
        <v>200.00219999999999</v>
      </c>
      <c r="V6" s="377">
        <f>'[17]Price Schedule 5 year'!V6</f>
        <v>195.00219999999999</v>
      </c>
      <c r="W6" s="378">
        <f>'[17]Price Schedule 5 year'!W6</f>
        <v>0</v>
      </c>
      <c r="X6" s="378">
        <f>'[17]Price Schedule 5 year'!X6</f>
        <v>15</v>
      </c>
      <c r="Y6" s="379">
        <f>SUM(V6:X6)</f>
        <v>210.00219999999999</v>
      </c>
    </row>
    <row r="7" spans="1:25" ht="15.95" customHeight="1" x14ac:dyDescent="0.25">
      <c r="A7" s="380"/>
      <c r="B7" s="381"/>
      <c r="C7" s="382" t="str">
        <f>[16]Residential!B50</f>
        <v>Usage</v>
      </c>
      <c r="D7" s="382"/>
      <c r="E7" s="382" t="s">
        <v>292</v>
      </c>
      <c r="F7" s="519">
        <f>'DUoS (t)'!$H$18</f>
        <v>9.2299999999999993E-2</v>
      </c>
      <c r="G7" s="527">
        <f>('TUoS (t)'!$H$18)</f>
        <v>3.39E-2</v>
      </c>
      <c r="H7" s="527">
        <f>('JSO (t)'!$H$18)</f>
        <v>1.1599999999999999E-2</v>
      </c>
      <c r="I7" s="528">
        <f>SUM(F7:H7)</f>
        <v>0.13779999999999998</v>
      </c>
      <c r="J7" s="384">
        <f>'[17]Price Schedule 5 year'!J7</f>
        <v>8.5866062908210417E-2</v>
      </c>
      <c r="K7" s="385">
        <f>'[17]Price Schedule 5 year'!K7</f>
        <v>3.4641712706910667E-2</v>
      </c>
      <c r="L7" s="385">
        <f>'[17]Price Schedule 5 year'!L7</f>
        <v>1.147846052552148E-2</v>
      </c>
      <c r="M7" s="386">
        <f>SUM(J7:L7)</f>
        <v>0.13198623614064256</v>
      </c>
      <c r="N7" s="383">
        <f>'[17]Price Schedule 5 year'!N7</f>
        <v>8.3905084671060962E-2</v>
      </c>
      <c r="O7" s="385">
        <f>'[17]Price Schedule 5 year'!O7</f>
        <v>3.5608308843501468E-2</v>
      </c>
      <c r="P7" s="385">
        <f>'[17]Price Schedule 5 year'!P7</f>
        <v>1.1480325320442894E-2</v>
      </c>
      <c r="Q7" s="386">
        <f>SUM(N7:P7)</f>
        <v>0.13099371883500532</v>
      </c>
      <c r="R7" s="383">
        <f>'[17]Price Schedule 5 year'!R7</f>
        <v>8.1938699396734038E-2</v>
      </c>
      <c r="S7" s="385">
        <f>'[17]Price Schedule 5 year'!S7</f>
        <v>3.6602201922563658E-2</v>
      </c>
      <c r="T7" s="385">
        <f>'[17]Price Schedule 5 year'!T7</f>
        <v>1.1486197270780143E-2</v>
      </c>
      <c r="U7" s="386">
        <f>SUM(R7:T7)</f>
        <v>0.13002709859007786</v>
      </c>
      <c r="V7" s="384">
        <f>'[17]Price Schedule 5 year'!V7</f>
        <v>7.9924839365123748E-2</v>
      </c>
      <c r="W7" s="385">
        <f>'[17]Price Schedule 5 year'!W7</f>
        <v>3.7623618327448274E-2</v>
      </c>
      <c r="X7" s="385">
        <f>'[17]Price Schedule 5 year'!X7</f>
        <v>1.1492280215149857E-2</v>
      </c>
      <c r="Y7" s="386">
        <f>SUM(V7:X7)</f>
        <v>0.12904073790772189</v>
      </c>
    </row>
    <row r="8" spans="1:25" ht="15.95" customHeight="1" x14ac:dyDescent="0.25">
      <c r="A8" s="368"/>
      <c r="B8" s="369" t="str">
        <f>[16]Residential!B53</f>
        <v>Residential TOU</v>
      </c>
      <c r="C8" s="370"/>
      <c r="D8" s="370"/>
      <c r="E8" s="370" t="s">
        <v>704</v>
      </c>
      <c r="F8" s="518"/>
      <c r="G8" s="523"/>
      <c r="H8" s="523"/>
      <c r="I8" s="524"/>
      <c r="J8" s="388">
        <f>'[17]Price Schedule 5 year'!J8</f>
        <v>0</v>
      </c>
      <c r="K8" s="389">
        <f>'[17]Price Schedule 5 year'!K8</f>
        <v>0</v>
      </c>
      <c r="L8" s="389">
        <f>'[17]Price Schedule 5 year'!L8</f>
        <v>0</v>
      </c>
      <c r="M8" s="390"/>
      <c r="N8" s="387">
        <f>'[17]Price Schedule 5 year'!N8</f>
        <v>0</v>
      </c>
      <c r="O8" s="389">
        <f>'[17]Price Schedule 5 year'!O8</f>
        <v>0</v>
      </c>
      <c r="P8" s="389">
        <f>'[17]Price Schedule 5 year'!P8</f>
        <v>0</v>
      </c>
      <c r="Q8" s="390"/>
      <c r="R8" s="387">
        <f>'[17]Price Schedule 5 year'!R8</f>
        <v>0</v>
      </c>
      <c r="S8" s="389">
        <f>'[17]Price Schedule 5 year'!S8</f>
        <v>0</v>
      </c>
      <c r="T8" s="389">
        <f>'[17]Price Schedule 5 year'!T8</f>
        <v>0</v>
      </c>
      <c r="U8" s="390"/>
      <c r="V8" s="388">
        <f>'[17]Price Schedule 5 year'!V8</f>
        <v>0</v>
      </c>
      <c r="W8" s="389">
        <f>'[17]Price Schedule 5 year'!W8</f>
        <v>0</v>
      </c>
      <c r="X8" s="389">
        <f>'[17]Price Schedule 5 year'!X8</f>
        <v>0</v>
      </c>
      <c r="Y8" s="390"/>
    </row>
    <row r="9" spans="1:25" ht="15.95" customHeight="1" x14ac:dyDescent="0.25">
      <c r="A9" s="374"/>
      <c r="B9" s="375"/>
      <c r="C9" s="357" t="str">
        <f>[16]Residential!B54</f>
        <v>Customers/Supply Ch</v>
      </c>
      <c r="E9" s="357" t="s">
        <v>291</v>
      </c>
      <c r="F9" s="745">
        <f>'DUoS (t)'!$G$22*Days_Year</f>
        <v>155.0155</v>
      </c>
      <c r="G9" s="746">
        <f>'TUoS (t)'!$G$22*Days_Year</f>
        <v>0</v>
      </c>
      <c r="H9" s="746">
        <f>'JSO (t)'!$G$22*Days_Year</f>
        <v>15.001499999999998</v>
      </c>
      <c r="I9" s="747">
        <f>SUM(F9:H9)</f>
        <v>170.017</v>
      </c>
      <c r="J9" s="510">
        <f>'[17]Price Schedule 5 year'!J9</f>
        <v>165.00219999999999</v>
      </c>
      <c r="K9" s="378">
        <f>'[17]Price Schedule 5 year'!K9</f>
        <v>0</v>
      </c>
      <c r="L9" s="378">
        <f>'[17]Price Schedule 5 year'!L9</f>
        <v>15</v>
      </c>
      <c r="M9" s="379">
        <f>SUM(J9:L9)</f>
        <v>180.00219999999999</v>
      </c>
      <c r="N9" s="376">
        <f>'[17]Price Schedule 5 year'!N9</f>
        <v>175.00219999999999</v>
      </c>
      <c r="O9" s="378">
        <f>'[17]Price Schedule 5 year'!O9</f>
        <v>0</v>
      </c>
      <c r="P9" s="378">
        <f>'[17]Price Schedule 5 year'!P9</f>
        <v>15</v>
      </c>
      <c r="Q9" s="379">
        <f>SUM(N9:P9)</f>
        <v>190.00219999999999</v>
      </c>
      <c r="R9" s="376">
        <f>'[17]Price Schedule 5 year'!R9</f>
        <v>185.00219999999999</v>
      </c>
      <c r="S9" s="378">
        <f>'[17]Price Schedule 5 year'!S9</f>
        <v>0</v>
      </c>
      <c r="T9" s="378">
        <f>'[17]Price Schedule 5 year'!T9</f>
        <v>15</v>
      </c>
      <c r="U9" s="379">
        <f>SUM(R9:T9)</f>
        <v>200.00219999999999</v>
      </c>
      <c r="V9" s="377">
        <f>'[17]Price Schedule 5 year'!V9</f>
        <v>195.00219999999999</v>
      </c>
      <c r="W9" s="378">
        <f>'[17]Price Schedule 5 year'!W9</f>
        <v>0</v>
      </c>
      <c r="X9" s="378">
        <f>'[17]Price Schedule 5 year'!X9</f>
        <v>15</v>
      </c>
      <c r="Y9" s="379">
        <f>SUM(V9:X9)</f>
        <v>210.00219999999999</v>
      </c>
    </row>
    <row r="10" spans="1:25" ht="15.95" customHeight="1" x14ac:dyDescent="0.25">
      <c r="A10" s="374"/>
      <c r="B10" s="375"/>
      <c r="C10" s="357" t="str">
        <f>[16]Residential!B55</f>
        <v>Peak Usage</v>
      </c>
      <c r="E10" s="357" t="s">
        <v>292</v>
      </c>
      <c r="F10" s="516">
        <f>'DUoS (t)'!$I$22</f>
        <v>0.1154</v>
      </c>
      <c r="G10" s="525">
        <f>'TUoS (t)'!$I$22</f>
        <v>4.24E-2</v>
      </c>
      <c r="H10" s="525">
        <f>'JSO (t)'!$I$22</f>
        <v>1.4500000000000001E-2</v>
      </c>
      <c r="I10" s="526">
        <f>SUM(F10:H10)</f>
        <v>0.17230000000000001</v>
      </c>
      <c r="J10" s="511">
        <f>'[17]Price Schedule 5 year'!J10</f>
        <v>0.10733257863526302</v>
      </c>
      <c r="K10" s="393">
        <f>'[17]Price Schedule 5 year'!K10</f>
        <v>4.3302140883638332E-2</v>
      </c>
      <c r="L10" s="393">
        <f>'[17]Price Schedule 5 year'!L10</f>
        <v>1.4348075656901851E-2</v>
      </c>
      <c r="M10" s="394">
        <f>SUM(J10:L10)</f>
        <v>0.16498279517580319</v>
      </c>
      <c r="N10" s="391">
        <f>'[17]Price Schedule 5 year'!N10</f>
        <v>0.1048813558388262</v>
      </c>
      <c r="O10" s="393">
        <f>'[17]Price Schedule 5 year'!O10</f>
        <v>4.4510386054376835E-2</v>
      </c>
      <c r="P10" s="393">
        <f>'[17]Price Schedule 5 year'!P10</f>
        <v>1.4350406650553617E-2</v>
      </c>
      <c r="Q10" s="394">
        <f>SUM(N10:P10)</f>
        <v>0.16374214854375665</v>
      </c>
      <c r="R10" s="391">
        <f>'[17]Price Schedule 5 year'!R10</f>
        <v>0.10242337424591755</v>
      </c>
      <c r="S10" s="393">
        <f>'[17]Price Schedule 5 year'!S10</f>
        <v>4.5752752403204575E-2</v>
      </c>
      <c r="T10" s="393">
        <f>'[17]Price Schedule 5 year'!T10</f>
        <v>1.4357746588475179E-2</v>
      </c>
      <c r="U10" s="394">
        <f>SUM(R10:T10)</f>
        <v>0.1625338732375973</v>
      </c>
      <c r="V10" s="392">
        <f>'[17]Price Schedule 5 year'!V10</f>
        <v>9.9906049206404682E-2</v>
      </c>
      <c r="W10" s="393">
        <f>'[17]Price Schedule 5 year'!W10</f>
        <v>4.702952290931034E-2</v>
      </c>
      <c r="X10" s="393">
        <f>'[17]Price Schedule 5 year'!X10</f>
        <v>1.4365350268937321E-2</v>
      </c>
      <c r="Y10" s="394">
        <f>SUM(V10:X10)</f>
        <v>0.16130092238465232</v>
      </c>
    </row>
    <row r="11" spans="1:25" ht="15.95" customHeight="1" x14ac:dyDescent="0.25">
      <c r="A11" s="374"/>
      <c r="B11" s="375"/>
      <c r="C11" s="357" t="str">
        <f>[16]Residential!B56</f>
        <v>Off-Pk Usage</v>
      </c>
      <c r="E11" s="357" t="s">
        <v>292</v>
      </c>
      <c r="F11" s="516">
        <f>'DUoS (t)'!$J$22</f>
        <v>4.6199999999999998E-2</v>
      </c>
      <c r="G11" s="525">
        <f>'TUoS (t)'!$J$22</f>
        <v>1.7000000000000001E-2</v>
      </c>
      <c r="H11" s="525">
        <f>'JSO (t)'!$J$22</f>
        <v>5.7999999999999996E-3</v>
      </c>
      <c r="I11" s="526">
        <f>SUM(F11:H11)</f>
        <v>6.9000000000000006E-2</v>
      </c>
      <c r="J11" s="511">
        <f>'[17]Price Schedule 5 year'!J11</f>
        <v>4.2933031454105208E-2</v>
      </c>
      <c r="K11" s="393">
        <f>'[17]Price Schedule 5 year'!K11</f>
        <v>1.7320856353455334E-2</v>
      </c>
      <c r="L11" s="393">
        <f>'[17]Price Schedule 5 year'!L11</f>
        <v>5.7392302627607399E-3</v>
      </c>
      <c r="M11" s="394">
        <f>SUM(J11:L11)</f>
        <v>6.599311807032128E-2</v>
      </c>
      <c r="N11" s="391">
        <f>'[17]Price Schedule 5 year'!N11</f>
        <v>4.1952542335530481E-2</v>
      </c>
      <c r="O11" s="393">
        <f>'[17]Price Schedule 5 year'!O11</f>
        <v>1.7804154421750734E-2</v>
      </c>
      <c r="P11" s="393">
        <f>'[17]Price Schedule 5 year'!P11</f>
        <v>5.740162660221447E-3</v>
      </c>
      <c r="Q11" s="394">
        <f>SUM(N11:P11)</f>
        <v>6.5496859417502662E-2</v>
      </c>
      <c r="R11" s="391">
        <f>'[17]Price Schedule 5 year'!R11</f>
        <v>4.0969349698367019E-2</v>
      </c>
      <c r="S11" s="393">
        <f>'[17]Price Schedule 5 year'!S11</f>
        <v>1.8301100961281829E-2</v>
      </c>
      <c r="T11" s="393">
        <f>'[17]Price Schedule 5 year'!T11</f>
        <v>5.7430986353900716E-3</v>
      </c>
      <c r="U11" s="394">
        <f>SUM(R11:T11)</f>
        <v>6.5013549295038928E-2</v>
      </c>
      <c r="V11" s="392">
        <f>'[17]Price Schedule 5 year'!V11</f>
        <v>3.9962419682561874E-2</v>
      </c>
      <c r="W11" s="393">
        <f>'[17]Price Schedule 5 year'!W11</f>
        <v>1.8811809163724137E-2</v>
      </c>
      <c r="X11" s="393">
        <f>'[17]Price Schedule 5 year'!X11</f>
        <v>5.7461401075749284E-3</v>
      </c>
      <c r="Y11" s="394">
        <f>SUM(V11:X11)</f>
        <v>6.4520368953860943E-2</v>
      </c>
    </row>
    <row r="12" spans="1:25" ht="15.95" customHeight="1" x14ac:dyDescent="0.25">
      <c r="A12" s="380"/>
      <c r="B12" s="381"/>
      <c r="C12" s="382" t="str">
        <f>[16]Residential!B57</f>
        <v>Solar Sponge Usage</v>
      </c>
      <c r="D12" s="382"/>
      <c r="E12" s="382" t="s">
        <v>292</v>
      </c>
      <c r="F12" s="519">
        <f>'DUoS (t)'!$K$22</f>
        <v>2.3099999999999999E-2</v>
      </c>
      <c r="G12" s="527">
        <f>'TUoS (t)'!$K$22</f>
        <v>8.5000000000000006E-3</v>
      </c>
      <c r="H12" s="527">
        <f>'JSO (t)'!$K$22</f>
        <v>2.8999999999999998E-3</v>
      </c>
      <c r="I12" s="528">
        <f>SUM(F12:H12)</f>
        <v>3.4500000000000003E-2</v>
      </c>
      <c r="J12" s="384">
        <f>'[17]Price Schedule 5 year'!J12</f>
        <v>2.1466515727052604E-2</v>
      </c>
      <c r="K12" s="385">
        <f>'[17]Price Schedule 5 year'!K12</f>
        <v>8.6604281767276668E-3</v>
      </c>
      <c r="L12" s="385">
        <f>'[17]Price Schedule 5 year'!L12</f>
        <v>2.86961513138037E-3</v>
      </c>
      <c r="M12" s="386">
        <f>SUM(J12:L12)</f>
        <v>3.299655903516064E-2</v>
      </c>
      <c r="N12" s="383">
        <f>'[17]Price Schedule 5 year'!N12</f>
        <v>2.097627116776524E-2</v>
      </c>
      <c r="O12" s="385">
        <f>'[17]Price Schedule 5 year'!O12</f>
        <v>8.9020772108753671E-3</v>
      </c>
      <c r="P12" s="385">
        <f>'[17]Price Schedule 5 year'!P12</f>
        <v>2.8700813301107235E-3</v>
      </c>
      <c r="Q12" s="386">
        <f>SUM(N12:P12)</f>
        <v>3.2748429708751331E-2</v>
      </c>
      <c r="R12" s="383">
        <f>'[17]Price Schedule 5 year'!R12</f>
        <v>2.048467484918351E-2</v>
      </c>
      <c r="S12" s="385">
        <f>'[17]Price Schedule 5 year'!S12</f>
        <v>9.1505504806409146E-3</v>
      </c>
      <c r="T12" s="385">
        <f>'[17]Price Schedule 5 year'!T12</f>
        <v>2.8715493176950358E-3</v>
      </c>
      <c r="U12" s="386">
        <f>SUM(R12:T12)</f>
        <v>3.2506774647519464E-2</v>
      </c>
      <c r="V12" s="384">
        <f>'[17]Price Schedule 5 year'!V12</f>
        <v>1.9981209841280937E-2</v>
      </c>
      <c r="W12" s="385">
        <f>'[17]Price Schedule 5 year'!W12</f>
        <v>9.4059045818620686E-3</v>
      </c>
      <c r="X12" s="385">
        <f>'[17]Price Schedule 5 year'!X12</f>
        <v>2.8730700537874642E-3</v>
      </c>
      <c r="Y12" s="386">
        <f>SUM(V12:X12)</f>
        <v>3.2260184476930472E-2</v>
      </c>
    </row>
    <row r="13" spans="1:25" ht="15.95" customHeight="1" x14ac:dyDescent="0.25">
      <c r="A13" s="368"/>
      <c r="B13" s="369" t="str">
        <f>[16]Residential!B60</f>
        <v>Residential Prosumer</v>
      </c>
      <c r="C13" s="370"/>
      <c r="D13" s="370"/>
      <c r="E13" s="370" t="s">
        <v>293</v>
      </c>
      <c r="F13" s="518"/>
      <c r="G13" s="523"/>
      <c r="H13" s="523"/>
      <c r="I13" s="524"/>
      <c r="J13" s="388">
        <f>'[17]Price Schedule 5 year'!J13</f>
        <v>0</v>
      </c>
      <c r="K13" s="389">
        <f>'[17]Price Schedule 5 year'!K13</f>
        <v>0</v>
      </c>
      <c r="L13" s="389">
        <f>'[17]Price Schedule 5 year'!L13</f>
        <v>0</v>
      </c>
      <c r="M13" s="390"/>
      <c r="N13" s="387">
        <f>'[17]Price Schedule 5 year'!N13</f>
        <v>0</v>
      </c>
      <c r="O13" s="389">
        <f>'[17]Price Schedule 5 year'!O13</f>
        <v>0</v>
      </c>
      <c r="P13" s="389">
        <f>'[17]Price Schedule 5 year'!P13</f>
        <v>0</v>
      </c>
      <c r="Q13" s="390"/>
      <c r="R13" s="387">
        <f>'[17]Price Schedule 5 year'!R13</f>
        <v>0</v>
      </c>
      <c r="S13" s="389">
        <f>'[17]Price Schedule 5 year'!S13</f>
        <v>0</v>
      </c>
      <c r="T13" s="389">
        <f>'[17]Price Schedule 5 year'!T13</f>
        <v>0</v>
      </c>
      <c r="U13" s="390"/>
      <c r="V13" s="388">
        <f>'[17]Price Schedule 5 year'!V13</f>
        <v>0</v>
      </c>
      <c r="W13" s="389">
        <f>'[17]Price Schedule 5 year'!W13</f>
        <v>0</v>
      </c>
      <c r="X13" s="389">
        <f>'[17]Price Schedule 5 year'!X13</f>
        <v>0</v>
      </c>
      <c r="Y13" s="390"/>
    </row>
    <row r="14" spans="1:25" ht="15.95" customHeight="1" x14ac:dyDescent="0.25">
      <c r="A14" s="374"/>
      <c r="B14" s="375"/>
      <c r="C14" s="357" t="str">
        <f>[16]Residential!B61</f>
        <v>Customers/Supply Ch</v>
      </c>
      <c r="E14" s="357" t="s">
        <v>291</v>
      </c>
      <c r="F14" s="745">
        <f>'DUoS (t)'!$G$24*Days_Year</f>
        <v>155.0155</v>
      </c>
      <c r="G14" s="746">
        <f>'TUoS (t)'!$G$24*Days_Year</f>
        <v>0</v>
      </c>
      <c r="H14" s="746">
        <f>'JSO (t)'!$G$24*Days_Year</f>
        <v>15.001499999999998</v>
      </c>
      <c r="I14" s="747">
        <f>SUM(F14:H14)</f>
        <v>170.017</v>
      </c>
      <c r="J14" s="510">
        <f>'[17]Price Schedule 5 year'!J14</f>
        <v>165.00219999999999</v>
      </c>
      <c r="K14" s="378">
        <f>'[17]Price Schedule 5 year'!K14</f>
        <v>0</v>
      </c>
      <c r="L14" s="378">
        <f>'[17]Price Schedule 5 year'!L14</f>
        <v>15</v>
      </c>
      <c r="M14" s="379">
        <f>SUM(J14:L14)</f>
        <v>180.00219999999999</v>
      </c>
      <c r="N14" s="376">
        <f>'[17]Price Schedule 5 year'!N14</f>
        <v>175.00219999999999</v>
      </c>
      <c r="O14" s="378">
        <f>'[17]Price Schedule 5 year'!O14</f>
        <v>0</v>
      </c>
      <c r="P14" s="378">
        <f>'[17]Price Schedule 5 year'!P14</f>
        <v>15</v>
      </c>
      <c r="Q14" s="379">
        <f>SUM(N14:P14)</f>
        <v>190.00219999999999</v>
      </c>
      <c r="R14" s="376">
        <f>'[17]Price Schedule 5 year'!R14</f>
        <v>185.00219999999999</v>
      </c>
      <c r="S14" s="378">
        <f>'[17]Price Schedule 5 year'!S14</f>
        <v>0</v>
      </c>
      <c r="T14" s="378">
        <f>'[17]Price Schedule 5 year'!T14</f>
        <v>15</v>
      </c>
      <c r="U14" s="379">
        <f>SUM(R14:T14)</f>
        <v>200.00219999999999</v>
      </c>
      <c r="V14" s="377">
        <f>'[17]Price Schedule 5 year'!V14</f>
        <v>195.00219999999999</v>
      </c>
      <c r="W14" s="378">
        <f>'[17]Price Schedule 5 year'!W14</f>
        <v>0</v>
      </c>
      <c r="X14" s="378">
        <f>'[17]Price Schedule 5 year'!X14</f>
        <v>15</v>
      </c>
      <c r="Y14" s="379">
        <f>SUM(V14:X14)</f>
        <v>210.00219999999999</v>
      </c>
    </row>
    <row r="15" spans="1:25" ht="15.95" customHeight="1" x14ac:dyDescent="0.25">
      <c r="A15" s="374"/>
      <c r="B15" s="375"/>
      <c r="C15" s="357" t="str">
        <f>[16]Residential!B62</f>
        <v>Peak Usage</v>
      </c>
      <c r="E15" s="357" t="s">
        <v>292</v>
      </c>
      <c r="F15" s="516">
        <f>'DUoS (t)'!$I$24</f>
        <v>6.9199999999999998E-2</v>
      </c>
      <c r="G15" s="525">
        <f>'TUoS (t)'!$I$24</f>
        <v>2.5399999999999999E-2</v>
      </c>
      <c r="H15" s="525">
        <f>'JSO (t)'!$I$24</f>
        <v>8.6999999999999994E-3</v>
      </c>
      <c r="I15" s="526">
        <f>SUM(F15:H15)</f>
        <v>0.10329999999999999</v>
      </c>
      <c r="J15" s="511">
        <f>'[17]Price Schedule 5 year'!J15</f>
        <v>6.4399547181157812E-2</v>
      </c>
      <c r="K15" s="393">
        <f>'[17]Price Schedule 5 year'!K15</f>
        <v>2.5981284530183002E-2</v>
      </c>
      <c r="L15" s="393">
        <f>'[17]Price Schedule 5 year'!L15</f>
        <v>8.608845394141109E-3</v>
      </c>
      <c r="M15" s="394">
        <f>SUM(J15:L15)</f>
        <v>9.8989677105481927E-2</v>
      </c>
      <c r="N15" s="391">
        <f>'[17]Price Schedule 5 year'!N15</f>
        <v>6.2928813503295725E-2</v>
      </c>
      <c r="O15" s="393">
        <f>'[17]Price Schedule 5 year'!O15</f>
        <v>2.6706231632626101E-2</v>
      </c>
      <c r="P15" s="393">
        <f>'[17]Price Schedule 5 year'!P15</f>
        <v>8.6102439903321705E-3</v>
      </c>
      <c r="Q15" s="394">
        <f>SUM(N15:P15)</f>
        <v>9.8245289126253993E-2</v>
      </c>
      <c r="R15" s="391">
        <f>'[17]Price Schedule 5 year'!R15</f>
        <v>6.1454024547550529E-2</v>
      </c>
      <c r="S15" s="393">
        <f>'[17]Price Schedule 5 year'!S15</f>
        <v>2.7451651441922742E-2</v>
      </c>
      <c r="T15" s="393">
        <f>'[17]Price Schedule 5 year'!T15</f>
        <v>8.6146479530851069E-3</v>
      </c>
      <c r="U15" s="394">
        <f>SUM(R15:T15)</f>
        <v>9.7520323942558385E-2</v>
      </c>
      <c r="V15" s="392">
        <f>'[17]Price Schedule 5 year'!V15</f>
        <v>5.9943629523842815E-2</v>
      </c>
      <c r="W15" s="393">
        <f>'[17]Price Schedule 5 year'!W15</f>
        <v>2.8217713745586206E-2</v>
      </c>
      <c r="X15" s="393">
        <f>'[17]Price Schedule 5 year'!X15</f>
        <v>8.6192101613623926E-3</v>
      </c>
      <c r="Y15" s="394">
        <f>SUM(V15:X15)</f>
        <v>9.6780553430791422E-2</v>
      </c>
    </row>
    <row r="16" spans="1:25" ht="15.95" customHeight="1" x14ac:dyDescent="0.25">
      <c r="A16" s="374"/>
      <c r="B16" s="375"/>
      <c r="C16" s="357" t="str">
        <f>[16]Residential!B63</f>
        <v>Off-Pk Usage</v>
      </c>
      <c r="E16" s="357" t="s">
        <v>292</v>
      </c>
      <c r="F16" s="516">
        <f>'DUoS (t)'!$J$24</f>
        <v>2.7699999999999999E-2</v>
      </c>
      <c r="G16" s="525">
        <f>'TUoS (t)'!$J$24</f>
        <v>1.0200000000000001E-2</v>
      </c>
      <c r="H16" s="525">
        <f>'JSO (t)'!$J$24</f>
        <v>3.5000000000000001E-3</v>
      </c>
      <c r="I16" s="526">
        <f>SUM(F16:H16)</f>
        <v>4.1400000000000006E-2</v>
      </c>
      <c r="J16" s="511">
        <f>'[17]Price Schedule 5 year'!J16</f>
        <v>2.5759818872463123E-2</v>
      </c>
      <c r="K16" s="393">
        <f>'[17]Price Schedule 5 year'!K16</f>
        <v>1.0392513812073199E-2</v>
      </c>
      <c r="L16" s="393">
        <f>'[17]Price Schedule 5 year'!L16</f>
        <v>3.4435381576564438E-3</v>
      </c>
      <c r="M16" s="394">
        <f>SUM(J16:L16)</f>
        <v>3.9595870842192772E-2</v>
      </c>
      <c r="N16" s="391">
        <f>'[17]Price Schedule 5 year'!N16</f>
        <v>2.5171525401318288E-2</v>
      </c>
      <c r="O16" s="393">
        <f>'[17]Price Schedule 5 year'!O16</f>
        <v>1.068249265305044E-2</v>
      </c>
      <c r="P16" s="393">
        <f>'[17]Price Schedule 5 year'!P16</f>
        <v>3.444097596132868E-3</v>
      </c>
      <c r="Q16" s="394">
        <f>SUM(N16:P16)</f>
        <v>3.9298115650501592E-2</v>
      </c>
      <c r="R16" s="391">
        <f>'[17]Price Schedule 5 year'!R16</f>
        <v>2.458160981902021E-2</v>
      </c>
      <c r="S16" s="393">
        <f>'[17]Price Schedule 5 year'!S16</f>
        <v>1.0980660576769097E-2</v>
      </c>
      <c r="T16" s="393">
        <f>'[17]Price Schedule 5 year'!T16</f>
        <v>3.4458591812340429E-3</v>
      </c>
      <c r="U16" s="394">
        <f>SUM(R16:T16)</f>
        <v>3.9008129577023355E-2</v>
      </c>
      <c r="V16" s="392">
        <f>'[17]Price Schedule 5 year'!V16</f>
        <v>2.3977451809537125E-2</v>
      </c>
      <c r="W16" s="393">
        <f>'[17]Price Schedule 5 year'!W16</f>
        <v>1.1287085498234482E-2</v>
      </c>
      <c r="X16" s="393">
        <f>'[17]Price Schedule 5 year'!X16</f>
        <v>3.447684064544957E-3</v>
      </c>
      <c r="Y16" s="394">
        <f>SUM(V16:X16)</f>
        <v>3.8712221372316565E-2</v>
      </c>
    </row>
    <row r="17" spans="1:25" ht="15.95" customHeight="1" x14ac:dyDescent="0.25">
      <c r="A17" s="374"/>
      <c r="B17" s="375"/>
      <c r="C17" s="357" t="str">
        <f>[16]Residential!B64</f>
        <v>Solar Sponge Usage</v>
      </c>
      <c r="E17" s="357" t="s">
        <v>292</v>
      </c>
      <c r="F17" s="516">
        <f>'DUoS (t)'!$K$24</f>
        <v>1.38E-2</v>
      </c>
      <c r="G17" s="525">
        <f>'TUoS (t)'!$K$24</f>
        <v>5.1000000000000004E-3</v>
      </c>
      <c r="H17" s="525">
        <f>'JSO (t)'!$K$24</f>
        <v>1.6999999999999999E-3</v>
      </c>
      <c r="I17" s="526">
        <f>SUM(F17:H17)</f>
        <v>2.06E-2</v>
      </c>
      <c r="J17" s="511">
        <f>'[17]Price Schedule 5 year'!J17</f>
        <v>1.2879909436231561E-2</v>
      </c>
      <c r="K17" s="393">
        <f>'[17]Price Schedule 5 year'!K17</f>
        <v>5.1962569060365997E-3</v>
      </c>
      <c r="L17" s="393">
        <f>'[17]Price Schedule 5 year'!L17</f>
        <v>1.7217690788282219E-3</v>
      </c>
      <c r="M17" s="394">
        <f>SUM(J17:L17)</f>
        <v>1.9797935421096386E-2</v>
      </c>
      <c r="N17" s="391">
        <f>'[17]Price Schedule 5 year'!N17</f>
        <v>1.2585762700659144E-2</v>
      </c>
      <c r="O17" s="393">
        <f>'[17]Price Schedule 5 year'!O17</f>
        <v>5.3412463265252201E-3</v>
      </c>
      <c r="P17" s="393">
        <f>'[17]Price Schedule 5 year'!P17</f>
        <v>1.722048798066434E-3</v>
      </c>
      <c r="Q17" s="394">
        <f>SUM(N17:P17)</f>
        <v>1.9649057825250796E-2</v>
      </c>
      <c r="R17" s="391">
        <f>'[17]Price Schedule 5 year'!R17</f>
        <v>1.2290804909510105E-2</v>
      </c>
      <c r="S17" s="393">
        <f>'[17]Price Schedule 5 year'!S17</f>
        <v>5.4903302883845487E-3</v>
      </c>
      <c r="T17" s="393">
        <f>'[17]Price Schedule 5 year'!T17</f>
        <v>1.7229295906170214E-3</v>
      </c>
      <c r="U17" s="394">
        <f>SUM(R17:T17)</f>
        <v>1.9504064788511678E-2</v>
      </c>
      <c r="V17" s="392">
        <f>'[17]Price Schedule 5 year'!V17</f>
        <v>1.1988725904768563E-2</v>
      </c>
      <c r="W17" s="393">
        <f>'[17]Price Schedule 5 year'!W17</f>
        <v>5.643542749117241E-3</v>
      </c>
      <c r="X17" s="393">
        <f>'[17]Price Schedule 5 year'!X17</f>
        <v>1.7238420322724785E-3</v>
      </c>
      <c r="Y17" s="394">
        <f>SUM(V17:X17)</f>
        <v>1.9356110686158282E-2</v>
      </c>
    </row>
    <row r="18" spans="1:25" ht="15.95" customHeight="1" x14ac:dyDescent="0.25">
      <c r="A18" s="380"/>
      <c r="B18" s="381"/>
      <c r="C18" s="382" t="str">
        <f>[16]Residential!B65</f>
        <v>Summer Demand</v>
      </c>
      <c r="D18" s="382">
        <v>1</v>
      </c>
      <c r="E18" s="382" t="s">
        <v>702</v>
      </c>
      <c r="F18" s="833">
        <f>'DUoS (t)'!$U$24*Days_Summer_Demand/5</f>
        <v>15.49864</v>
      </c>
      <c r="G18" s="834">
        <f>'TUoS (t)'!$U$24*Days_Summer_Demand/5</f>
        <v>5.6987399999999999</v>
      </c>
      <c r="H18" s="834">
        <f>'JSO (t)'!$U$24*Days_Summer_Demand/5</f>
        <v>1.9388399999999997</v>
      </c>
      <c r="I18" s="835">
        <f>SUM(F18:H18)</f>
        <v>23.136219999999998</v>
      </c>
      <c r="J18" s="396">
        <f>'[17]Price Schedule 5 year'!J18</f>
        <v>14.419999999999998</v>
      </c>
      <c r="K18" s="397">
        <f>'[17]Price Schedule 5 year'!K18</f>
        <v>5.82</v>
      </c>
      <c r="L18" s="397">
        <f>'[17]Price Schedule 5 year'!L18</f>
        <v>1.92</v>
      </c>
      <c r="M18" s="398">
        <f>SUM(J18:L18)</f>
        <v>22.159999999999997</v>
      </c>
      <c r="N18" s="395">
        <f>'[17]Price Schedule 5 year'!N18</f>
        <v>14.1</v>
      </c>
      <c r="O18" s="397">
        <f>'[17]Price Schedule 5 year'!O18</f>
        <v>5.9799999999999995</v>
      </c>
      <c r="P18" s="397">
        <f>'[17]Price Schedule 5 year'!P18</f>
        <v>1.92</v>
      </c>
      <c r="Q18" s="398">
        <f>SUM(N18:P18)</f>
        <v>22</v>
      </c>
      <c r="R18" s="395">
        <f>'[17]Price Schedule 5 year'!R18</f>
        <v>13.76</v>
      </c>
      <c r="S18" s="397">
        <f>'[17]Price Schedule 5 year'!S18</f>
        <v>6.14</v>
      </c>
      <c r="T18" s="397">
        <f>'[17]Price Schedule 5 year'!T18</f>
        <v>1.92</v>
      </c>
      <c r="U18" s="398">
        <f>SUM(R18:T18)</f>
        <v>21.82</v>
      </c>
      <c r="V18" s="396">
        <f>'[17]Price Schedule 5 year'!V18</f>
        <v>13.419999999999998</v>
      </c>
      <c r="W18" s="397">
        <f>'[17]Price Schedule 5 year'!W18</f>
        <v>6.32</v>
      </c>
      <c r="X18" s="397">
        <f>'[17]Price Schedule 5 year'!X18</f>
        <v>1.92</v>
      </c>
      <c r="Y18" s="398">
        <f>SUM(V18:X18)</f>
        <v>21.659999999999997</v>
      </c>
    </row>
    <row r="19" spans="1:25" ht="15.95" customHeight="1" x14ac:dyDescent="0.25">
      <c r="A19" s="368"/>
      <c r="B19" s="369" t="str">
        <f>[16]Residential!B68</f>
        <v>OPCL Hot Water Type 5, 6</v>
      </c>
      <c r="C19" s="370"/>
      <c r="D19" s="370"/>
      <c r="E19" s="370" t="s">
        <v>290</v>
      </c>
      <c r="F19" s="518"/>
      <c r="G19" s="523"/>
      <c r="H19" s="523"/>
      <c r="I19" s="524"/>
      <c r="J19" s="388">
        <f>'[17]Price Schedule 5 year'!J19</f>
        <v>0</v>
      </c>
      <c r="K19" s="389">
        <f>'[17]Price Schedule 5 year'!K19</f>
        <v>0</v>
      </c>
      <c r="L19" s="389">
        <f>'[17]Price Schedule 5 year'!L19</f>
        <v>0</v>
      </c>
      <c r="M19" s="390"/>
      <c r="N19" s="387">
        <f>'[17]Price Schedule 5 year'!N19</f>
        <v>0</v>
      </c>
      <c r="O19" s="389">
        <f>'[17]Price Schedule 5 year'!O19</f>
        <v>0</v>
      </c>
      <c r="P19" s="389">
        <f>'[17]Price Schedule 5 year'!P19</f>
        <v>0</v>
      </c>
      <c r="Q19" s="390"/>
      <c r="R19" s="387">
        <f>'[17]Price Schedule 5 year'!R19</f>
        <v>0</v>
      </c>
      <c r="S19" s="389">
        <f>'[17]Price Schedule 5 year'!S19</f>
        <v>0</v>
      </c>
      <c r="T19" s="389">
        <f>'[17]Price Schedule 5 year'!T19</f>
        <v>0</v>
      </c>
      <c r="U19" s="390"/>
      <c r="V19" s="388">
        <f>'[17]Price Schedule 5 year'!V19</f>
        <v>0</v>
      </c>
      <c r="W19" s="389">
        <f>'[17]Price Schedule 5 year'!W19</f>
        <v>0</v>
      </c>
      <c r="X19" s="389">
        <f>'[17]Price Schedule 5 year'!X19</f>
        <v>0</v>
      </c>
      <c r="Y19" s="390"/>
    </row>
    <row r="20" spans="1:25" ht="15.95" customHeight="1" x14ac:dyDescent="0.25">
      <c r="A20" s="380"/>
      <c r="B20" s="381"/>
      <c r="C20" s="382" t="str">
        <f>[16]Residential!B69</f>
        <v>Usage</v>
      </c>
      <c r="D20" s="382"/>
      <c r="E20" s="382" t="s">
        <v>292</v>
      </c>
      <c r="F20" s="519">
        <f>'DUoS (t)'!$L$19</f>
        <v>4.6199999999999998E-2</v>
      </c>
      <c r="G20" s="527">
        <f>'TUoS (t)'!$L$19</f>
        <v>1.7000000000000001E-2</v>
      </c>
      <c r="H20" s="527">
        <f>'JSO (t)'!$L$19</f>
        <v>5.7999999999999996E-3</v>
      </c>
      <c r="I20" s="528">
        <f>SUM(F20:H20)</f>
        <v>6.9000000000000006E-2</v>
      </c>
      <c r="J20" s="384">
        <f>'[17]Price Schedule 5 year'!J20</f>
        <v>4.2933031454105208E-2</v>
      </c>
      <c r="K20" s="385">
        <f>'[17]Price Schedule 5 year'!K20</f>
        <v>1.7320856353455334E-2</v>
      </c>
      <c r="L20" s="385">
        <f>'[17]Price Schedule 5 year'!L20</f>
        <v>5.7392302627607399E-3</v>
      </c>
      <c r="M20" s="386">
        <f>SUM(J20:L20)</f>
        <v>6.599311807032128E-2</v>
      </c>
      <c r="N20" s="383">
        <f>'[17]Price Schedule 5 year'!N20</f>
        <v>4.1952542335530481E-2</v>
      </c>
      <c r="O20" s="385">
        <f>'[17]Price Schedule 5 year'!O20</f>
        <v>1.7804154421750734E-2</v>
      </c>
      <c r="P20" s="385">
        <f>'[17]Price Schedule 5 year'!P20</f>
        <v>5.740162660221447E-3</v>
      </c>
      <c r="Q20" s="386">
        <f>SUM(N20:P20)</f>
        <v>6.5496859417502662E-2</v>
      </c>
      <c r="R20" s="383">
        <f>'[17]Price Schedule 5 year'!R20</f>
        <v>4.0969349698367019E-2</v>
      </c>
      <c r="S20" s="385">
        <f>'[17]Price Schedule 5 year'!S20</f>
        <v>1.8301100961281829E-2</v>
      </c>
      <c r="T20" s="385">
        <f>'[17]Price Schedule 5 year'!T20</f>
        <v>5.7430986353900716E-3</v>
      </c>
      <c r="U20" s="386">
        <f>SUM(R20:T20)</f>
        <v>6.5013549295038928E-2</v>
      </c>
      <c r="V20" s="384">
        <f>'[17]Price Schedule 5 year'!V20</f>
        <v>3.9962419682561874E-2</v>
      </c>
      <c r="W20" s="385">
        <f>'[17]Price Schedule 5 year'!W20</f>
        <v>1.8811809163724137E-2</v>
      </c>
      <c r="X20" s="385">
        <f>'[17]Price Schedule 5 year'!X20</f>
        <v>5.7461401075749284E-3</v>
      </c>
      <c r="Y20" s="386">
        <f>SUM(V20:X20)</f>
        <v>6.4520368953860943E-2</v>
      </c>
    </row>
    <row r="21" spans="1:25" ht="15.95" customHeight="1" x14ac:dyDescent="0.25">
      <c r="A21" s="374"/>
      <c r="B21" s="375" t="str">
        <f>[16]Residential!B72</f>
        <v>OPCL Hot Water Type 4</v>
      </c>
      <c r="E21" s="357" t="s">
        <v>294</v>
      </c>
      <c r="F21" s="516"/>
      <c r="G21" s="525"/>
      <c r="H21" s="525"/>
      <c r="I21" s="526"/>
      <c r="J21" s="511">
        <f>'[17]Price Schedule 5 year'!J21</f>
        <v>0</v>
      </c>
      <c r="K21" s="393">
        <f>'[17]Price Schedule 5 year'!K21</f>
        <v>0</v>
      </c>
      <c r="L21" s="393">
        <f>'[17]Price Schedule 5 year'!L21</f>
        <v>0</v>
      </c>
      <c r="M21" s="394"/>
      <c r="N21" s="391">
        <f>'[17]Price Schedule 5 year'!N21</f>
        <v>0</v>
      </c>
      <c r="O21" s="393">
        <f>'[17]Price Schedule 5 year'!O21</f>
        <v>0</v>
      </c>
      <c r="P21" s="393">
        <f>'[17]Price Schedule 5 year'!P21</f>
        <v>0</v>
      </c>
      <c r="Q21" s="394"/>
      <c r="R21" s="391">
        <f>'[17]Price Schedule 5 year'!R21</f>
        <v>0</v>
      </c>
      <c r="S21" s="393">
        <f>'[17]Price Schedule 5 year'!S21</f>
        <v>0</v>
      </c>
      <c r="T21" s="393">
        <f>'[17]Price Schedule 5 year'!T21</f>
        <v>0</v>
      </c>
      <c r="U21" s="394"/>
      <c r="V21" s="392">
        <f>'[17]Price Schedule 5 year'!V21</f>
        <v>0</v>
      </c>
      <c r="W21" s="393">
        <f>'[17]Price Schedule 5 year'!W21</f>
        <v>0</v>
      </c>
      <c r="X21" s="393">
        <f>'[17]Price Schedule 5 year'!X21</f>
        <v>0</v>
      </c>
      <c r="Y21" s="394"/>
    </row>
    <row r="22" spans="1:25" ht="15.95" customHeight="1" x14ac:dyDescent="0.25">
      <c r="A22" s="374"/>
      <c r="C22" s="357" t="str">
        <f>[16]Residential!B73</f>
        <v>Peak Usage</v>
      </c>
      <c r="E22" s="357" t="s">
        <v>292</v>
      </c>
      <c r="F22" s="516">
        <f>'DUoS (t)'!$M$23</f>
        <v>0.1154</v>
      </c>
      <c r="G22" s="525">
        <f>'TUoS (t)'!$M$23</f>
        <v>4.24E-2</v>
      </c>
      <c r="H22" s="525">
        <f>'JSO (t)'!$M$23</f>
        <v>1.4500000000000001E-2</v>
      </c>
      <c r="I22" s="526">
        <f>SUM(F22:H22)</f>
        <v>0.17230000000000001</v>
      </c>
      <c r="J22" s="511">
        <f>'[17]Price Schedule 5 year'!J22</f>
        <v>0.10733257863526302</v>
      </c>
      <c r="K22" s="393">
        <f>'[17]Price Schedule 5 year'!K22</f>
        <v>4.3302140883638332E-2</v>
      </c>
      <c r="L22" s="393">
        <f>'[17]Price Schedule 5 year'!L22</f>
        <v>1.4348075656901851E-2</v>
      </c>
      <c r="M22" s="394">
        <f>SUM(J22:L22)</f>
        <v>0.16498279517580319</v>
      </c>
      <c r="N22" s="391">
        <f>'[17]Price Schedule 5 year'!N22</f>
        <v>0.1048813558388262</v>
      </c>
      <c r="O22" s="393">
        <f>'[17]Price Schedule 5 year'!O22</f>
        <v>4.4510386054376835E-2</v>
      </c>
      <c r="P22" s="393">
        <f>'[17]Price Schedule 5 year'!P22</f>
        <v>1.4350406650553617E-2</v>
      </c>
      <c r="Q22" s="394">
        <f>SUM(N22:P22)</f>
        <v>0.16374214854375665</v>
      </c>
      <c r="R22" s="391">
        <f>'[17]Price Schedule 5 year'!R22</f>
        <v>0.10242337424591755</v>
      </c>
      <c r="S22" s="393">
        <f>'[17]Price Schedule 5 year'!S22</f>
        <v>4.5752752403204575E-2</v>
      </c>
      <c r="T22" s="393">
        <f>'[17]Price Schedule 5 year'!T22</f>
        <v>1.4357746588475179E-2</v>
      </c>
      <c r="U22" s="394">
        <f>SUM(R22:T22)</f>
        <v>0.1625338732375973</v>
      </c>
      <c r="V22" s="392">
        <f>'[17]Price Schedule 5 year'!V22</f>
        <v>9.9906049206404682E-2</v>
      </c>
      <c r="W22" s="393">
        <f>'[17]Price Schedule 5 year'!W22</f>
        <v>4.702952290931034E-2</v>
      </c>
      <c r="X22" s="393">
        <f>'[17]Price Schedule 5 year'!X22</f>
        <v>1.4365350268937321E-2</v>
      </c>
      <c r="Y22" s="394">
        <f>SUM(V22:X22)</f>
        <v>0.16130092238465232</v>
      </c>
    </row>
    <row r="23" spans="1:25" ht="15.95" customHeight="1" x14ac:dyDescent="0.25">
      <c r="A23" s="374"/>
      <c r="C23" s="357" t="str">
        <f>[16]Residential!B74</f>
        <v>Off-Pk Usage</v>
      </c>
      <c r="E23" s="357" t="s">
        <v>292</v>
      </c>
      <c r="F23" s="516">
        <f>'DUoS (t)'!$N$23</f>
        <v>4.6199999999999998E-2</v>
      </c>
      <c r="G23" s="525">
        <f>'TUoS (t)'!$N$23</f>
        <v>1.7000000000000001E-2</v>
      </c>
      <c r="H23" s="525">
        <f>'JSO (t)'!$N$23</f>
        <v>5.7999999999999996E-3</v>
      </c>
      <c r="I23" s="526">
        <f>SUM(F23:H23)</f>
        <v>6.9000000000000006E-2</v>
      </c>
      <c r="J23" s="511">
        <f>'[17]Price Schedule 5 year'!J23</f>
        <v>4.2933031454105208E-2</v>
      </c>
      <c r="K23" s="393">
        <f>'[17]Price Schedule 5 year'!K23</f>
        <v>1.7320856353455334E-2</v>
      </c>
      <c r="L23" s="393">
        <f>'[17]Price Schedule 5 year'!L23</f>
        <v>5.7392302627607399E-3</v>
      </c>
      <c r="M23" s="394">
        <f>SUM(J23:L23)</f>
        <v>6.599311807032128E-2</v>
      </c>
      <c r="N23" s="391">
        <f>'[17]Price Schedule 5 year'!N23</f>
        <v>4.1952542335530481E-2</v>
      </c>
      <c r="O23" s="393">
        <f>'[17]Price Schedule 5 year'!O23</f>
        <v>1.7804154421750734E-2</v>
      </c>
      <c r="P23" s="393">
        <f>'[17]Price Schedule 5 year'!P23</f>
        <v>5.740162660221447E-3</v>
      </c>
      <c r="Q23" s="394">
        <f>SUM(N23:P23)</f>
        <v>6.5496859417502662E-2</v>
      </c>
      <c r="R23" s="391">
        <f>'[17]Price Schedule 5 year'!R23</f>
        <v>4.0969349698367019E-2</v>
      </c>
      <c r="S23" s="393">
        <f>'[17]Price Schedule 5 year'!S23</f>
        <v>1.8301100961281829E-2</v>
      </c>
      <c r="T23" s="393">
        <f>'[17]Price Schedule 5 year'!T23</f>
        <v>5.7430986353900716E-3</v>
      </c>
      <c r="U23" s="394">
        <f>SUM(R23:T23)</f>
        <v>6.5013549295038928E-2</v>
      </c>
      <c r="V23" s="392">
        <f>'[17]Price Schedule 5 year'!V23</f>
        <v>3.9962419682561874E-2</v>
      </c>
      <c r="W23" s="393">
        <f>'[17]Price Schedule 5 year'!W23</f>
        <v>1.8811809163724137E-2</v>
      </c>
      <c r="X23" s="393">
        <f>'[17]Price Schedule 5 year'!X23</f>
        <v>5.7461401075749284E-3</v>
      </c>
      <c r="Y23" s="394">
        <f>SUM(V23:X23)</f>
        <v>6.4520368953860943E-2</v>
      </c>
    </row>
    <row r="24" spans="1:25" ht="15.95" customHeight="1" thickBot="1" x14ac:dyDescent="0.3">
      <c r="A24" s="399"/>
      <c r="B24" s="400"/>
      <c r="C24" s="400" t="str">
        <f>[16]Residential!B75</f>
        <v>Solar Sponge Usage</v>
      </c>
      <c r="D24" s="400"/>
      <c r="E24" s="400" t="s">
        <v>292</v>
      </c>
      <c r="F24" s="520">
        <f>'DUoS (t)'!$O$23</f>
        <v>2.3099999999999999E-2</v>
      </c>
      <c r="G24" s="529">
        <f>'TUoS (t)'!$O$23</f>
        <v>8.5000000000000006E-3</v>
      </c>
      <c r="H24" s="529">
        <f>'JSO (t)'!$O$23</f>
        <v>2.8999999999999998E-3</v>
      </c>
      <c r="I24" s="530">
        <f>SUM(F24:H24)</f>
        <v>3.4500000000000003E-2</v>
      </c>
      <c r="J24" s="402">
        <f>'[17]Price Schedule 5 year'!J24</f>
        <v>2.1466515727052604E-2</v>
      </c>
      <c r="K24" s="403">
        <f>'[17]Price Schedule 5 year'!K24</f>
        <v>8.6604281767276668E-3</v>
      </c>
      <c r="L24" s="403">
        <f>'[17]Price Schedule 5 year'!L24</f>
        <v>2.86961513138037E-3</v>
      </c>
      <c r="M24" s="404">
        <f>SUM(J24:L24)</f>
        <v>3.299655903516064E-2</v>
      </c>
      <c r="N24" s="401">
        <f>'[17]Price Schedule 5 year'!N24</f>
        <v>2.097627116776524E-2</v>
      </c>
      <c r="O24" s="403">
        <f>'[17]Price Schedule 5 year'!O24</f>
        <v>8.9020772108753671E-3</v>
      </c>
      <c r="P24" s="403">
        <f>'[17]Price Schedule 5 year'!P24</f>
        <v>2.8700813301107235E-3</v>
      </c>
      <c r="Q24" s="404">
        <f>SUM(N24:P24)</f>
        <v>3.2748429708751331E-2</v>
      </c>
      <c r="R24" s="401">
        <f>'[17]Price Schedule 5 year'!R24</f>
        <v>2.048467484918351E-2</v>
      </c>
      <c r="S24" s="403">
        <f>'[17]Price Schedule 5 year'!S24</f>
        <v>9.1505504806409146E-3</v>
      </c>
      <c r="T24" s="403">
        <f>'[17]Price Schedule 5 year'!T24</f>
        <v>2.8715493176950358E-3</v>
      </c>
      <c r="U24" s="404">
        <f>SUM(R24:T24)</f>
        <v>3.2506774647519464E-2</v>
      </c>
      <c r="V24" s="402">
        <f>'[17]Price Schedule 5 year'!V24</f>
        <v>1.9981209841280937E-2</v>
      </c>
      <c r="W24" s="403">
        <f>'[17]Price Schedule 5 year'!W24</f>
        <v>9.4059045818620686E-3</v>
      </c>
      <c r="X24" s="403">
        <f>'[17]Price Schedule 5 year'!X24</f>
        <v>2.8730700537874642E-3</v>
      </c>
      <c r="Y24" s="404">
        <f>SUM(V24:X24)</f>
        <v>3.2260184476930472E-2</v>
      </c>
    </row>
    <row r="25" spans="1:25" ht="15.75" x14ac:dyDescent="0.25">
      <c r="A25" s="359" t="str">
        <f>'[16]Small Bus'!A2</f>
        <v>Small Business Customers</v>
      </c>
      <c r="B25" s="364"/>
      <c r="C25" s="364"/>
      <c r="D25" s="364"/>
      <c r="E25" s="364"/>
      <c r="F25" s="517"/>
      <c r="G25" s="521"/>
      <c r="H25" s="521"/>
      <c r="I25" s="522"/>
      <c r="J25" s="366"/>
      <c r="K25" s="364"/>
      <c r="L25" s="364"/>
      <c r="M25" s="367"/>
      <c r="N25" s="365"/>
      <c r="O25" s="364"/>
      <c r="P25" s="364"/>
      <c r="Q25" s="367"/>
      <c r="R25" s="365"/>
      <c r="S25" s="364"/>
      <c r="T25" s="364"/>
      <c r="U25" s="367"/>
      <c r="V25" s="366"/>
      <c r="W25" s="364"/>
      <c r="X25" s="364"/>
      <c r="Y25" s="367"/>
    </row>
    <row r="26" spans="1:25" x14ac:dyDescent="0.25">
      <c r="A26" s="368"/>
      <c r="B26" s="369" t="str">
        <f>'[16]Small Bus'!B68</f>
        <v>Business Single Type 6</v>
      </c>
      <c r="C26" s="370"/>
      <c r="D26" s="370"/>
      <c r="E26" s="370" t="s">
        <v>290</v>
      </c>
      <c r="F26" s="518"/>
      <c r="G26" s="523"/>
      <c r="H26" s="523"/>
      <c r="I26" s="524"/>
      <c r="J26" s="840" t="s">
        <v>290</v>
      </c>
      <c r="K26" s="370"/>
      <c r="L26" s="370"/>
      <c r="M26" s="373"/>
      <c r="N26" s="840" t="s">
        <v>290</v>
      </c>
      <c r="O26" s="370"/>
      <c r="P26" s="370"/>
      <c r="Q26" s="373"/>
      <c r="R26" s="840" t="s">
        <v>290</v>
      </c>
      <c r="S26" s="370"/>
      <c r="T26" s="370"/>
      <c r="U26" s="373"/>
      <c r="V26" s="840" t="s">
        <v>290</v>
      </c>
      <c r="W26" s="370"/>
      <c r="X26" s="370"/>
      <c r="Y26" s="373"/>
    </row>
    <row r="27" spans="1:25" x14ac:dyDescent="0.25">
      <c r="A27" s="374"/>
      <c r="B27" s="375"/>
      <c r="C27" s="357" t="str">
        <f>'[16]Small Bus'!B69</f>
        <v>Customers/Supply Ch</v>
      </c>
      <c r="E27" s="357" t="s">
        <v>291</v>
      </c>
      <c r="F27" s="745">
        <f>'DUoS (t)'!$G$31*365</f>
        <v>169.98050000000001</v>
      </c>
      <c r="G27" s="746">
        <f>'TUoS (t)'!$G$31*365</f>
        <v>0</v>
      </c>
      <c r="H27" s="746">
        <f>'JSO (t)'!$G$31*365</f>
        <v>15.001499999999998</v>
      </c>
      <c r="I27" s="747">
        <f>SUM(F27:H27)</f>
        <v>184.982</v>
      </c>
      <c r="J27" s="510">
        <f>'[17]Price Schedule 5 year'!J27</f>
        <v>189.99680000000001</v>
      </c>
      <c r="K27" s="378">
        <f>'[17]Price Schedule 5 year'!K27</f>
        <v>0</v>
      </c>
      <c r="L27" s="378">
        <f>'[17]Price Schedule 5 year'!L27</f>
        <v>15</v>
      </c>
      <c r="M27" s="379">
        <f>SUM(J27:L27)</f>
        <v>204.99680000000001</v>
      </c>
      <c r="N27" s="376">
        <f>'[17]Price Schedule 5 year'!N27</f>
        <v>209.99680000000001</v>
      </c>
      <c r="O27" s="378">
        <f>'[17]Price Schedule 5 year'!O27</f>
        <v>0</v>
      </c>
      <c r="P27" s="378">
        <f>'[17]Price Schedule 5 year'!P27</f>
        <v>15</v>
      </c>
      <c r="Q27" s="379">
        <f>SUM(N27:P27)</f>
        <v>224.99680000000001</v>
      </c>
      <c r="R27" s="376">
        <f>'[17]Price Schedule 5 year'!R27</f>
        <v>229.99680000000001</v>
      </c>
      <c r="S27" s="378">
        <f>'[17]Price Schedule 5 year'!S27</f>
        <v>0</v>
      </c>
      <c r="T27" s="378">
        <f>'[17]Price Schedule 5 year'!T27</f>
        <v>15</v>
      </c>
      <c r="U27" s="379">
        <f>SUM(R27:T27)</f>
        <v>244.99680000000001</v>
      </c>
      <c r="V27" s="377">
        <f>'[17]Price Schedule 5 year'!V27</f>
        <v>249.99680000000001</v>
      </c>
      <c r="W27" s="378">
        <f>'[17]Price Schedule 5 year'!W27</f>
        <v>0</v>
      </c>
      <c r="X27" s="378">
        <f>'[17]Price Schedule 5 year'!X27</f>
        <v>15</v>
      </c>
      <c r="Y27" s="379">
        <f>SUM(V27:X27)</f>
        <v>264.99680000000001</v>
      </c>
    </row>
    <row r="28" spans="1:25" x14ac:dyDescent="0.25">
      <c r="A28" s="380"/>
      <c r="B28" s="381"/>
      <c r="C28" s="382" t="str">
        <f>'[16]Small Bus'!B70</f>
        <v>Usage</v>
      </c>
      <c r="D28" s="382"/>
      <c r="E28" s="382" t="s">
        <v>292</v>
      </c>
      <c r="F28" s="519">
        <f>'DUoS (t)'!$H$31</f>
        <v>0.1045</v>
      </c>
      <c r="G28" s="527">
        <f>'TUoS (t)'!$H$31</f>
        <v>3.7199999999999997E-2</v>
      </c>
      <c r="H28" s="527">
        <f>'JSO (t)'!$H$31</f>
        <v>8.3999999999999995E-3</v>
      </c>
      <c r="I28" s="528">
        <f>SUM(F28:H28)</f>
        <v>0.15009999999999998</v>
      </c>
      <c r="J28" s="384">
        <f>'[17]Price Schedule 5 year'!J28</f>
        <v>9.7237507572330226E-2</v>
      </c>
      <c r="K28" s="385">
        <f>'[17]Price Schedule 5 year'!K28</f>
        <v>3.7803825341147394E-2</v>
      </c>
      <c r="L28" s="385">
        <f>'[17]Price Schedule 5 year'!L28</f>
        <v>8.5724576095938584E-3</v>
      </c>
      <c r="M28" s="386">
        <f>SUM(J28:L28)</f>
        <v>0.14361379052307147</v>
      </c>
      <c r="N28" s="383">
        <f>'[17]Price Schedule 5 year'!N28</f>
        <v>9.9049847607125277E-2</v>
      </c>
      <c r="O28" s="385">
        <f>'[17]Price Schedule 5 year'!O28</f>
        <v>3.9713037579173528E-2</v>
      </c>
      <c r="P28" s="385">
        <f>'[17]Price Schedule 5 year'!P28</f>
        <v>8.7788367173623014E-3</v>
      </c>
      <c r="Q28" s="386">
        <f>SUM(N28:P28)</f>
        <v>0.1475417219036611</v>
      </c>
      <c r="R28" s="383">
        <f>'[17]Price Schedule 5 year'!R28</f>
        <v>0.10102369646756647</v>
      </c>
      <c r="S28" s="385">
        <f>'[17]Price Schedule 5 year'!S28</f>
        <v>4.1692756467118466E-2</v>
      </c>
      <c r="T28" s="385">
        <f>'[17]Price Schedule 5 year'!T28</f>
        <v>8.9828590316230646E-3</v>
      </c>
      <c r="U28" s="386">
        <f>SUM(R28:T28)</f>
        <v>0.15169931196630801</v>
      </c>
      <c r="V28" s="384">
        <f>'[17]Price Schedule 5 year'!V28</f>
        <v>0.10228393380344139</v>
      </c>
      <c r="W28" s="385">
        <f>'[17]Price Schedule 5 year'!W28</f>
        <v>4.3762122114744971E-2</v>
      </c>
      <c r="X28" s="385">
        <f>'[17]Price Schedule 5 year'!X28</f>
        <v>9.1977005810229828E-3</v>
      </c>
      <c r="Y28" s="386">
        <f>SUM(V28:X28)</f>
        <v>0.15524375649920935</v>
      </c>
    </row>
    <row r="29" spans="1:25" x14ac:dyDescent="0.25">
      <c r="A29" s="368"/>
      <c r="B29" s="369" t="str">
        <f>'[16]Small Bus'!B73</f>
        <v>Business 2-Rate Type 6</v>
      </c>
      <c r="C29" s="370"/>
      <c r="D29" s="370"/>
      <c r="E29" s="370" t="s">
        <v>290</v>
      </c>
      <c r="F29" s="518"/>
      <c r="G29" s="523"/>
      <c r="H29" s="523"/>
      <c r="I29" s="524"/>
      <c r="J29" s="840" t="str">
        <f>'[17]Price Schedule 5 year'!J29</f>
        <v>Tariff Closed</v>
      </c>
      <c r="K29" s="409"/>
      <c r="L29" s="409"/>
      <c r="M29" s="410"/>
      <c r="N29" s="840" t="s">
        <v>290</v>
      </c>
      <c r="O29" s="409"/>
      <c r="P29" s="409"/>
      <c r="Q29" s="410"/>
      <c r="R29" s="840" t="s">
        <v>290</v>
      </c>
      <c r="S29" s="409"/>
      <c r="T29" s="409"/>
      <c r="U29" s="410"/>
      <c r="V29" s="840" t="s">
        <v>290</v>
      </c>
      <c r="W29" s="409"/>
      <c r="X29" s="409"/>
      <c r="Y29" s="410"/>
    </row>
    <row r="30" spans="1:25" x14ac:dyDescent="0.25">
      <c r="A30" s="374"/>
      <c r="B30" s="375"/>
      <c r="C30" s="357" t="str">
        <f>'[16]Small Bus'!B74</f>
        <v>Customers/Supply Ch</v>
      </c>
      <c r="E30" s="357" t="s">
        <v>291</v>
      </c>
      <c r="F30" s="745">
        <f>'DUoS (t)'!$G$33*Days_Year</f>
        <v>169.98050000000001</v>
      </c>
      <c r="G30" s="746">
        <f>'TUoS (t)'!$G$33*Days_Year</f>
        <v>0</v>
      </c>
      <c r="H30" s="746">
        <f>'JSO (t)'!$G$33*Days_Year</f>
        <v>15.001499999999998</v>
      </c>
      <c r="I30" s="747">
        <f>SUM(F30:H30)</f>
        <v>184.982</v>
      </c>
      <c r="J30" s="510">
        <f>'[17]Price Schedule 5 year'!J30</f>
        <v>189.99680000000001</v>
      </c>
      <c r="K30" s="378">
        <f>'[17]Price Schedule 5 year'!K30</f>
        <v>0</v>
      </c>
      <c r="L30" s="378">
        <f>'[17]Price Schedule 5 year'!L30</f>
        <v>15</v>
      </c>
      <c r="M30" s="379">
        <f>SUM(J30:L30)</f>
        <v>204.99680000000001</v>
      </c>
      <c r="N30" s="376">
        <f>'[17]Price Schedule 5 year'!N30</f>
        <v>209.99680000000001</v>
      </c>
      <c r="O30" s="378">
        <f>'[17]Price Schedule 5 year'!O30</f>
        <v>0</v>
      </c>
      <c r="P30" s="378">
        <f>'[17]Price Schedule 5 year'!P30</f>
        <v>15</v>
      </c>
      <c r="Q30" s="379">
        <f>SUM(N30:P30)</f>
        <v>224.99680000000001</v>
      </c>
      <c r="R30" s="376">
        <f>'[17]Price Schedule 5 year'!R30</f>
        <v>229.99680000000001</v>
      </c>
      <c r="S30" s="378">
        <f>'[17]Price Schedule 5 year'!S30</f>
        <v>0</v>
      </c>
      <c r="T30" s="378">
        <f>'[17]Price Schedule 5 year'!T30</f>
        <v>15</v>
      </c>
      <c r="U30" s="379">
        <f>SUM(R30:T30)</f>
        <v>244.99680000000001</v>
      </c>
      <c r="V30" s="377">
        <f>'[17]Price Schedule 5 year'!V30</f>
        <v>249.99680000000001</v>
      </c>
      <c r="W30" s="378">
        <f>'[17]Price Schedule 5 year'!W30</f>
        <v>0</v>
      </c>
      <c r="X30" s="378">
        <f>'[17]Price Schedule 5 year'!X30</f>
        <v>15</v>
      </c>
      <c r="Y30" s="379">
        <f>SUM(V30:X30)</f>
        <v>264.99680000000001</v>
      </c>
    </row>
    <row r="31" spans="1:25" x14ac:dyDescent="0.25">
      <c r="A31" s="374"/>
      <c r="B31" s="375"/>
      <c r="C31" s="357" t="str">
        <f>'[16]Small Bus'!B75</f>
        <v>Peak usage</v>
      </c>
      <c r="E31" s="357" t="s">
        <v>292</v>
      </c>
      <c r="F31" s="516">
        <f>'DUoS (t)'!$I$33</f>
        <v>0.1178</v>
      </c>
      <c r="G31" s="525">
        <f>'TUoS (t)'!$I$33</f>
        <v>4.2000000000000003E-2</v>
      </c>
      <c r="H31" s="525">
        <f>'JSO (t)'!$I$33</f>
        <v>9.4999999999999998E-3</v>
      </c>
      <c r="I31" s="526">
        <f>SUM(F31:H31)</f>
        <v>0.16930000000000001</v>
      </c>
      <c r="J31" s="511">
        <f>'[17]Price Schedule 5 year'!J31</f>
        <v>0.10958667103401616</v>
      </c>
      <c r="K31" s="393">
        <f>'[17]Price Schedule 5 year'!K31</f>
        <v>4.2604911159473111E-2</v>
      </c>
      <c r="L31" s="393">
        <f>'[17]Price Schedule 5 year'!L31</f>
        <v>9.6611597260122788E-3</v>
      </c>
      <c r="M31" s="394">
        <f>SUM(J31:L31)</f>
        <v>0.16185274191950155</v>
      </c>
      <c r="N31" s="391">
        <f>'[17]Price Schedule 5 year'!N31</f>
        <v>0.11162917825323018</v>
      </c>
      <c r="O31" s="393">
        <f>'[17]Price Schedule 5 year'!O31</f>
        <v>4.4756593351728567E-2</v>
      </c>
      <c r="P31" s="393">
        <f>'[17]Price Schedule 5 year'!P31</f>
        <v>9.8937489804673141E-3</v>
      </c>
      <c r="Q31" s="394">
        <f>SUM(N31:P31)</f>
        <v>0.16627952058542608</v>
      </c>
      <c r="R31" s="391">
        <f>'[17]Price Schedule 5 year'!R31</f>
        <v>0.1138537059189474</v>
      </c>
      <c r="S31" s="393">
        <f>'[17]Price Schedule 5 year'!S31</f>
        <v>4.6987736538442515E-2</v>
      </c>
      <c r="T31" s="393">
        <f>'[17]Price Schedule 5 year'!T31</f>
        <v>1.0123682128639193E-2</v>
      </c>
      <c r="U31" s="394">
        <f>SUM(R31:T31)</f>
        <v>0.17096512458602911</v>
      </c>
      <c r="V31" s="392">
        <f>'[17]Price Schedule 5 year'!V31</f>
        <v>0.11527399339647845</v>
      </c>
      <c r="W31" s="393">
        <f>'[17]Price Schedule 5 year'!W31</f>
        <v>4.9319911623317579E-2</v>
      </c>
      <c r="X31" s="393">
        <f>'[17]Price Schedule 5 year'!X31</f>
        <v>1.0365808554812901E-2</v>
      </c>
      <c r="Y31" s="394">
        <f>SUM(V31:X31)</f>
        <v>0.17495971357460893</v>
      </c>
    </row>
    <row r="32" spans="1:25" x14ac:dyDescent="0.25">
      <c r="A32" s="380"/>
      <c r="B32" s="381"/>
      <c r="C32" s="382" t="str">
        <f>'[16]Small Bus'!B76</f>
        <v>Off-Pk Usage</v>
      </c>
      <c r="D32" s="382"/>
      <c r="E32" s="382" t="s">
        <v>292</v>
      </c>
      <c r="F32" s="519">
        <f>'DUoS (t)'!$K$33</f>
        <v>5.8900000000000001E-2</v>
      </c>
      <c r="G32" s="527">
        <f>'TUoS (t)'!$K$33</f>
        <v>2.1000000000000001E-2</v>
      </c>
      <c r="H32" s="527">
        <f>'JSO (t)'!$K$33</f>
        <v>4.7000000000000002E-3</v>
      </c>
      <c r="I32" s="528">
        <f>SUM(F32:H32)</f>
        <v>8.4599999999999995E-2</v>
      </c>
      <c r="J32" s="384">
        <f>'[17]Price Schedule 5 year'!J32</f>
        <v>5.4793335517008081E-2</v>
      </c>
      <c r="K32" s="385">
        <f>'[17]Price Schedule 5 year'!K32</f>
        <v>2.1302455579736555E-2</v>
      </c>
      <c r="L32" s="385">
        <f>'[17]Price Schedule 5 year'!L32</f>
        <v>4.8305798630061394E-3</v>
      </c>
      <c r="M32" s="386">
        <f>SUM(J32:L32)</f>
        <v>8.0926370959750776E-2</v>
      </c>
      <c r="N32" s="383">
        <f>'[17]Price Schedule 5 year'!N32</f>
        <v>5.5814589126615091E-2</v>
      </c>
      <c r="O32" s="385">
        <f>'[17]Price Schedule 5 year'!O32</f>
        <v>2.2378296675864284E-2</v>
      </c>
      <c r="P32" s="385">
        <f>'[17]Price Schedule 5 year'!P32</f>
        <v>4.946874490233657E-3</v>
      </c>
      <c r="Q32" s="386">
        <f>SUM(N32:P32)</f>
        <v>8.3139760292713041E-2</v>
      </c>
      <c r="R32" s="383">
        <f>'[17]Price Schedule 5 year'!R32</f>
        <v>5.6926852959473702E-2</v>
      </c>
      <c r="S32" s="385">
        <f>'[17]Price Schedule 5 year'!S32</f>
        <v>2.3493868269221257E-2</v>
      </c>
      <c r="T32" s="385">
        <f>'[17]Price Schedule 5 year'!T32</f>
        <v>5.0618410643195966E-3</v>
      </c>
      <c r="U32" s="386">
        <f>SUM(R32:T32)</f>
        <v>8.5482562293014555E-2</v>
      </c>
      <c r="V32" s="384">
        <f>'[17]Price Schedule 5 year'!V32</f>
        <v>5.7636996698239226E-2</v>
      </c>
      <c r="W32" s="385">
        <f>'[17]Price Schedule 5 year'!W32</f>
        <v>2.465995581165879E-2</v>
      </c>
      <c r="X32" s="385">
        <f>'[17]Price Schedule 5 year'!X32</f>
        <v>5.1829042774064506E-3</v>
      </c>
      <c r="Y32" s="386">
        <f>SUM(V32:X32)</f>
        <v>8.7479856787304466E-2</v>
      </c>
    </row>
    <row r="33" spans="1:25" x14ac:dyDescent="0.25">
      <c r="A33" s="368"/>
      <c r="B33" s="369" t="str">
        <f>'[16]Small Bus'!B79</f>
        <v>Business TOU Type 4, 5</v>
      </c>
      <c r="C33" s="370"/>
      <c r="D33" s="370"/>
      <c r="E33" s="370" t="s">
        <v>701</v>
      </c>
      <c r="F33" s="518"/>
      <c r="G33" s="523"/>
      <c r="H33" s="523"/>
      <c r="I33" s="524"/>
      <c r="J33" s="408"/>
      <c r="K33" s="409"/>
      <c r="L33" s="409"/>
      <c r="M33" s="410"/>
      <c r="N33" s="407"/>
      <c r="O33" s="409"/>
      <c r="P33" s="409"/>
      <c r="Q33" s="410"/>
      <c r="R33" s="407"/>
      <c r="S33" s="409"/>
      <c r="T33" s="409"/>
      <c r="U33" s="410"/>
      <c r="V33" s="408"/>
      <c r="W33" s="409"/>
      <c r="X33" s="409"/>
      <c r="Y33" s="410"/>
    </row>
    <row r="34" spans="1:25" x14ac:dyDescent="0.25">
      <c r="A34" s="374"/>
      <c r="B34" s="375"/>
      <c r="C34" s="357" t="str">
        <f>'[16]Small Bus'!B80</f>
        <v>Customers/Supply Ch</v>
      </c>
      <c r="E34" s="357" t="s">
        <v>291</v>
      </c>
      <c r="F34" s="745">
        <f>'DUoS (t)'!$G$37*Days_Year</f>
        <v>169.98050000000001</v>
      </c>
      <c r="G34" s="746">
        <f>'TUoS (t)'!$G$37*Days_Year</f>
        <v>0</v>
      </c>
      <c r="H34" s="746">
        <f>'JSO (t)'!$G$37*Days_Year</f>
        <v>15.001499999999998</v>
      </c>
      <c r="I34" s="747">
        <f>SUM(F34:H34)</f>
        <v>184.982</v>
      </c>
      <c r="J34" s="510">
        <f>'[17]Price Schedule 5 year'!J34</f>
        <v>189.99680000000001</v>
      </c>
      <c r="K34" s="378">
        <f>'[17]Price Schedule 5 year'!K34</f>
        <v>0</v>
      </c>
      <c r="L34" s="378">
        <f>'[17]Price Schedule 5 year'!L34</f>
        <v>15</v>
      </c>
      <c r="M34" s="379">
        <f>SUM(J34:L34)</f>
        <v>204.99680000000001</v>
      </c>
      <c r="N34" s="376">
        <f>'[17]Price Schedule 5 year'!N34</f>
        <v>209.99680000000001</v>
      </c>
      <c r="O34" s="378">
        <f>'[17]Price Schedule 5 year'!O34</f>
        <v>0</v>
      </c>
      <c r="P34" s="378">
        <f>'[17]Price Schedule 5 year'!P34</f>
        <v>15</v>
      </c>
      <c r="Q34" s="379">
        <f>SUM(N34:P34)</f>
        <v>224.99680000000001</v>
      </c>
      <c r="R34" s="376">
        <f>'[17]Price Schedule 5 year'!R34</f>
        <v>229.99680000000001</v>
      </c>
      <c r="S34" s="378">
        <f>'[17]Price Schedule 5 year'!S34</f>
        <v>0</v>
      </c>
      <c r="T34" s="378">
        <f>'[17]Price Schedule 5 year'!T34</f>
        <v>15</v>
      </c>
      <c r="U34" s="379">
        <f>SUM(R34:T34)</f>
        <v>244.99680000000001</v>
      </c>
      <c r="V34" s="377">
        <f>'[17]Price Schedule 5 year'!V34</f>
        <v>249.99680000000001</v>
      </c>
      <c r="W34" s="378">
        <f>'[17]Price Schedule 5 year'!W34</f>
        <v>0</v>
      </c>
      <c r="X34" s="378">
        <f>'[17]Price Schedule 5 year'!X34</f>
        <v>15</v>
      </c>
      <c r="Y34" s="379">
        <f>SUM(V34:X34)</f>
        <v>264.99680000000001</v>
      </c>
    </row>
    <row r="35" spans="1:25" x14ac:dyDescent="0.25">
      <c r="A35" s="374"/>
      <c r="B35" s="375"/>
      <c r="C35" s="357" t="str">
        <f>'[16]Small Bus'!B81</f>
        <v>Peak usage</v>
      </c>
      <c r="E35" s="357" t="s">
        <v>292</v>
      </c>
      <c r="F35" s="516">
        <f>'DUoS (t)'!$I$37</f>
        <v>0.15679999999999999</v>
      </c>
      <c r="G35" s="525">
        <f>'TUoS (t)'!$I$37</f>
        <v>5.5899999999999998E-2</v>
      </c>
      <c r="H35" s="525">
        <f>'JSO (t)'!$I$37</f>
        <v>1.26E-2</v>
      </c>
      <c r="I35" s="526">
        <f>SUM(F35:H35)</f>
        <v>0.2253</v>
      </c>
      <c r="J35" s="511">
        <f>'[17]Price Schedule 5 year'!J35</f>
        <v>0.14585626135849533</v>
      </c>
      <c r="K35" s="393">
        <f>'[17]Price Schedule 5 year'!K35</f>
        <v>5.6705738011721088E-2</v>
      </c>
      <c r="L35" s="393">
        <f>'[17]Price Schedule 5 year'!L35</f>
        <v>1.2858686414390787E-2</v>
      </c>
      <c r="M35" s="394">
        <f>SUM(J35:L35)</f>
        <v>0.21542068578460719</v>
      </c>
      <c r="N35" s="391">
        <f>'[17]Price Schedule 5 year'!N35</f>
        <v>0.14857477141068792</v>
      </c>
      <c r="O35" s="393">
        <f>'[17]Price Schedule 5 year'!O35</f>
        <v>5.9569556368760296E-2</v>
      </c>
      <c r="P35" s="393">
        <f>'[17]Price Schedule 5 year'!P35</f>
        <v>1.3168255076043453E-2</v>
      </c>
      <c r="Q35" s="394">
        <f>SUM(N35:P35)</f>
        <v>0.22131258285549166</v>
      </c>
      <c r="R35" s="391">
        <f>'[17]Price Schedule 5 year'!R35</f>
        <v>0.15153554470134969</v>
      </c>
      <c r="S35" s="393">
        <f>'[17]Price Schedule 5 year'!S35</f>
        <v>6.2539134700677707E-2</v>
      </c>
      <c r="T35" s="393">
        <f>'[17]Price Schedule 5 year'!T35</f>
        <v>1.3474288547434597E-2</v>
      </c>
      <c r="U35" s="394">
        <f>SUM(R35:T35)</f>
        <v>0.227548967949462</v>
      </c>
      <c r="V35" s="392">
        <f>'[17]Price Schedule 5 year'!V35</f>
        <v>0.1534259007051621</v>
      </c>
      <c r="W35" s="393">
        <f>'[17]Price Schedule 5 year'!W35</f>
        <v>6.5643183172117453E-2</v>
      </c>
      <c r="X35" s="393">
        <f>'[17]Price Schedule 5 year'!X35</f>
        <v>1.3796550871534474E-2</v>
      </c>
      <c r="Y35" s="394">
        <f>SUM(V35:X35)</f>
        <v>0.23286563474881403</v>
      </c>
    </row>
    <row r="36" spans="1:25" x14ac:dyDescent="0.25">
      <c r="A36" s="374"/>
      <c r="B36" s="375"/>
      <c r="C36" s="357" t="str">
        <f>'[16]Small Bus'!B82</f>
        <v>Shoulder Usage</v>
      </c>
      <c r="E36" s="357" t="s">
        <v>292</v>
      </c>
      <c r="F36" s="516">
        <f>'DUoS (t)'!$J$37</f>
        <v>0.1091</v>
      </c>
      <c r="G36" s="525">
        <f>'TUoS (t)'!$J$37</f>
        <v>3.8899999999999997E-2</v>
      </c>
      <c r="H36" s="525">
        <f>'JSO (t)'!$J$37</f>
        <v>8.8000000000000005E-3</v>
      </c>
      <c r="I36" s="526">
        <f>SUM(F36:H36)</f>
        <v>0.15679999999999999</v>
      </c>
      <c r="J36" s="511">
        <f>'[17]Price Schedule 5 year'!J36</f>
        <v>0.10151595790551277</v>
      </c>
      <c r="K36" s="393">
        <f>'[17]Price Schedule 5 year'!K36</f>
        <v>3.9467193656157883E-2</v>
      </c>
      <c r="L36" s="393">
        <f>'[17]Price Schedule 5 year'!L36</f>
        <v>8.949645744415988E-3</v>
      </c>
      <c r="M36" s="394">
        <f>SUM(J36:L36)</f>
        <v>0.14993279730608663</v>
      </c>
      <c r="N36" s="391">
        <f>'[17]Price Schedule 5 year'!N36</f>
        <v>0.10340804090183879</v>
      </c>
      <c r="O36" s="393">
        <f>'[17]Price Schedule 5 year'!O36</f>
        <v>4.1460411232657167E-2</v>
      </c>
      <c r="P36" s="393">
        <f>'[17]Price Schedule 5 year'!P36</f>
        <v>9.1651055329262428E-3</v>
      </c>
      <c r="Q36" s="394">
        <f>SUM(N36:P36)</f>
        <v>0.15403355766742219</v>
      </c>
      <c r="R36" s="391">
        <f>'[17]Price Schedule 5 year'!R36</f>
        <v>0.1054687391121394</v>
      </c>
      <c r="S36" s="393">
        <f>'[17]Price Schedule 5 year'!S36</f>
        <v>4.352723775167168E-2</v>
      </c>
      <c r="T36" s="393">
        <f>'[17]Price Schedule 5 year'!T36</f>
        <v>9.3781048290144803E-3</v>
      </c>
      <c r="U36" s="394">
        <f>SUM(R36:T36)</f>
        <v>0.15837408169282557</v>
      </c>
      <c r="V36" s="392">
        <f>'[17]Price Schedule 5 year'!V36</f>
        <v>0.10678442689079282</v>
      </c>
      <c r="W36" s="393">
        <f>'[17]Price Schedule 5 year'!W36</f>
        <v>4.568765548779375E-2</v>
      </c>
      <c r="X36" s="393">
        <f>'[17]Price Schedule 5 year'!X36</f>
        <v>9.6023994065879952E-3</v>
      </c>
      <c r="Y36" s="394">
        <f>SUM(V36:X36)</f>
        <v>0.16207448178517456</v>
      </c>
    </row>
    <row r="37" spans="1:25" x14ac:dyDescent="0.25">
      <c r="A37" s="380"/>
      <c r="B37" s="381"/>
      <c r="C37" s="382" t="str">
        <f>'[16]Small Bus'!B83</f>
        <v>Off-Peak Usage</v>
      </c>
      <c r="D37" s="382"/>
      <c r="E37" s="382" t="s">
        <v>292</v>
      </c>
      <c r="F37" s="519">
        <f>'DUoS (t)'!$K$37</f>
        <v>5.8900000000000001E-2</v>
      </c>
      <c r="G37" s="527">
        <f>'TUoS (t)'!$K$37</f>
        <v>2.1000000000000001E-2</v>
      </c>
      <c r="H37" s="527">
        <f>'JSO (t)'!$K$37</f>
        <v>4.7000000000000002E-3</v>
      </c>
      <c r="I37" s="528">
        <f>SUM(F37:H37)</f>
        <v>8.4599999999999995E-2</v>
      </c>
      <c r="J37" s="384">
        <f>'[17]Price Schedule 5 year'!J37</f>
        <v>5.4793335517008081E-2</v>
      </c>
      <c r="K37" s="385">
        <f>'[17]Price Schedule 5 year'!K37</f>
        <v>2.1302455579736555E-2</v>
      </c>
      <c r="L37" s="385">
        <f>'[17]Price Schedule 5 year'!L37</f>
        <v>4.8305798630061394E-3</v>
      </c>
      <c r="M37" s="386">
        <f>SUM(J37:L37)</f>
        <v>8.0926370959750776E-2</v>
      </c>
      <c r="N37" s="383">
        <f>'[17]Price Schedule 5 year'!N37</f>
        <v>5.5814589126615091E-2</v>
      </c>
      <c r="O37" s="385">
        <f>'[17]Price Schedule 5 year'!O37</f>
        <v>2.2378296675864284E-2</v>
      </c>
      <c r="P37" s="385">
        <f>'[17]Price Schedule 5 year'!P37</f>
        <v>4.946874490233657E-3</v>
      </c>
      <c r="Q37" s="386">
        <f>SUM(N37:P37)</f>
        <v>8.3139760292713041E-2</v>
      </c>
      <c r="R37" s="383">
        <f>'[17]Price Schedule 5 year'!R37</f>
        <v>5.6926852959473702E-2</v>
      </c>
      <c r="S37" s="385">
        <f>'[17]Price Schedule 5 year'!S37</f>
        <v>2.3493868269221257E-2</v>
      </c>
      <c r="T37" s="385">
        <f>'[17]Price Schedule 5 year'!T37</f>
        <v>5.0618410643195966E-3</v>
      </c>
      <c r="U37" s="386">
        <f>SUM(R37:T37)</f>
        <v>8.5482562293014555E-2</v>
      </c>
      <c r="V37" s="384">
        <f>'[17]Price Schedule 5 year'!V37</f>
        <v>5.7636996698239226E-2</v>
      </c>
      <c r="W37" s="385">
        <f>'[17]Price Schedule 5 year'!W37</f>
        <v>2.465995581165879E-2</v>
      </c>
      <c r="X37" s="385">
        <f>'[17]Price Schedule 5 year'!X37</f>
        <v>5.1829042774064506E-3</v>
      </c>
      <c r="Y37" s="386">
        <f>SUM(V37:X37)</f>
        <v>8.7479856787304466E-2</v>
      </c>
    </row>
    <row r="38" spans="1:25" x14ac:dyDescent="0.25">
      <c r="A38" s="368"/>
      <c r="B38" s="369" t="str">
        <f>'[16]Small Bus'!B86</f>
        <v>Business TOU+MD &gt;120 kVA</v>
      </c>
      <c r="C38" s="370"/>
      <c r="D38" s="370"/>
      <c r="E38" s="370" t="s">
        <v>705</v>
      </c>
      <c r="F38" s="518"/>
      <c r="G38" s="523"/>
      <c r="H38" s="523"/>
      <c r="I38" s="524"/>
      <c r="J38" s="408"/>
      <c r="K38" s="409"/>
      <c r="L38" s="409"/>
      <c r="M38" s="410"/>
      <c r="N38" s="407"/>
      <c r="O38" s="409"/>
      <c r="P38" s="409"/>
      <c r="Q38" s="410"/>
      <c r="R38" s="407"/>
      <c r="S38" s="409"/>
      <c r="T38" s="409"/>
      <c r="U38" s="410"/>
      <c r="V38" s="408"/>
      <c r="W38" s="409"/>
      <c r="X38" s="409"/>
      <c r="Y38" s="410"/>
    </row>
    <row r="39" spans="1:25" x14ac:dyDescent="0.25">
      <c r="A39" s="374"/>
      <c r="B39" s="375"/>
      <c r="C39" s="357" t="str">
        <f>'[16]Small Bus'!B87</f>
        <v>Customers/Supply Ch</v>
      </c>
      <c r="E39" s="357" t="s">
        <v>291</v>
      </c>
      <c r="F39" s="745">
        <f>'DUoS (t)'!$G$38*Days_Year</f>
        <v>169.98050000000001</v>
      </c>
      <c r="G39" s="746">
        <f>'TUoS (t)'!$G$38*Days_Year</f>
        <v>0</v>
      </c>
      <c r="H39" s="746">
        <f>'JSO (t)'!$G$38*Days_Year</f>
        <v>15.001499999999998</v>
      </c>
      <c r="I39" s="747">
        <f>SUM(F39:H39)</f>
        <v>184.982</v>
      </c>
      <c r="J39" s="510">
        <f>'[17]Price Schedule 5 year'!J39</f>
        <v>189.99680000000001</v>
      </c>
      <c r="K39" s="378">
        <f>'[17]Price Schedule 5 year'!K39</f>
        <v>0</v>
      </c>
      <c r="L39" s="378">
        <f>'[17]Price Schedule 5 year'!L39</f>
        <v>15</v>
      </c>
      <c r="M39" s="379">
        <f>SUM(J39:L39)</f>
        <v>204.99680000000001</v>
      </c>
      <c r="N39" s="376">
        <f>'[17]Price Schedule 5 year'!N39</f>
        <v>209.99680000000001</v>
      </c>
      <c r="O39" s="378">
        <f>'[17]Price Schedule 5 year'!O39</f>
        <v>0</v>
      </c>
      <c r="P39" s="378">
        <f>'[17]Price Schedule 5 year'!P39</f>
        <v>15</v>
      </c>
      <c r="Q39" s="379">
        <f>SUM(N39:P39)</f>
        <v>224.99680000000001</v>
      </c>
      <c r="R39" s="376">
        <f>'[17]Price Schedule 5 year'!R39</f>
        <v>229.99680000000001</v>
      </c>
      <c r="S39" s="378">
        <f>'[17]Price Schedule 5 year'!S39</f>
        <v>0</v>
      </c>
      <c r="T39" s="378">
        <f>'[17]Price Schedule 5 year'!T39</f>
        <v>15</v>
      </c>
      <c r="U39" s="379">
        <f>SUM(R39:T39)</f>
        <v>244.99680000000001</v>
      </c>
      <c r="V39" s="377">
        <f>'[17]Price Schedule 5 year'!V39</f>
        <v>249.99680000000001</v>
      </c>
      <c r="W39" s="378">
        <f>'[17]Price Schedule 5 year'!W39</f>
        <v>0</v>
      </c>
      <c r="X39" s="378">
        <f>'[17]Price Schedule 5 year'!X39</f>
        <v>15</v>
      </c>
      <c r="Y39" s="379">
        <f>SUM(V39:X39)</f>
        <v>264.99680000000001</v>
      </c>
    </row>
    <row r="40" spans="1:25" x14ac:dyDescent="0.25">
      <c r="A40" s="374"/>
      <c r="B40" s="375"/>
      <c r="C40" s="357" t="str">
        <f>'[16]Small Bus'!B88</f>
        <v>Anytime Max Demand</v>
      </c>
      <c r="D40" s="357">
        <v>3</v>
      </c>
      <c r="E40" s="357" t="s">
        <v>298</v>
      </c>
      <c r="F40" s="745">
        <f>'DUoS (t)'!$T$38*Days_Year</f>
        <v>29.710999999999999</v>
      </c>
      <c r="G40" s="746">
        <f>'TUoS (t)'!$T$38*Days_Year</f>
        <v>0</v>
      </c>
      <c r="H40" s="746">
        <f>'JSO (t)'!$T$38*Days_Year</f>
        <v>0</v>
      </c>
      <c r="I40" s="747">
        <f>SUM(F40:H40)</f>
        <v>29.710999999999999</v>
      </c>
      <c r="J40" s="510">
        <f>'[17]Price Schedule 5 year'!J40</f>
        <v>27.6</v>
      </c>
      <c r="K40" s="378">
        <f>'[17]Price Schedule 5 year'!K40</f>
        <v>0</v>
      </c>
      <c r="L40" s="378">
        <f>'[17]Price Schedule 5 year'!L40</f>
        <v>0</v>
      </c>
      <c r="M40" s="379">
        <f>SUM(J40:L40)</f>
        <v>27.6</v>
      </c>
      <c r="N40" s="376">
        <f>'[17]Price Schedule 5 year'!N40</f>
        <v>28.1</v>
      </c>
      <c r="O40" s="378">
        <f>'[17]Price Schedule 5 year'!O40</f>
        <v>0</v>
      </c>
      <c r="P40" s="378">
        <f>'[17]Price Schedule 5 year'!P40</f>
        <v>0</v>
      </c>
      <c r="Q40" s="379">
        <f>SUM(N40:P40)</f>
        <v>28.1</v>
      </c>
      <c r="R40" s="376">
        <f>'[17]Price Schedule 5 year'!R40</f>
        <v>28.7</v>
      </c>
      <c r="S40" s="378">
        <f>'[17]Price Schedule 5 year'!S40</f>
        <v>0</v>
      </c>
      <c r="T40" s="378">
        <f>'[17]Price Schedule 5 year'!T40</f>
        <v>0</v>
      </c>
      <c r="U40" s="379">
        <f>SUM(R40:T40)</f>
        <v>28.7</v>
      </c>
      <c r="V40" s="377">
        <f>'[17]Price Schedule 5 year'!V40</f>
        <v>29.1</v>
      </c>
      <c r="W40" s="378">
        <f>'[17]Price Schedule 5 year'!W40</f>
        <v>0</v>
      </c>
      <c r="X40" s="378">
        <f>'[17]Price Schedule 5 year'!X40</f>
        <v>0</v>
      </c>
      <c r="Y40" s="379">
        <f>SUM(V40:X40)</f>
        <v>29.1</v>
      </c>
    </row>
    <row r="41" spans="1:25" x14ac:dyDescent="0.25">
      <c r="A41" s="374"/>
      <c r="B41" s="375"/>
      <c r="C41" s="357" t="str">
        <f>'[16]Small Bus'!B89</f>
        <v>Peak usage</v>
      </c>
      <c r="E41" s="357" t="s">
        <v>292</v>
      </c>
      <c r="F41" s="516">
        <f>'DUoS (t)'!$I$38</f>
        <v>0.1255</v>
      </c>
      <c r="G41" s="525">
        <f>'TUoS (t)'!$I$38</f>
        <v>4.4699999999999997E-2</v>
      </c>
      <c r="H41" s="525">
        <f>'JSO (t)'!$I$38</f>
        <v>1.01E-2</v>
      </c>
      <c r="I41" s="526">
        <f>SUM(F41:H41)</f>
        <v>0.18029999999999999</v>
      </c>
      <c r="J41" s="511">
        <f>'[17]Price Schedule 5 year'!J41</f>
        <v>0.11668500908679628</v>
      </c>
      <c r="K41" s="393">
        <f>'[17]Price Schedule 5 year'!K41</f>
        <v>4.5364590409376883E-2</v>
      </c>
      <c r="L41" s="393">
        <f>'[17]Price Schedule 5 year'!L41</f>
        <v>1.0286949131512631E-2</v>
      </c>
      <c r="M41" s="394">
        <f>SUM(J41:L41)</f>
        <v>0.1723365486276858</v>
      </c>
      <c r="N41" s="391">
        <f>'[17]Price Schedule 5 year'!N41</f>
        <v>0.11885981712855034</v>
      </c>
      <c r="O41" s="393">
        <f>'[17]Price Schedule 5 year'!O41</f>
        <v>4.7655645095008241E-2</v>
      </c>
      <c r="P41" s="393">
        <f>'[17]Price Schedule 5 year'!P41</f>
        <v>1.0534604060834764E-2</v>
      </c>
      <c r="Q41" s="394">
        <f>SUM(N41:P41)</f>
        <v>0.17705006628439335</v>
      </c>
      <c r="R41" s="391">
        <f>'[17]Price Schedule 5 year'!R41</f>
        <v>0.12122843576107978</v>
      </c>
      <c r="S41" s="393">
        <f>'[17]Price Schedule 5 year'!S41</f>
        <v>5.0031307760542168E-2</v>
      </c>
      <c r="T41" s="393">
        <f>'[17]Price Schedule 5 year'!T41</f>
        <v>1.077943083794768E-2</v>
      </c>
      <c r="U41" s="394">
        <f>SUM(R41:T41)</f>
        <v>0.18203917435956962</v>
      </c>
      <c r="V41" s="392">
        <f>'[17]Price Schedule 5 year'!V41</f>
        <v>0.12274072056412969</v>
      </c>
      <c r="W41" s="393">
        <f>'[17]Price Schedule 5 year'!W41</f>
        <v>5.2514546537693975E-2</v>
      </c>
      <c r="X41" s="393">
        <f>'[17]Price Schedule 5 year'!X41</f>
        <v>1.1037240697227581E-2</v>
      </c>
      <c r="Y41" s="394">
        <f>SUM(V41:X41)</f>
        <v>0.18629250779905124</v>
      </c>
    </row>
    <row r="42" spans="1:25" x14ac:dyDescent="0.25">
      <c r="A42" s="374"/>
      <c r="B42" s="375"/>
      <c r="C42" s="357" t="str">
        <f>'[16]Small Bus'!B90</f>
        <v>Shoulder Usage</v>
      </c>
      <c r="E42" s="357" t="s">
        <v>292</v>
      </c>
      <c r="F42" s="516">
        <f>'DUoS (t)'!$J$38</f>
        <v>8.7300000000000003E-2</v>
      </c>
      <c r="G42" s="525">
        <f>'TUoS (t)'!$J$38</f>
        <v>3.1099999999999999E-2</v>
      </c>
      <c r="H42" s="525">
        <f>'JSO (t)'!$J$38</f>
        <v>7.0000000000000001E-3</v>
      </c>
      <c r="I42" s="526">
        <f>SUM(F42:H42)</f>
        <v>0.12540000000000001</v>
      </c>
      <c r="J42" s="511">
        <f>'[17]Price Schedule 5 year'!J42</f>
        <v>8.1212766324410213E-2</v>
      </c>
      <c r="K42" s="393">
        <f>'[17]Price Schedule 5 year'!K42</f>
        <v>3.1573754924926305E-2</v>
      </c>
      <c r="L42" s="393">
        <f>'[17]Price Schedule 5 year'!L42</f>
        <v>7.1597165955327906E-3</v>
      </c>
      <c r="M42" s="394">
        <f>SUM(J42:L42)</f>
        <v>0.11994623784486931</v>
      </c>
      <c r="N42" s="391">
        <f>'[17]Price Schedule 5 year'!N42</f>
        <v>8.2726432721471038E-2</v>
      </c>
      <c r="O42" s="393">
        <f>'[17]Price Schedule 5 year'!O42</f>
        <v>3.3168328986125734E-2</v>
      </c>
      <c r="P42" s="393">
        <f>'[17]Price Schedule 5 year'!P42</f>
        <v>7.3320844263409946E-3</v>
      </c>
      <c r="Q42" s="394">
        <f>SUM(N42:P42)</f>
        <v>0.12322684613393776</v>
      </c>
      <c r="R42" s="391">
        <f>'[17]Price Schedule 5 year'!R42</f>
        <v>8.4374991289711515E-2</v>
      </c>
      <c r="S42" s="393">
        <f>'[17]Price Schedule 5 year'!S42</f>
        <v>3.4821790201337348E-2</v>
      </c>
      <c r="T42" s="393">
        <f>'[17]Price Schedule 5 year'!T42</f>
        <v>7.5024838632115837E-3</v>
      </c>
      <c r="U42" s="394">
        <f>SUM(R42:T42)</f>
        <v>0.12669926535426046</v>
      </c>
      <c r="V42" s="392">
        <f>'[17]Price Schedule 5 year'!V42</f>
        <v>8.542754151263425E-2</v>
      </c>
      <c r="W42" s="393">
        <f>'[17]Price Schedule 5 year'!W42</f>
        <v>3.6550124390235E-2</v>
      </c>
      <c r="X42" s="393">
        <f>'[17]Price Schedule 5 year'!X42</f>
        <v>7.6819195252703955E-3</v>
      </c>
      <c r="Y42" s="394">
        <f>SUM(V42:X42)</f>
        <v>0.12965958542813966</v>
      </c>
    </row>
    <row r="43" spans="1:25" x14ac:dyDescent="0.25">
      <c r="A43" s="380"/>
      <c r="B43" s="381"/>
      <c r="C43" s="382" t="str">
        <f>'[16]Small Bus'!B91</f>
        <v>Off-Peak Usage</v>
      </c>
      <c r="D43" s="382"/>
      <c r="E43" s="382" t="s">
        <v>292</v>
      </c>
      <c r="F43" s="519">
        <f>'DUoS (t)'!$K$38</f>
        <v>4.7100000000000003E-2</v>
      </c>
      <c r="G43" s="527">
        <f>'TUoS (t)'!$K$38</f>
        <v>1.6799999999999999E-2</v>
      </c>
      <c r="H43" s="527">
        <f>'JSO (t)'!$K$38</f>
        <v>3.8E-3</v>
      </c>
      <c r="I43" s="528">
        <f>SUM(F43:H43)</f>
        <v>6.7699999999999996E-2</v>
      </c>
      <c r="J43" s="384">
        <f>'[17]Price Schedule 5 year'!J43</f>
        <v>4.3834668413606469E-2</v>
      </c>
      <c r="K43" s="385">
        <f>'[17]Price Schedule 5 year'!K43</f>
        <v>1.7041964463789246E-2</v>
      </c>
      <c r="L43" s="385">
        <f>'[17]Price Schedule 5 year'!L43</f>
        <v>3.8644638904049115E-3</v>
      </c>
      <c r="M43" s="386">
        <f>SUM(J43:L43)</f>
        <v>6.4741096767800627E-2</v>
      </c>
      <c r="N43" s="383">
        <f>'[17]Price Schedule 5 year'!N43</f>
        <v>4.4651671301292079E-2</v>
      </c>
      <c r="O43" s="385">
        <f>'[17]Price Schedule 5 year'!O43</f>
        <v>1.7902637340691429E-2</v>
      </c>
      <c r="P43" s="385">
        <f>'[17]Price Schedule 5 year'!P43</f>
        <v>3.957499592186926E-3</v>
      </c>
      <c r="Q43" s="386">
        <f>SUM(N43:P43)</f>
        <v>6.6511808234170439E-2</v>
      </c>
      <c r="R43" s="383">
        <f>'[17]Price Schedule 5 year'!R43</f>
        <v>4.5541482367578968E-2</v>
      </c>
      <c r="S43" s="385">
        <f>'[17]Price Schedule 5 year'!S43</f>
        <v>1.8795094615377005E-2</v>
      </c>
      <c r="T43" s="385">
        <f>'[17]Price Schedule 5 year'!T43</f>
        <v>4.0494728514556778E-3</v>
      </c>
      <c r="U43" s="386">
        <f>SUM(R43:T43)</f>
        <v>6.8386049834411655E-2</v>
      </c>
      <c r="V43" s="384">
        <f>'[17]Price Schedule 5 year'!V43</f>
        <v>4.6109597358591381E-2</v>
      </c>
      <c r="W43" s="385">
        <f>'[17]Price Schedule 5 year'!W43</f>
        <v>1.9727964649327034E-2</v>
      </c>
      <c r="X43" s="385">
        <f>'[17]Price Schedule 5 year'!X43</f>
        <v>4.146323421925161E-3</v>
      </c>
      <c r="Y43" s="386">
        <f>SUM(V43:X43)</f>
        <v>6.9983885429843573E-2</v>
      </c>
    </row>
    <row r="44" spans="1:25" x14ac:dyDescent="0.25">
      <c r="A44" s="374"/>
      <c r="B44" s="375" t="str">
        <f>'[16]Small Bus'!B94</f>
        <v>Small Business Actual Demand</v>
      </c>
      <c r="C44" s="411"/>
      <c r="D44" s="411"/>
      <c r="E44" s="357" t="s">
        <v>290</v>
      </c>
      <c r="F44" s="516"/>
      <c r="G44" s="525"/>
      <c r="H44" s="525"/>
      <c r="I44" s="526"/>
      <c r="J44" s="511"/>
      <c r="K44" s="393"/>
      <c r="L44" s="393"/>
      <c r="M44" s="394"/>
      <c r="N44" s="391"/>
      <c r="O44" s="393"/>
      <c r="P44" s="393"/>
      <c r="Q44" s="394"/>
      <c r="R44" s="391"/>
      <c r="S44" s="393"/>
      <c r="T44" s="393"/>
      <c r="U44" s="394"/>
      <c r="V44" s="392"/>
      <c r="W44" s="393"/>
      <c r="X44" s="393"/>
      <c r="Y44" s="394"/>
    </row>
    <row r="45" spans="1:25" x14ac:dyDescent="0.25">
      <c r="A45" s="374"/>
      <c r="C45" s="357" t="str">
        <f>'[16]Small Bus'!B95</f>
        <v>Customers/Supply Ch</v>
      </c>
      <c r="E45" s="357" t="s">
        <v>291</v>
      </c>
      <c r="F45" s="745">
        <f>'DUoS (t)'!$G$39*Days_Year</f>
        <v>999.9905</v>
      </c>
      <c r="G45" s="746">
        <f>'TUoS (t)'!$G$39*Days_Year</f>
        <v>0</v>
      </c>
      <c r="H45" s="746">
        <f>'JSO (t)'!$G$39*Days_Year</f>
        <v>15.001499999999998</v>
      </c>
      <c r="I45" s="747">
        <f>SUM(F45:H45)</f>
        <v>1014.992</v>
      </c>
      <c r="J45" s="844">
        <f>'[17]Price Schedule 5 year'!J45</f>
        <v>1999.9967999999999</v>
      </c>
      <c r="K45" s="845">
        <f>'[17]Price Schedule 5 year'!K45</f>
        <v>0</v>
      </c>
      <c r="L45" s="845">
        <f>'[17]Price Schedule 5 year'!L45</f>
        <v>15</v>
      </c>
      <c r="M45" s="846">
        <f>SUM(J45:L45)</f>
        <v>2014.9967999999999</v>
      </c>
      <c r="N45" s="847">
        <f>'[17]Price Schedule 5 year'!N45</f>
        <v>2999.9967999999999</v>
      </c>
      <c r="O45" s="845">
        <f>'[17]Price Schedule 5 year'!O45</f>
        <v>0</v>
      </c>
      <c r="P45" s="845">
        <f>'[17]Price Schedule 5 year'!P45</f>
        <v>15</v>
      </c>
      <c r="Q45" s="846">
        <f>SUM(N45:P45)</f>
        <v>3014.9967999999999</v>
      </c>
      <c r="R45" s="847">
        <f>'[17]Price Schedule 5 year'!R45</f>
        <v>3999.9967999999999</v>
      </c>
      <c r="S45" s="845">
        <f>'[17]Price Schedule 5 year'!S45</f>
        <v>0</v>
      </c>
      <c r="T45" s="845">
        <f>'[17]Price Schedule 5 year'!T45</f>
        <v>15</v>
      </c>
      <c r="U45" s="846">
        <f>SUM(R45:T45)</f>
        <v>4014.9967999999999</v>
      </c>
      <c r="V45" s="848">
        <f>'[17]Price Schedule 5 year'!V45</f>
        <v>4999.9967999999999</v>
      </c>
      <c r="W45" s="845">
        <f>'[17]Price Schedule 5 year'!W45</f>
        <v>0</v>
      </c>
      <c r="X45" s="845">
        <f>'[17]Price Schedule 5 year'!X45</f>
        <v>15</v>
      </c>
      <c r="Y45" s="846">
        <f>SUM(V45:X45)</f>
        <v>5014.9967999999999</v>
      </c>
    </row>
    <row r="46" spans="1:25" x14ac:dyDescent="0.25">
      <c r="A46" s="374"/>
      <c r="C46" s="357" t="str">
        <f>'[16]Small Bus'!B96</f>
        <v>Peak Actual Demand</v>
      </c>
      <c r="D46" s="357">
        <v>1</v>
      </c>
      <c r="E46" s="357" t="s">
        <v>706</v>
      </c>
      <c r="F46" s="745">
        <f>'DUoS (t)'!$Q$39*Days_Summer_Demand/5</f>
        <v>9.3438800000000004</v>
      </c>
      <c r="G46" s="746">
        <f>'TUoS (t)'!$Q$39*Days_Summer_Demand/5</f>
        <v>2.6213600000000001</v>
      </c>
      <c r="H46" s="746">
        <f>'JSO (t)'!$Q$39*Days_Summer_Demand</f>
        <v>0</v>
      </c>
      <c r="I46" s="747">
        <f>SUM(F46:H46)</f>
        <v>11.965240000000001</v>
      </c>
      <c r="J46" s="510">
        <f>'[17]Price Schedule 5 year'!J46</f>
        <v>9.3449600000000004</v>
      </c>
      <c r="K46" s="378">
        <f>'[17]Price Schedule 5 year'!K46</f>
        <v>2.6204799999999997</v>
      </c>
      <c r="L46" s="378">
        <f>'[17]Price Schedule 5 year'!L46</f>
        <v>0</v>
      </c>
      <c r="M46" s="379">
        <f>SUM(J46:L46)</f>
        <v>11.965440000000001</v>
      </c>
      <c r="N46" s="376">
        <f>'[17]Price Schedule 5 year'!N46</f>
        <v>9.3449600000000004</v>
      </c>
      <c r="O46" s="378">
        <f>'[17]Price Schedule 5 year'!O46</f>
        <v>2.6204799999999997</v>
      </c>
      <c r="P46" s="378">
        <f>'[17]Price Schedule 5 year'!P46</f>
        <v>0</v>
      </c>
      <c r="Q46" s="379">
        <f>SUM(N46:P46)</f>
        <v>11.965440000000001</v>
      </c>
      <c r="R46" s="376">
        <f>'[17]Price Schedule 5 year'!R46</f>
        <v>9.3449600000000004</v>
      </c>
      <c r="S46" s="378">
        <f>'[17]Price Schedule 5 year'!S46</f>
        <v>2.6204799999999997</v>
      </c>
      <c r="T46" s="378">
        <f>'[17]Price Schedule 5 year'!T46</f>
        <v>0</v>
      </c>
      <c r="U46" s="379">
        <f>SUM(R46:T46)</f>
        <v>11.965440000000001</v>
      </c>
      <c r="V46" s="377">
        <f>'[17]Price Schedule 5 year'!V46</f>
        <v>9.3449600000000004</v>
      </c>
      <c r="W46" s="378">
        <f>'[17]Price Schedule 5 year'!W46</f>
        <v>2.6204799999999997</v>
      </c>
      <c r="X46" s="378">
        <f>'[17]Price Schedule 5 year'!X46</f>
        <v>0</v>
      </c>
      <c r="Y46" s="379">
        <f>SUM(V46:X46)</f>
        <v>11.965440000000001</v>
      </c>
    </row>
    <row r="47" spans="1:25" x14ac:dyDescent="0.25">
      <c r="A47" s="374"/>
      <c r="C47" s="357" t="str">
        <f>'[16]Small Bus'!B97</f>
        <v>Shoulder Actual Demand</v>
      </c>
      <c r="D47" s="357">
        <v>2</v>
      </c>
      <c r="E47" s="357" t="s">
        <v>706</v>
      </c>
      <c r="F47" s="745">
        <f>'DUoS (t)'!$R$39*Days_Year/12</f>
        <v>4.6567916666666669</v>
      </c>
      <c r="G47" s="746">
        <f>'TUoS (t)'!$R$39*Days_Year/12</f>
        <v>1.304875</v>
      </c>
      <c r="H47" s="746">
        <f>'JSO (t)'!$R$39*Days_Year</f>
        <v>0</v>
      </c>
      <c r="I47" s="747">
        <f>SUM(F47:H47)</f>
        <v>5.9616666666666669</v>
      </c>
      <c r="J47" s="510">
        <f>'[17]Price Schedule 5 year'!J47</f>
        <v>4.6573500000000001</v>
      </c>
      <c r="K47" s="378">
        <f>'[17]Price Schedule 5 year'!K47</f>
        <v>1.3053999999999999</v>
      </c>
      <c r="L47" s="378">
        <f>'[17]Price Schedule 5 year'!L47</f>
        <v>0</v>
      </c>
      <c r="M47" s="379">
        <f>SUM(J47:L47)</f>
        <v>5.9627499999999998</v>
      </c>
      <c r="N47" s="376">
        <f>'[17]Price Schedule 5 year'!N47</f>
        <v>4.6573500000000001</v>
      </c>
      <c r="O47" s="378">
        <f>'[17]Price Schedule 5 year'!O47</f>
        <v>1.3053999999999999</v>
      </c>
      <c r="P47" s="378">
        <f>'[17]Price Schedule 5 year'!P47</f>
        <v>0</v>
      </c>
      <c r="Q47" s="379">
        <f>SUM(N47:P47)</f>
        <v>5.9627499999999998</v>
      </c>
      <c r="R47" s="376">
        <f>'[17]Price Schedule 5 year'!R47</f>
        <v>4.6573500000000001</v>
      </c>
      <c r="S47" s="378">
        <f>'[17]Price Schedule 5 year'!S47</f>
        <v>1.3053999999999999</v>
      </c>
      <c r="T47" s="378">
        <f>'[17]Price Schedule 5 year'!T47</f>
        <v>0</v>
      </c>
      <c r="U47" s="379">
        <f>SUM(R47:T47)</f>
        <v>5.9627499999999998</v>
      </c>
      <c r="V47" s="377">
        <f>'[17]Price Schedule 5 year'!V47</f>
        <v>4.6573500000000001</v>
      </c>
      <c r="W47" s="378">
        <f>'[17]Price Schedule 5 year'!W47</f>
        <v>1.3053999999999999</v>
      </c>
      <c r="X47" s="378">
        <f>'[17]Price Schedule 5 year'!X47</f>
        <v>0</v>
      </c>
      <c r="Y47" s="379">
        <f>SUM(V47:X47)</f>
        <v>5.9627499999999998</v>
      </c>
    </row>
    <row r="48" spans="1:25" x14ac:dyDescent="0.25">
      <c r="A48" s="374"/>
      <c r="C48" s="357" t="str">
        <f>'[16]Small Bus'!B98</f>
        <v>Usage</v>
      </c>
      <c r="E48" s="357" t="s">
        <v>292</v>
      </c>
      <c r="F48" s="516">
        <f>'DUoS (t)'!$H$39</f>
        <v>5.1499999999999997E-2</v>
      </c>
      <c r="G48" s="525">
        <f>'TUoS (t)'!$H$39</f>
        <v>2.0299999999999999E-2</v>
      </c>
      <c r="H48" s="525">
        <f>'JSO (t)'!$H$39</f>
        <v>7.1000000000000004E-3</v>
      </c>
      <c r="I48" s="526">
        <f>SUM(F48:H48)</f>
        <v>7.8899999999999998E-2</v>
      </c>
      <c r="J48" s="511">
        <f>'[17]Price Schedule 5 year'!J48</f>
        <v>5.8699999999999995E-2</v>
      </c>
      <c r="K48" s="393">
        <f>'[17]Price Schedule 5 year'!K48</f>
        <v>2.3100000000000002E-2</v>
      </c>
      <c r="L48" s="393">
        <f>'[17]Price Schedule 5 year'!L48</f>
        <v>7.1000000000000004E-3</v>
      </c>
      <c r="M48" s="394">
        <f>SUM(J48:L48)</f>
        <v>8.8899999999999993E-2</v>
      </c>
      <c r="N48" s="391">
        <f>'[17]Price Schedule 5 year'!N48</f>
        <v>6.59E-2</v>
      </c>
      <c r="O48" s="393">
        <f>'[17]Price Schedule 5 year'!O48</f>
        <v>2.5900000000000003E-2</v>
      </c>
      <c r="P48" s="393">
        <f>'[17]Price Schedule 5 year'!P48</f>
        <v>7.1000000000000004E-3</v>
      </c>
      <c r="Q48" s="394">
        <f>SUM(N48:P48)</f>
        <v>9.8900000000000002E-2</v>
      </c>
      <c r="R48" s="391">
        <f>'[17]Price Schedule 5 year'!R48</f>
        <v>7.3099999999999998E-2</v>
      </c>
      <c r="S48" s="393">
        <f>'[17]Price Schedule 5 year'!S48</f>
        <v>2.8700000000000003E-2</v>
      </c>
      <c r="T48" s="393">
        <f>'[17]Price Schedule 5 year'!T48</f>
        <v>7.1000000000000004E-3</v>
      </c>
      <c r="U48" s="394">
        <f>SUM(R48:T48)</f>
        <v>0.1089</v>
      </c>
      <c r="V48" s="392">
        <f>'[17]Price Schedule 5 year'!V48</f>
        <v>8.0299999999999996E-2</v>
      </c>
      <c r="W48" s="393">
        <f>'[17]Price Schedule 5 year'!W48</f>
        <v>3.15E-2</v>
      </c>
      <c r="X48" s="393">
        <f>'[17]Price Schedule 5 year'!X48</f>
        <v>7.1000000000000004E-3</v>
      </c>
      <c r="Y48" s="394">
        <f>SUM(V48:X48)</f>
        <v>0.11889999999999999</v>
      </c>
    </row>
    <row r="49" spans="1:25" x14ac:dyDescent="0.25">
      <c r="A49" s="368"/>
      <c r="B49" s="369" t="s">
        <v>300</v>
      </c>
      <c r="C49" s="370"/>
      <c r="D49" s="370"/>
      <c r="E49" s="370" t="s">
        <v>301</v>
      </c>
      <c r="F49" s="518"/>
      <c r="G49" s="523"/>
      <c r="H49" s="523"/>
      <c r="I49" s="524"/>
      <c r="J49" s="388"/>
      <c r="K49" s="389"/>
      <c r="L49" s="389"/>
      <c r="M49" s="390"/>
      <c r="N49" s="387"/>
      <c r="O49" s="389"/>
      <c r="P49" s="389"/>
      <c r="Q49" s="390"/>
      <c r="R49" s="387"/>
      <c r="S49" s="389"/>
      <c r="T49" s="389"/>
      <c r="U49" s="390"/>
      <c r="V49" s="388"/>
      <c r="W49" s="389"/>
      <c r="X49" s="389"/>
      <c r="Y49" s="390"/>
    </row>
    <row r="50" spans="1:25" x14ac:dyDescent="0.25">
      <c r="A50" s="374"/>
      <c r="B50" s="836"/>
      <c r="C50" s="512" t="str">
        <f>C28</f>
        <v>Usage</v>
      </c>
      <c r="D50" s="512"/>
      <c r="E50" s="512" t="s">
        <v>292</v>
      </c>
      <c r="F50" s="516">
        <f>F20</f>
        <v>4.6199999999999998E-2</v>
      </c>
      <c r="G50" s="525">
        <f>G20</f>
        <v>1.7000000000000001E-2</v>
      </c>
      <c r="H50" s="525">
        <f>H20</f>
        <v>5.7999999999999996E-3</v>
      </c>
      <c r="I50" s="526">
        <f>SUM(F50:H50)</f>
        <v>6.9000000000000006E-2</v>
      </c>
      <c r="J50" s="511">
        <f>'[17]Price Schedule 5 year'!J50</f>
        <v>4.2933031454105208E-2</v>
      </c>
      <c r="K50" s="837">
        <f>'[17]Price Schedule 5 year'!K50</f>
        <v>1.7320856353455334E-2</v>
      </c>
      <c r="L50" s="837">
        <f>'[17]Price Schedule 5 year'!L50</f>
        <v>8.5724576095938584E-3</v>
      </c>
      <c r="M50" s="394">
        <f>SUM(J50:L50)</f>
        <v>6.8826345417154391E-2</v>
      </c>
      <c r="N50" s="391">
        <f>'[17]Price Schedule 5 year'!N50</f>
        <v>4.1952542335530481E-2</v>
      </c>
      <c r="O50" s="837">
        <f>'[17]Price Schedule 5 year'!O50</f>
        <v>1.7804154421750734E-2</v>
      </c>
      <c r="P50" s="837">
        <f>'[17]Price Schedule 5 year'!P50</f>
        <v>8.7788367173623014E-3</v>
      </c>
      <c r="Q50" s="394">
        <f>SUM(N50:P50)</f>
        <v>6.8535533474643515E-2</v>
      </c>
      <c r="R50" s="391">
        <f>'[17]Price Schedule 5 year'!R50</f>
        <v>4.0969349698367019E-2</v>
      </c>
      <c r="S50" s="837">
        <f>'[17]Price Schedule 5 year'!S50</f>
        <v>1.8301100961281829E-2</v>
      </c>
      <c r="T50" s="837">
        <f>'[17]Price Schedule 5 year'!T50</f>
        <v>8.9828590316230646E-3</v>
      </c>
      <c r="U50" s="394">
        <f>SUM(R50:T50)</f>
        <v>6.8253309691271913E-2</v>
      </c>
      <c r="V50" s="391">
        <f>'[17]Price Schedule 5 year'!V50</f>
        <v>3.9962419682561874E-2</v>
      </c>
      <c r="W50" s="837">
        <f>'[17]Price Schedule 5 year'!W50</f>
        <v>1.8811809163724137E-2</v>
      </c>
      <c r="X50" s="837">
        <f>'[17]Price Schedule 5 year'!X50</f>
        <v>9.1977005810229828E-3</v>
      </c>
      <c r="Y50" s="394">
        <f>SUM(V50:X50)</f>
        <v>6.7971929427308994E-2</v>
      </c>
    </row>
    <row r="51" spans="1:25" ht="15.75" x14ac:dyDescent="0.25">
      <c r="A51" s="405"/>
      <c r="B51" s="406" t="s">
        <v>295</v>
      </c>
      <c r="C51" s="369"/>
      <c r="D51" s="370"/>
      <c r="E51" s="370" t="s">
        <v>296</v>
      </c>
      <c r="F51" s="518"/>
      <c r="G51" s="523"/>
      <c r="H51" s="523"/>
      <c r="I51" s="524"/>
      <c r="J51" s="372"/>
      <c r="K51" s="370"/>
      <c r="L51" s="370"/>
      <c r="M51" s="373"/>
      <c r="N51" s="371"/>
      <c r="O51" s="370"/>
      <c r="P51" s="370"/>
      <c r="Q51" s="373"/>
      <c r="R51" s="371"/>
      <c r="S51" s="370"/>
      <c r="T51" s="370"/>
      <c r="U51" s="373"/>
      <c r="V51" s="372"/>
      <c r="W51" s="370"/>
      <c r="X51" s="370"/>
      <c r="Y51" s="373"/>
    </row>
    <row r="52" spans="1:25" ht="16.5" thickBot="1" x14ac:dyDescent="0.3">
      <c r="A52" s="838"/>
      <c r="B52" s="839"/>
      <c r="C52" s="400" t="s">
        <v>297</v>
      </c>
      <c r="D52" s="400"/>
      <c r="E52" s="400" t="s">
        <v>292</v>
      </c>
      <c r="F52" s="520">
        <f>'DUoS (t)'!$H$28</f>
        <v>6.8000000000000005E-2</v>
      </c>
      <c r="G52" s="529">
        <f>'TUoS (t)'!$H$28</f>
        <v>2.52E-2</v>
      </c>
      <c r="H52" s="529">
        <f>'JSO (t)'!$H$28</f>
        <v>5.1999999999999998E-3</v>
      </c>
      <c r="I52" s="530">
        <f>SUM(F52:H52)</f>
        <v>9.8400000000000001E-2</v>
      </c>
      <c r="J52" s="402">
        <f>'[17]Price Schedule 5 year'!J52</f>
        <v>6.3593329952303976E-2</v>
      </c>
      <c r="K52" s="403">
        <f>'[17]Price Schedule 5 year'!K52</f>
        <v>2.5971228009368262E-2</v>
      </c>
      <c r="L52" s="403">
        <f>'[17]Price Schedule 5 year'!L52</f>
        <v>5.6063872766743839E-3</v>
      </c>
      <c r="M52" s="404">
        <f>SUM(J52:L52)</f>
        <v>9.5170945238346613E-2</v>
      </c>
      <c r="N52" s="401">
        <f>'[17]Price Schedule 5 year'!N52</f>
        <v>6.477860033505993E-2</v>
      </c>
      <c r="O52" s="403">
        <f>'[17]Price Schedule 5 year'!O52</f>
        <v>2.7282856816892215E-2</v>
      </c>
      <c r="P52" s="403">
        <f>'[17]Price Schedule 5 year'!P52</f>
        <v>5.7413592131549456E-3</v>
      </c>
      <c r="Q52" s="404">
        <f>SUM(N52:P52)</f>
        <v>9.7802816365107084E-2</v>
      </c>
      <c r="R52" s="401">
        <f>'[17]Price Schedule 5 year'!R52</f>
        <v>6.6069497489788478E-2</v>
      </c>
      <c r="S52" s="403">
        <f>'[17]Price Schedule 5 year'!S52</f>
        <v>2.8642923692910389E-2</v>
      </c>
      <c r="T52" s="403">
        <f>'[17]Price Schedule 5 year'!T52</f>
        <v>5.8747898066814847E-3</v>
      </c>
      <c r="U52" s="404">
        <f>SUM(R52:T52)</f>
        <v>0.10058721098938037</v>
      </c>
      <c r="V52" s="402">
        <f>'[17]Price Schedule 5 year'!V52</f>
        <v>6.6893692707450672E-2</v>
      </c>
      <c r="W52" s="403">
        <f>'[17]Price Schedule 5 year'!W52</f>
        <v>3.0064577892829798E-2</v>
      </c>
      <c r="X52" s="403">
        <f>'[17]Price Schedule 5 year'!X52</f>
        <v>6.0152961799890313E-3</v>
      </c>
      <c r="Y52" s="404">
        <f>SUM(V52:X52)</f>
        <v>0.1029735667802695</v>
      </c>
    </row>
    <row r="53" spans="1:25" x14ac:dyDescent="0.25">
      <c r="A53" s="357" t="s">
        <v>302</v>
      </c>
      <c r="G53" s="512"/>
      <c r="H53" s="512"/>
      <c r="I53" s="512"/>
    </row>
    <row r="54" spans="1:25" x14ac:dyDescent="0.25">
      <c r="B54" s="357">
        <v>1</v>
      </c>
      <c r="C54" s="357" t="s">
        <v>303</v>
      </c>
      <c r="G54" s="512"/>
      <c r="H54" s="512"/>
      <c r="I54" s="512"/>
    </row>
    <row r="55" spans="1:25" x14ac:dyDescent="0.25">
      <c r="B55" s="357">
        <v>2</v>
      </c>
      <c r="C55" s="357" t="s">
        <v>304</v>
      </c>
      <c r="G55" s="512"/>
      <c r="H55" s="512"/>
      <c r="I55" s="512"/>
    </row>
    <row r="56" spans="1:25" x14ac:dyDescent="0.25">
      <c r="B56" s="357">
        <v>3</v>
      </c>
      <c r="C56" s="357" t="s">
        <v>305</v>
      </c>
      <c r="G56" s="512"/>
      <c r="H56" s="512"/>
      <c r="I56" s="512"/>
    </row>
    <row r="57" spans="1:25" x14ac:dyDescent="0.25">
      <c r="B57" s="357">
        <v>4</v>
      </c>
      <c r="C57" s="357" t="s">
        <v>306</v>
      </c>
      <c r="G57" s="512"/>
      <c r="H57" s="512"/>
      <c r="I57" s="512"/>
    </row>
    <row r="58" spans="1:25" x14ac:dyDescent="0.25">
      <c r="B58" s="357">
        <v>5</v>
      </c>
      <c r="C58" s="357" t="s">
        <v>307</v>
      </c>
      <c r="G58" s="512"/>
      <c r="H58" s="512"/>
      <c r="I58" s="512"/>
    </row>
    <row r="59" spans="1:25" ht="15.75" thickBot="1" x14ac:dyDescent="0.3">
      <c r="F59" s="400"/>
      <c r="G59" s="400"/>
      <c r="H59" s="400"/>
      <c r="I59" s="400"/>
    </row>
    <row r="60" spans="1:25" ht="15.75" x14ac:dyDescent="0.25">
      <c r="B60" s="358" t="s">
        <v>308</v>
      </c>
      <c r="F60" s="885" t="s">
        <v>320</v>
      </c>
      <c r="G60" s="886"/>
      <c r="H60" s="886"/>
      <c r="I60" s="887"/>
      <c r="J60" s="886" t="s">
        <v>321</v>
      </c>
      <c r="K60" s="886"/>
      <c r="L60" s="886"/>
      <c r="M60" s="887"/>
      <c r="N60" s="885" t="s">
        <v>322</v>
      </c>
      <c r="O60" s="886"/>
      <c r="P60" s="886"/>
      <c r="Q60" s="887"/>
      <c r="R60" s="885" t="s">
        <v>323</v>
      </c>
      <c r="S60" s="886"/>
      <c r="T60" s="886"/>
      <c r="U60" s="887"/>
      <c r="V60" s="885" t="s">
        <v>324</v>
      </c>
      <c r="W60" s="886"/>
      <c r="X60" s="886"/>
      <c r="Y60" s="887"/>
    </row>
    <row r="61" spans="1:25" ht="16.5" thickBot="1" x14ac:dyDescent="0.3">
      <c r="B61" s="358" t="s">
        <v>285</v>
      </c>
      <c r="F61" s="360" t="s">
        <v>286</v>
      </c>
      <c r="G61" s="362" t="s">
        <v>287</v>
      </c>
      <c r="H61" s="362" t="s">
        <v>288</v>
      </c>
      <c r="I61" s="363" t="s">
        <v>289</v>
      </c>
      <c r="J61" s="361" t="s">
        <v>286</v>
      </c>
      <c r="K61" s="362" t="s">
        <v>287</v>
      </c>
      <c r="L61" s="362" t="s">
        <v>288</v>
      </c>
      <c r="M61" s="363" t="s">
        <v>289</v>
      </c>
      <c r="N61" s="360" t="s">
        <v>286</v>
      </c>
      <c r="O61" s="362" t="s">
        <v>287</v>
      </c>
      <c r="P61" s="362" t="s">
        <v>288</v>
      </c>
      <c r="Q61" s="363" t="s">
        <v>289</v>
      </c>
      <c r="R61" s="360" t="s">
        <v>286</v>
      </c>
      <c r="S61" s="362" t="s">
        <v>287</v>
      </c>
      <c r="T61" s="362" t="s">
        <v>288</v>
      </c>
      <c r="U61" s="363" t="s">
        <v>289</v>
      </c>
      <c r="V61" s="361" t="s">
        <v>286</v>
      </c>
      <c r="W61" s="362" t="s">
        <v>287</v>
      </c>
      <c r="X61" s="362" t="s">
        <v>288</v>
      </c>
      <c r="Y61" s="363" t="s">
        <v>289</v>
      </c>
    </row>
    <row r="62" spans="1:25" ht="15.75" x14ac:dyDescent="0.25">
      <c r="A62" s="359" t="str">
        <f>'[16]Large LV Bus'!A2</f>
        <v>Large LV Business Customers</v>
      </c>
      <c r="B62" s="364"/>
      <c r="C62" s="364"/>
      <c r="D62" s="364"/>
      <c r="E62" s="364"/>
      <c r="F62" s="517"/>
      <c r="G62" s="521"/>
      <c r="H62" s="521"/>
      <c r="I62" s="522"/>
      <c r="J62" s="366"/>
      <c r="K62" s="364"/>
      <c r="L62" s="364"/>
      <c r="M62" s="367"/>
      <c r="N62" s="365"/>
      <c r="O62" s="364"/>
      <c r="P62" s="364"/>
      <c r="Q62" s="367"/>
      <c r="R62" s="365"/>
      <c r="S62" s="364"/>
      <c r="T62" s="364"/>
      <c r="U62" s="367"/>
      <c r="V62" s="366"/>
      <c r="W62" s="364"/>
      <c r="X62" s="364"/>
      <c r="Y62" s="367"/>
    </row>
    <row r="63" spans="1:25" x14ac:dyDescent="0.25">
      <c r="A63" s="368"/>
      <c r="B63" s="369" t="s">
        <v>311</v>
      </c>
      <c r="C63" s="370"/>
      <c r="D63" s="370"/>
      <c r="E63" s="370" t="s">
        <v>312</v>
      </c>
      <c r="F63" s="518"/>
      <c r="G63" s="523"/>
      <c r="H63" s="523"/>
      <c r="I63" s="524"/>
      <c r="J63" s="372"/>
      <c r="K63" s="370"/>
      <c r="L63" s="370"/>
      <c r="M63" s="373"/>
      <c r="N63" s="371"/>
      <c r="O63" s="370"/>
      <c r="P63" s="370"/>
      <c r="Q63" s="373"/>
      <c r="R63" s="371"/>
      <c r="S63" s="370"/>
      <c r="T63" s="370"/>
      <c r="U63" s="373"/>
      <c r="V63" s="372"/>
      <c r="W63" s="370"/>
      <c r="X63" s="370"/>
      <c r="Y63" s="373"/>
    </row>
    <row r="64" spans="1:25" x14ac:dyDescent="0.25">
      <c r="A64" s="374"/>
      <c r="C64" s="357" t="str">
        <f>'[16]Large LV Bus'!B92</f>
        <v>Customers/Supply Ch</v>
      </c>
      <c r="E64" s="357" t="s">
        <v>291</v>
      </c>
      <c r="F64" s="748">
        <f>'DUoS (t)'!$G$47*Days_Year</f>
        <v>2499.9945000000002</v>
      </c>
      <c r="G64" s="749">
        <f>'TUoS (t)'!$G$47*Days_Year</f>
        <v>0</v>
      </c>
      <c r="H64" s="749">
        <f>'JSO (t)'!$G$47*Days_Year</f>
        <v>0</v>
      </c>
      <c r="I64" s="750">
        <f>SUM(F64:H64)</f>
        <v>2499.9945000000002</v>
      </c>
      <c r="J64" s="513">
        <f>'[17]Price Schedule 5 year'!J64</f>
        <v>2328.9714420139926</v>
      </c>
      <c r="K64" s="414">
        <f>'[17]Price Schedule 5 year'!K64</f>
        <v>0</v>
      </c>
      <c r="L64" s="414">
        <f>'[17]Price Schedule 5 year'!L64</f>
        <v>0</v>
      </c>
      <c r="M64" s="415">
        <f>SUM(J64:L64)</f>
        <v>2328.9714420139926</v>
      </c>
      <c r="N64" s="412">
        <f>'[17]Price Schedule 5 year'!N64</f>
        <v>2384.9634734328779</v>
      </c>
      <c r="O64" s="414">
        <f>'[17]Price Schedule 5 year'!O64</f>
        <v>0</v>
      </c>
      <c r="P64" s="414">
        <f>'[17]Price Schedule 5 year'!P64</f>
        <v>0</v>
      </c>
      <c r="Q64" s="415">
        <f>SUM(N64:P64)</f>
        <v>2384.9634734328779</v>
      </c>
      <c r="R64" s="412">
        <f>'[17]Price Schedule 5 year'!R64</f>
        <v>2443.9913194003416</v>
      </c>
      <c r="S64" s="414">
        <f>'[17]Price Schedule 5 year'!S64</f>
        <v>0</v>
      </c>
      <c r="T64" s="414">
        <f>'[17]Price Schedule 5 year'!T64</f>
        <v>0</v>
      </c>
      <c r="U64" s="415">
        <f>SUM(R64:T64)</f>
        <v>2443.9913194003416</v>
      </c>
      <c r="V64" s="413">
        <f>'[17]Price Schedule 5 year'!V64</f>
        <v>2500.5986779072014</v>
      </c>
      <c r="W64" s="414">
        <f>'[17]Price Schedule 5 year'!W64</f>
        <v>0</v>
      </c>
      <c r="X64" s="414">
        <f>'[17]Price Schedule 5 year'!X64</f>
        <v>0</v>
      </c>
      <c r="Y64" s="415">
        <f>SUM(V64:X64)</f>
        <v>2500.5986779072014</v>
      </c>
    </row>
    <row r="65" spans="1:25" x14ac:dyDescent="0.25">
      <c r="A65" s="374"/>
      <c r="C65" s="357" t="str">
        <f>'[16]Large LV Bus'!B93</f>
        <v>Peak Annual Max Demand</v>
      </c>
      <c r="D65" s="357">
        <v>3</v>
      </c>
      <c r="E65" s="357" t="s">
        <v>707</v>
      </c>
      <c r="F65" s="745">
        <f>'DUoS (t)'!$S$47*Days_Year</f>
        <v>52.924999999999997</v>
      </c>
      <c r="G65" s="746">
        <f>'TUoS (t)'!$S$47*Days_Year</f>
        <v>39.529499999999999</v>
      </c>
      <c r="H65" s="746">
        <f>'JSO (t)'!$S$47*Days_Year</f>
        <v>0</v>
      </c>
      <c r="I65" s="747">
        <f>SUM(F65:H65)</f>
        <v>92.454499999999996</v>
      </c>
      <c r="J65" s="510">
        <f>'[17]Price Schedule 5 year'!J65</f>
        <v>49.3</v>
      </c>
      <c r="K65" s="378">
        <f>'[17]Price Schedule 5 year'!K65</f>
        <v>40.700000000000003</v>
      </c>
      <c r="L65" s="378">
        <f>'[17]Price Schedule 5 year'!L65</f>
        <v>0</v>
      </c>
      <c r="M65" s="379">
        <f>SUM(J65:L65)</f>
        <v>90</v>
      </c>
      <c r="N65" s="376">
        <f>'[17]Price Schedule 5 year'!N65</f>
        <v>50.5</v>
      </c>
      <c r="O65" s="378">
        <f>'[17]Price Schedule 5 year'!O65</f>
        <v>42.5</v>
      </c>
      <c r="P65" s="378">
        <f>'[17]Price Schedule 5 year'!P65</f>
        <v>0</v>
      </c>
      <c r="Q65" s="379">
        <f>SUM(N65:P65)</f>
        <v>93</v>
      </c>
      <c r="R65" s="376">
        <f>'[17]Price Schedule 5 year'!R65</f>
        <v>51.7</v>
      </c>
      <c r="S65" s="378">
        <f>'[17]Price Schedule 5 year'!S65</f>
        <v>44.5</v>
      </c>
      <c r="T65" s="378">
        <f>'[17]Price Schedule 5 year'!T65</f>
        <v>0</v>
      </c>
      <c r="U65" s="379">
        <f>SUM(R65:T65)</f>
        <v>96.2</v>
      </c>
      <c r="V65" s="377">
        <f>'[17]Price Schedule 5 year'!V65</f>
        <v>52.9</v>
      </c>
      <c r="W65" s="378">
        <f>'[17]Price Schedule 5 year'!W65</f>
        <v>46.5</v>
      </c>
      <c r="X65" s="378">
        <f>'[17]Price Schedule 5 year'!X65</f>
        <v>0</v>
      </c>
      <c r="Y65" s="379">
        <f>SUM(V65:X65)</f>
        <v>99.4</v>
      </c>
    </row>
    <row r="66" spans="1:25" x14ac:dyDescent="0.25">
      <c r="A66" s="374"/>
      <c r="C66" s="357" t="str">
        <f>'[16]Large LV Bus'!B94</f>
        <v>Anytime Actual Demand</v>
      </c>
      <c r="D66" s="357">
        <v>3</v>
      </c>
      <c r="E66" s="357" t="s">
        <v>707</v>
      </c>
      <c r="F66" s="745">
        <f>'DUoS (t)'!$T$47*Days_Year</f>
        <v>37.814</v>
      </c>
      <c r="G66" s="746">
        <f>'TUoS (t)'!$T$47*Days_Year</f>
        <v>0</v>
      </c>
      <c r="H66" s="746">
        <f>'JSO (t)'!$T$47*Days_Year</f>
        <v>0</v>
      </c>
      <c r="I66" s="747">
        <f>SUM(F66:H66)</f>
        <v>37.814</v>
      </c>
      <c r="J66" s="510">
        <f>'[17]Price Schedule 5 year'!J66</f>
        <v>35.200000000000003</v>
      </c>
      <c r="K66" s="378">
        <f>'[17]Price Schedule 5 year'!K66</f>
        <v>0</v>
      </c>
      <c r="L66" s="378">
        <f>'[17]Price Schedule 5 year'!L66</f>
        <v>0</v>
      </c>
      <c r="M66" s="379">
        <f>SUM(J66:L66)</f>
        <v>35.200000000000003</v>
      </c>
      <c r="N66" s="376">
        <f>'[17]Price Schedule 5 year'!N66</f>
        <v>36</v>
      </c>
      <c r="O66" s="378">
        <f>'[17]Price Schedule 5 year'!O66</f>
        <v>0</v>
      </c>
      <c r="P66" s="378">
        <f>'[17]Price Schedule 5 year'!P66</f>
        <v>0</v>
      </c>
      <c r="Q66" s="379">
        <f>SUM(N66:P66)</f>
        <v>36</v>
      </c>
      <c r="R66" s="376">
        <f>'[17]Price Schedule 5 year'!R66</f>
        <v>36.9</v>
      </c>
      <c r="S66" s="378">
        <f>'[17]Price Schedule 5 year'!S66</f>
        <v>0</v>
      </c>
      <c r="T66" s="378">
        <f>'[17]Price Schedule 5 year'!T66</f>
        <v>0</v>
      </c>
      <c r="U66" s="379">
        <f>SUM(R66:T66)</f>
        <v>36.9</v>
      </c>
      <c r="V66" s="377">
        <f>'[17]Price Schedule 5 year'!V66</f>
        <v>37.799999999999997</v>
      </c>
      <c r="W66" s="378">
        <f>'[17]Price Schedule 5 year'!W66</f>
        <v>0</v>
      </c>
      <c r="X66" s="378">
        <f>'[17]Price Schedule 5 year'!X66</f>
        <v>0</v>
      </c>
      <c r="Y66" s="379">
        <f>SUM(V66:X66)</f>
        <v>37.799999999999997</v>
      </c>
    </row>
    <row r="67" spans="1:25" x14ac:dyDescent="0.25">
      <c r="A67" s="374"/>
      <c r="C67" s="357" t="str">
        <f>'[16]Large LV Bus'!B95</f>
        <v>Peak Usage</v>
      </c>
      <c r="E67" s="357" t="s">
        <v>292</v>
      </c>
      <c r="F67" s="516">
        <f>'DUoS (t)'!$I$47</f>
        <v>4.2099999999999999E-2</v>
      </c>
      <c r="G67" s="525">
        <f>'TUoS (t)'!$I$47</f>
        <v>1.7600000000000001E-2</v>
      </c>
      <c r="H67" s="525">
        <f>'JSO (t)'!$I$47</f>
        <v>6.4999999999999997E-3</v>
      </c>
      <c r="I67" s="526">
        <f>SUM(F67:H67)</f>
        <v>6.6200000000000009E-2</v>
      </c>
      <c r="J67" s="511">
        <f>'[17]Price Schedule 5 year'!J67</f>
        <v>3.9201247311979527E-2</v>
      </c>
      <c r="K67" s="393">
        <f>'[17]Price Schedule 5 year'!K67</f>
        <v>1.8118444392542111E-2</v>
      </c>
      <c r="L67" s="393">
        <f>'[17]Price Schedule 5 year'!L67</f>
        <v>6.5773967516152667E-3</v>
      </c>
      <c r="M67" s="394">
        <f>SUM(J67:L67)</f>
        <v>6.3897088456136911E-2</v>
      </c>
      <c r="N67" s="391">
        <f>'[17]Price Schedule 5 year'!N67</f>
        <v>4.0143705184822208E-2</v>
      </c>
      <c r="O67" s="393">
        <f>'[17]Price Schedule 5 year'!O67</f>
        <v>1.8939209923524266E-2</v>
      </c>
      <c r="P67" s="393">
        <f>'[17]Price Schedule 5 year'!P67</f>
        <v>6.7112414077694915E-3</v>
      </c>
      <c r="Q67" s="394">
        <f>SUM(N67:P67)</f>
        <v>6.5794156516115962E-2</v>
      </c>
      <c r="R67" s="391">
        <f>'[17]Price Schedule 5 year'!R67</f>
        <v>4.1137261888146558E-2</v>
      </c>
      <c r="S67" s="393">
        <f>'[17]Price Schedule 5 year'!S67</f>
        <v>1.9819518519055425E-2</v>
      </c>
      <c r="T67" s="393">
        <f>'[17]Price Schedule 5 year'!T67</f>
        <v>6.8502060418470789E-3</v>
      </c>
      <c r="U67" s="394">
        <f>SUM(R67:T67)</f>
        <v>6.7806986449049061E-2</v>
      </c>
      <c r="V67" s="392">
        <f>'[17]Price Schedule 5 year'!V67</f>
        <v>4.2090076946534022E-2</v>
      </c>
      <c r="W67" s="393">
        <f>'[17]Price Schedule 5 year'!W67</f>
        <v>2.0731216370931976E-2</v>
      </c>
      <c r="X67" s="393">
        <f>'[17]Price Schedule 5 year'!X67</f>
        <v>6.9958126714100878E-3</v>
      </c>
      <c r="Y67" s="394">
        <f>SUM(V67:X67)</f>
        <v>6.9817105988876083E-2</v>
      </c>
    </row>
    <row r="68" spans="1:25" x14ac:dyDescent="0.25">
      <c r="A68" s="380"/>
      <c r="B68" s="382"/>
      <c r="C68" s="382" t="str">
        <f>'[16]Large LV Bus'!B96</f>
        <v>Off-Peak Usage</v>
      </c>
      <c r="D68" s="382"/>
      <c r="E68" s="382" t="s">
        <v>292</v>
      </c>
      <c r="F68" s="519">
        <f>'DUoS (t)'!$K$47</f>
        <v>2.63E-2</v>
      </c>
      <c r="G68" s="527">
        <f>'TUoS (t)'!$K$47</f>
        <v>1.0999999999999999E-2</v>
      </c>
      <c r="H68" s="527">
        <f>'JSO (t)'!$K$47</f>
        <v>4.1000000000000003E-3</v>
      </c>
      <c r="I68" s="528">
        <f>SUM(F68:H68)</f>
        <v>4.1399999999999999E-2</v>
      </c>
      <c r="J68" s="384">
        <f>'[17]Price Schedule 5 year'!J68</f>
        <v>2.4500779569987204E-2</v>
      </c>
      <c r="K68" s="385">
        <f>'[17]Price Schedule 5 year'!K68</f>
        <v>1.1324027745338821E-2</v>
      </c>
      <c r="L68" s="385">
        <f>'[17]Price Schedule 5 year'!L68</f>
        <v>4.1108729697595416E-3</v>
      </c>
      <c r="M68" s="386">
        <f>SUM(J68:L68)</f>
        <v>3.9935680285085567E-2</v>
      </c>
      <c r="N68" s="383">
        <f>'[17]Price Schedule 5 year'!N68</f>
        <v>2.5089815740513877E-2</v>
      </c>
      <c r="O68" s="385">
        <f>'[17]Price Schedule 5 year'!O68</f>
        <v>1.1837006202202668E-2</v>
      </c>
      <c r="P68" s="385">
        <f>'[17]Price Schedule 5 year'!P68</f>
        <v>4.1945258798559322E-3</v>
      </c>
      <c r="Q68" s="386">
        <f>SUM(N68:P68)</f>
        <v>4.1121347822572471E-2</v>
      </c>
      <c r="R68" s="383">
        <f>'[17]Price Schedule 5 year'!R68</f>
        <v>2.5710788680091596E-2</v>
      </c>
      <c r="S68" s="385">
        <f>'[17]Price Schedule 5 year'!S68</f>
        <v>1.2387199074409643E-2</v>
      </c>
      <c r="T68" s="385">
        <f>'[17]Price Schedule 5 year'!T68</f>
        <v>4.2813787761544243E-3</v>
      </c>
      <c r="U68" s="386">
        <f>SUM(R68:T68)</f>
        <v>4.237936653065566E-2</v>
      </c>
      <c r="V68" s="384">
        <f>'[17]Price Schedule 5 year'!V68</f>
        <v>2.6306298091583764E-2</v>
      </c>
      <c r="W68" s="385">
        <f>'[17]Price Schedule 5 year'!W68</f>
        <v>1.2957010231832487E-2</v>
      </c>
      <c r="X68" s="385">
        <f>'[17]Price Schedule 5 year'!X68</f>
        <v>4.3723829196313044E-3</v>
      </c>
      <c r="Y68" s="386">
        <f>SUM(V68:X68)</f>
        <v>4.3635691243047552E-2</v>
      </c>
    </row>
    <row r="69" spans="1:25" x14ac:dyDescent="0.25">
      <c r="A69" s="368"/>
      <c r="B69" s="369" t="s">
        <v>309</v>
      </c>
      <c r="C69" s="370"/>
      <c r="D69" s="370"/>
      <c r="E69" s="370" t="s">
        <v>310</v>
      </c>
      <c r="F69" s="518"/>
      <c r="G69" s="523"/>
      <c r="H69" s="523"/>
      <c r="I69" s="524"/>
      <c r="J69" s="372"/>
      <c r="K69" s="370"/>
      <c r="L69" s="370"/>
      <c r="M69" s="373"/>
      <c r="N69" s="371"/>
      <c r="O69" s="370"/>
      <c r="P69" s="370"/>
      <c r="Q69" s="373"/>
      <c r="R69" s="371"/>
      <c r="S69" s="370"/>
      <c r="T69" s="370"/>
      <c r="U69" s="373"/>
      <c r="V69" s="372"/>
      <c r="W69" s="370"/>
      <c r="X69" s="370"/>
      <c r="Y69" s="373"/>
    </row>
    <row r="70" spans="1:25" x14ac:dyDescent="0.25">
      <c r="A70" s="374"/>
      <c r="C70" s="357" t="str">
        <f>'[16]Large LV Bus'!B84</f>
        <v>Customers/Supply Ch</v>
      </c>
      <c r="E70" s="357" t="s">
        <v>291</v>
      </c>
      <c r="F70" s="748">
        <f>'DUoS (t)'!$G$48*Days_Year</f>
        <v>2499.9945000000002</v>
      </c>
      <c r="G70" s="749">
        <f>'TUoS (t)'!$G$48*Days_Year</f>
        <v>0</v>
      </c>
      <c r="H70" s="749">
        <f>'JSO (t)'!$G$48*Days_Year</f>
        <v>0</v>
      </c>
      <c r="I70" s="750">
        <f>SUM(F70:H70)</f>
        <v>2499.9945000000002</v>
      </c>
      <c r="J70" s="513">
        <f>'[17]Price Schedule 5 year'!J70</f>
        <v>2328.9714420139926</v>
      </c>
      <c r="K70" s="414">
        <f>'[17]Price Schedule 5 year'!K70</f>
        <v>0</v>
      </c>
      <c r="L70" s="414">
        <f>'[17]Price Schedule 5 year'!L70</f>
        <v>0</v>
      </c>
      <c r="M70" s="415">
        <f>SUM(J70:L70)</f>
        <v>2328.9714420139926</v>
      </c>
      <c r="N70" s="412">
        <f>'[17]Price Schedule 5 year'!N70</f>
        <v>2384.9634734328779</v>
      </c>
      <c r="O70" s="414">
        <f>'[17]Price Schedule 5 year'!O70</f>
        <v>0</v>
      </c>
      <c r="P70" s="414">
        <f>'[17]Price Schedule 5 year'!P70</f>
        <v>0</v>
      </c>
      <c r="Q70" s="415">
        <f>SUM(N70:P70)</f>
        <v>2384.9634734328779</v>
      </c>
      <c r="R70" s="412">
        <f>'[17]Price Schedule 5 year'!R70</f>
        <v>2443.9913194003416</v>
      </c>
      <c r="S70" s="414">
        <f>'[17]Price Schedule 5 year'!S70</f>
        <v>0</v>
      </c>
      <c r="T70" s="414">
        <f>'[17]Price Schedule 5 year'!T70</f>
        <v>0</v>
      </c>
      <c r="U70" s="415">
        <f>SUM(R70:T70)</f>
        <v>2443.9913194003416</v>
      </c>
      <c r="V70" s="413">
        <f>'[17]Price Schedule 5 year'!V70</f>
        <v>2500.5986779072014</v>
      </c>
      <c r="W70" s="414">
        <f>'[17]Price Schedule 5 year'!W70</f>
        <v>0</v>
      </c>
      <c r="X70" s="414">
        <f>'[17]Price Schedule 5 year'!X70</f>
        <v>0</v>
      </c>
      <c r="Y70" s="415">
        <f>SUM(V70:X70)</f>
        <v>2500.5986779072014</v>
      </c>
    </row>
    <row r="71" spans="1:25" x14ac:dyDescent="0.25">
      <c r="A71" s="374"/>
      <c r="C71" s="357" t="str">
        <f>'[16]Large LV Bus'!B85</f>
        <v>Peak Actual Monthly Demand</v>
      </c>
      <c r="D71" s="357">
        <v>1</v>
      </c>
      <c r="E71" s="357" t="s">
        <v>706</v>
      </c>
      <c r="F71" s="745">
        <f>'DUoS (t)'!$P$48*Days_Summer_Demand/5</f>
        <v>15.876139999999998</v>
      </c>
      <c r="G71" s="746">
        <f>'TUoS (t)'!$P$48*Days_Summer_Demand/5</f>
        <v>11.85652</v>
      </c>
      <c r="H71" s="746">
        <f>'JSO (t)'!$P$48*Days_Summer_Demand/5</f>
        <v>0</v>
      </c>
      <c r="I71" s="747">
        <f>SUM(F71:H71)</f>
        <v>27.732659999999996</v>
      </c>
      <c r="J71" s="510">
        <f>'[17]Price Schedule 5 year'!J71</f>
        <v>14.789999999999997</v>
      </c>
      <c r="K71" s="378">
        <f>'[17]Price Schedule 5 year'!K71</f>
        <v>12.21</v>
      </c>
      <c r="L71" s="378">
        <f>'[17]Price Schedule 5 year'!L71</f>
        <v>0</v>
      </c>
      <c r="M71" s="379">
        <f>SUM(J71:L71)</f>
        <v>27</v>
      </c>
      <c r="N71" s="376">
        <f>'[17]Price Schedule 5 year'!N71</f>
        <v>15.15</v>
      </c>
      <c r="O71" s="378">
        <f>'[17]Price Schedule 5 year'!O71</f>
        <v>12.75</v>
      </c>
      <c r="P71" s="378">
        <f>'[17]Price Schedule 5 year'!P71</f>
        <v>0</v>
      </c>
      <c r="Q71" s="379">
        <f>SUM(N71:P71)</f>
        <v>27.9</v>
      </c>
      <c r="R71" s="376">
        <f>'[17]Price Schedule 5 year'!R71</f>
        <v>15.510000000000002</v>
      </c>
      <c r="S71" s="378">
        <f>'[17]Price Schedule 5 year'!S71</f>
        <v>13.35</v>
      </c>
      <c r="T71" s="378">
        <f>'[17]Price Schedule 5 year'!T71</f>
        <v>0</v>
      </c>
      <c r="U71" s="379">
        <f>SUM(R71:T71)</f>
        <v>28.86</v>
      </c>
      <c r="V71" s="377">
        <f>'[17]Price Schedule 5 year'!V71</f>
        <v>15.87</v>
      </c>
      <c r="W71" s="378">
        <f>'[17]Price Schedule 5 year'!W71</f>
        <v>13.95</v>
      </c>
      <c r="X71" s="378">
        <f>'[17]Price Schedule 5 year'!X71</f>
        <v>0</v>
      </c>
      <c r="Y71" s="379">
        <f>SUM(V71:X71)</f>
        <v>29.82</v>
      </c>
    </row>
    <row r="72" spans="1:25" x14ac:dyDescent="0.25">
      <c r="A72" s="374"/>
      <c r="C72" s="357" t="str">
        <f>'[16]Large LV Bus'!B86</f>
        <v>Anytime Actual Demand</v>
      </c>
      <c r="D72" s="357">
        <v>3</v>
      </c>
      <c r="E72" s="357" t="s">
        <v>298</v>
      </c>
      <c r="F72" s="745">
        <f>'DUoS (t)'!$T$48*Days_Year</f>
        <v>37.814</v>
      </c>
      <c r="G72" s="746">
        <f>'TUoS (t)'!$T$48*Days_Year</f>
        <v>0</v>
      </c>
      <c r="H72" s="746">
        <f>'JSO (t)'!$T$48*Days_Year</f>
        <v>0</v>
      </c>
      <c r="I72" s="747">
        <f>SUM(F72:H72)</f>
        <v>37.814</v>
      </c>
      <c r="J72" s="510">
        <f>'[17]Price Schedule 5 year'!J72</f>
        <v>35.200000000000003</v>
      </c>
      <c r="K72" s="378">
        <f>'[17]Price Schedule 5 year'!K72</f>
        <v>0</v>
      </c>
      <c r="L72" s="378">
        <f>'[17]Price Schedule 5 year'!L72</f>
        <v>0</v>
      </c>
      <c r="M72" s="379">
        <f>SUM(J72:L72)</f>
        <v>35.200000000000003</v>
      </c>
      <c r="N72" s="376">
        <f>'[17]Price Schedule 5 year'!N72</f>
        <v>36</v>
      </c>
      <c r="O72" s="378">
        <f>'[17]Price Schedule 5 year'!O72</f>
        <v>0</v>
      </c>
      <c r="P72" s="378">
        <f>'[17]Price Schedule 5 year'!P72</f>
        <v>0</v>
      </c>
      <c r="Q72" s="379">
        <f>SUM(N72:P72)</f>
        <v>36</v>
      </c>
      <c r="R72" s="376">
        <f>'[17]Price Schedule 5 year'!R72</f>
        <v>36.9</v>
      </c>
      <c r="S72" s="378">
        <f>'[17]Price Schedule 5 year'!S72</f>
        <v>0</v>
      </c>
      <c r="T72" s="378">
        <f>'[17]Price Schedule 5 year'!T72</f>
        <v>0</v>
      </c>
      <c r="U72" s="379">
        <f>SUM(R72:T72)</f>
        <v>36.9</v>
      </c>
      <c r="V72" s="377">
        <f>'[17]Price Schedule 5 year'!V72</f>
        <v>37.799999999999997</v>
      </c>
      <c r="W72" s="378">
        <f>'[17]Price Schedule 5 year'!W72</f>
        <v>0</v>
      </c>
      <c r="X72" s="378">
        <f>'[17]Price Schedule 5 year'!X72</f>
        <v>0</v>
      </c>
      <c r="Y72" s="379">
        <f>SUM(V72:X72)</f>
        <v>37.799999999999997</v>
      </c>
    </row>
    <row r="73" spans="1:25" x14ac:dyDescent="0.25">
      <c r="A73" s="374"/>
      <c r="C73" s="357" t="str">
        <f>'[16]Large LV Bus'!B87</f>
        <v>Peak Usage</v>
      </c>
      <c r="E73" s="357" t="s">
        <v>298</v>
      </c>
      <c r="F73" s="516">
        <f>'DUoS (t)'!$I$48</f>
        <v>4.2099999999999999E-2</v>
      </c>
      <c r="G73" s="525">
        <f>'TUoS (t)'!$I$48</f>
        <v>1.7600000000000001E-2</v>
      </c>
      <c r="H73" s="525">
        <f>'JSO (t)'!$I$48</f>
        <v>6.4999999999999997E-3</v>
      </c>
      <c r="I73" s="526">
        <f>SUM(F73:H73)</f>
        <v>6.6200000000000009E-2</v>
      </c>
      <c r="J73" s="511">
        <f>'[17]Price Schedule 5 year'!J73</f>
        <v>3.9201247311979527E-2</v>
      </c>
      <c r="K73" s="393">
        <f>'[17]Price Schedule 5 year'!K73</f>
        <v>1.8118444392542111E-2</v>
      </c>
      <c r="L73" s="393">
        <f>'[17]Price Schedule 5 year'!L73</f>
        <v>6.5773967516152667E-3</v>
      </c>
      <c r="M73" s="394">
        <f>SUM(J73:L73)</f>
        <v>6.3897088456136911E-2</v>
      </c>
      <c r="N73" s="391">
        <f>'[17]Price Schedule 5 year'!N73</f>
        <v>4.0143705184822208E-2</v>
      </c>
      <c r="O73" s="393">
        <f>'[17]Price Schedule 5 year'!O73</f>
        <v>1.8939209923524266E-2</v>
      </c>
      <c r="P73" s="393">
        <f>'[17]Price Schedule 5 year'!P73</f>
        <v>6.7112414077694915E-3</v>
      </c>
      <c r="Q73" s="394">
        <f>SUM(N73:P73)</f>
        <v>6.5794156516115962E-2</v>
      </c>
      <c r="R73" s="391">
        <f>'[17]Price Schedule 5 year'!R73</f>
        <v>4.1137261888146558E-2</v>
      </c>
      <c r="S73" s="393">
        <f>'[17]Price Schedule 5 year'!S73</f>
        <v>1.9819518519055425E-2</v>
      </c>
      <c r="T73" s="393">
        <f>'[17]Price Schedule 5 year'!T73</f>
        <v>6.8502060418470789E-3</v>
      </c>
      <c r="U73" s="394">
        <f>SUM(R73:T73)</f>
        <v>6.7806986449049061E-2</v>
      </c>
      <c r="V73" s="392">
        <f>'[17]Price Schedule 5 year'!V73</f>
        <v>4.2090076946534022E-2</v>
      </c>
      <c r="W73" s="393">
        <f>'[17]Price Schedule 5 year'!W73</f>
        <v>2.0731216370931976E-2</v>
      </c>
      <c r="X73" s="393">
        <f>'[17]Price Schedule 5 year'!X73</f>
        <v>6.9958126714100878E-3</v>
      </c>
      <c r="Y73" s="394">
        <f>SUM(V73:X73)</f>
        <v>6.9817105988876083E-2</v>
      </c>
    </row>
    <row r="74" spans="1:25" x14ac:dyDescent="0.25">
      <c r="A74" s="380"/>
      <c r="B74" s="382"/>
      <c r="C74" s="382" t="str">
        <f>'[16]Large LV Bus'!B88</f>
        <v>Off-Peak Usage</v>
      </c>
      <c r="D74" s="382"/>
      <c r="E74" s="382" t="s">
        <v>292</v>
      </c>
      <c r="F74" s="519">
        <f>'DUoS (t)'!$K$48</f>
        <v>2.63E-2</v>
      </c>
      <c r="G74" s="527">
        <f>'TUoS (t)'!$K$48</f>
        <v>1.0999999999999999E-2</v>
      </c>
      <c r="H74" s="527">
        <f>'JSO (t)'!$K$48</f>
        <v>4.1000000000000003E-3</v>
      </c>
      <c r="I74" s="528">
        <f>SUM(F74:H74)</f>
        <v>4.1399999999999999E-2</v>
      </c>
      <c r="J74" s="384">
        <f>'[17]Price Schedule 5 year'!J74</f>
        <v>2.4500779569987204E-2</v>
      </c>
      <c r="K74" s="385">
        <f>'[17]Price Schedule 5 year'!K74</f>
        <v>1.1324027745338821E-2</v>
      </c>
      <c r="L74" s="385">
        <f>'[17]Price Schedule 5 year'!L74</f>
        <v>4.1108729697595416E-3</v>
      </c>
      <c r="M74" s="386">
        <f>SUM(J74:L74)</f>
        <v>3.9935680285085567E-2</v>
      </c>
      <c r="N74" s="383">
        <f>'[17]Price Schedule 5 year'!N74</f>
        <v>2.5089815740513877E-2</v>
      </c>
      <c r="O74" s="385">
        <f>'[17]Price Schedule 5 year'!O74</f>
        <v>1.1837006202202668E-2</v>
      </c>
      <c r="P74" s="385">
        <f>'[17]Price Schedule 5 year'!P74</f>
        <v>4.1945258798559322E-3</v>
      </c>
      <c r="Q74" s="386">
        <f>SUM(N74:P74)</f>
        <v>4.1121347822572471E-2</v>
      </c>
      <c r="R74" s="383">
        <f>'[17]Price Schedule 5 year'!R74</f>
        <v>2.5710788680091596E-2</v>
      </c>
      <c r="S74" s="385">
        <f>'[17]Price Schedule 5 year'!S74</f>
        <v>1.2387199074409643E-2</v>
      </c>
      <c r="T74" s="385">
        <f>'[17]Price Schedule 5 year'!T74</f>
        <v>4.2813787761544243E-3</v>
      </c>
      <c r="U74" s="386">
        <f>SUM(R74:T74)</f>
        <v>4.237936653065566E-2</v>
      </c>
      <c r="V74" s="384">
        <f>'[17]Price Schedule 5 year'!V74</f>
        <v>2.6306298091583764E-2</v>
      </c>
      <c r="W74" s="385">
        <f>'[17]Price Schedule 5 year'!W74</f>
        <v>1.2957010231832487E-2</v>
      </c>
      <c r="X74" s="385">
        <f>'[17]Price Schedule 5 year'!X74</f>
        <v>4.3723829196313044E-3</v>
      </c>
      <c r="Y74" s="386">
        <f>SUM(V74:X74)</f>
        <v>4.3635691243047552E-2</v>
      </c>
    </row>
    <row r="75" spans="1:25" x14ac:dyDescent="0.25">
      <c r="A75" s="368"/>
      <c r="B75" s="369" t="str">
        <f>'[16]Large LV Bus'!B68</f>
        <v>Large LV Bus Actual Demand</v>
      </c>
      <c r="C75" s="370"/>
      <c r="D75" s="370"/>
      <c r="E75" s="370" t="s">
        <v>290</v>
      </c>
      <c r="F75" s="518"/>
      <c r="G75" s="523"/>
      <c r="H75" s="523"/>
      <c r="I75" s="524"/>
      <c r="J75" s="372"/>
      <c r="K75" s="370"/>
      <c r="L75" s="370"/>
      <c r="M75" s="373"/>
      <c r="N75" s="371"/>
      <c r="O75" s="370"/>
      <c r="P75" s="370"/>
      <c r="Q75" s="373"/>
      <c r="R75" s="371"/>
      <c r="S75" s="370"/>
      <c r="T75" s="370"/>
      <c r="U75" s="373"/>
      <c r="V75" s="372"/>
      <c r="W75" s="370"/>
      <c r="X75" s="370"/>
      <c r="Y75" s="373"/>
    </row>
    <row r="76" spans="1:25" x14ac:dyDescent="0.25">
      <c r="A76" s="374"/>
      <c r="C76" s="357" t="str">
        <f>'[16]Large LV Bus'!B69</f>
        <v>Customers/Supply Ch</v>
      </c>
      <c r="E76" s="357" t="s">
        <v>291</v>
      </c>
      <c r="F76" s="748">
        <f>'DUoS (t)'!$G$50*Days_Year</f>
        <v>999.9905</v>
      </c>
      <c r="G76" s="749">
        <f>'TUoS (t)'!$G$50*Days_Year</f>
        <v>0</v>
      </c>
      <c r="H76" s="749">
        <f>'JSO (t)'!$G$50*Days_Year</f>
        <v>0</v>
      </c>
      <c r="I76" s="750">
        <f>SUM(F76:H76)</f>
        <v>999.9905</v>
      </c>
      <c r="J76" s="510">
        <f>'[17]Price Schedule 5 year'!J76</f>
        <v>1999.9967999999999</v>
      </c>
      <c r="K76" s="378">
        <f>'[17]Price Schedule 5 year'!K76</f>
        <v>0</v>
      </c>
      <c r="L76" s="378">
        <f>'[17]Price Schedule 5 year'!L76</f>
        <v>0</v>
      </c>
      <c r="M76" s="379">
        <f>SUM(J76:L76)</f>
        <v>1999.9967999999999</v>
      </c>
      <c r="N76" s="376">
        <f>'[17]Price Schedule 5 year'!N76</f>
        <v>2999.9967999999999</v>
      </c>
      <c r="O76" s="378">
        <f>'[17]Price Schedule 5 year'!O76</f>
        <v>0</v>
      </c>
      <c r="P76" s="378">
        <f>'[17]Price Schedule 5 year'!P76</f>
        <v>0</v>
      </c>
      <c r="Q76" s="379">
        <f>SUM(N76:P76)</f>
        <v>2999.9967999999999</v>
      </c>
      <c r="R76" s="376">
        <f>'[17]Price Schedule 5 year'!R76</f>
        <v>3999.9967999999999</v>
      </c>
      <c r="S76" s="378">
        <f>'[17]Price Schedule 5 year'!S76</f>
        <v>0</v>
      </c>
      <c r="T76" s="378">
        <f>'[17]Price Schedule 5 year'!T76</f>
        <v>0</v>
      </c>
      <c r="U76" s="379">
        <f>SUM(R76:T76)</f>
        <v>3999.9967999999999</v>
      </c>
      <c r="V76" s="377">
        <f>'[17]Price Schedule 5 year'!V76</f>
        <v>4999.9967999999999</v>
      </c>
      <c r="W76" s="378">
        <f>'[17]Price Schedule 5 year'!W76</f>
        <v>0</v>
      </c>
      <c r="X76" s="378">
        <f>'[17]Price Schedule 5 year'!X76</f>
        <v>0</v>
      </c>
      <c r="Y76" s="379">
        <f>SUM(V76:X76)</f>
        <v>4999.9967999999999</v>
      </c>
    </row>
    <row r="77" spans="1:25" x14ac:dyDescent="0.25">
      <c r="A77" s="374"/>
      <c r="C77" s="357" t="str">
        <f>'[16]Large LV Bus'!B70</f>
        <v>Peak Actual Demand</v>
      </c>
      <c r="D77" s="357">
        <v>1</v>
      </c>
      <c r="E77" s="357" t="s">
        <v>299</v>
      </c>
      <c r="F77" s="745">
        <f>'DUoS (t)'!$Q$50*Days_Summer_Demand/5</f>
        <v>9.3438800000000004</v>
      </c>
      <c r="G77" s="746">
        <f>'TUoS (t)'!$Q$50*Days_Summer_Demand/5</f>
        <v>2.6213600000000001</v>
      </c>
      <c r="H77" s="746">
        <f>'JSO (t)'!$Q$50*Days_Summer_Demand/5</f>
        <v>0</v>
      </c>
      <c r="I77" s="747">
        <f>SUM(F77:H77)</f>
        <v>11.965240000000001</v>
      </c>
      <c r="J77" s="510">
        <f>'[17]Price Schedule 5 year'!J77</f>
        <v>9.3449600000000004</v>
      </c>
      <c r="K77" s="378">
        <f>'[17]Price Schedule 5 year'!K77</f>
        <v>2.6204799999999997</v>
      </c>
      <c r="L77" s="378">
        <f>'[17]Price Schedule 5 year'!L77</f>
        <v>0</v>
      </c>
      <c r="M77" s="379">
        <f>SUM(J77:L77)</f>
        <v>11.965440000000001</v>
      </c>
      <c r="N77" s="376">
        <f>'[17]Price Schedule 5 year'!N77</f>
        <v>9.3449600000000004</v>
      </c>
      <c r="O77" s="378">
        <f>'[17]Price Schedule 5 year'!O77</f>
        <v>2.6204799999999997</v>
      </c>
      <c r="P77" s="378">
        <f>'[17]Price Schedule 5 year'!P77</f>
        <v>0</v>
      </c>
      <c r="Q77" s="379">
        <f>SUM(N77:P77)</f>
        <v>11.965440000000001</v>
      </c>
      <c r="R77" s="376">
        <f>'[17]Price Schedule 5 year'!R77</f>
        <v>9.3449600000000004</v>
      </c>
      <c r="S77" s="378">
        <f>'[17]Price Schedule 5 year'!S77</f>
        <v>2.6204799999999997</v>
      </c>
      <c r="T77" s="378">
        <f>'[17]Price Schedule 5 year'!T77</f>
        <v>0</v>
      </c>
      <c r="U77" s="379">
        <f>SUM(R77:T77)</f>
        <v>11.965440000000001</v>
      </c>
      <c r="V77" s="377">
        <f>'[17]Price Schedule 5 year'!V77</f>
        <v>9.3449600000000004</v>
      </c>
      <c r="W77" s="378">
        <f>'[17]Price Schedule 5 year'!W77</f>
        <v>2.6204799999999997</v>
      </c>
      <c r="X77" s="378">
        <f>'[17]Price Schedule 5 year'!X77</f>
        <v>0</v>
      </c>
      <c r="Y77" s="379">
        <f>SUM(V77:X77)</f>
        <v>11.965440000000001</v>
      </c>
    </row>
    <row r="78" spans="1:25" x14ac:dyDescent="0.25">
      <c r="A78" s="374"/>
      <c r="C78" s="357" t="str">
        <f>'[16]Large LV Bus'!B71</f>
        <v>Shoulder Actual Demand</v>
      </c>
      <c r="D78" s="357">
        <v>2</v>
      </c>
      <c r="E78" s="357" t="s">
        <v>299</v>
      </c>
      <c r="F78" s="745">
        <f>'DUoS (t)'!$R$50*Days_Year/12</f>
        <v>4.6567916666666669</v>
      </c>
      <c r="G78" s="746">
        <f>'TUoS (t)'!$R$50*Days_Year/12</f>
        <v>1.304875</v>
      </c>
      <c r="H78" s="746">
        <f>'JSO (t)'!$R$50*Days_Year/12</f>
        <v>0</v>
      </c>
      <c r="I78" s="747">
        <f>SUM(F78:H78)</f>
        <v>5.9616666666666669</v>
      </c>
      <c r="J78" s="510">
        <f>'[17]Price Schedule 5 year'!J78</f>
        <v>4.6573500000000001</v>
      </c>
      <c r="K78" s="378">
        <f>'[17]Price Schedule 5 year'!K78</f>
        <v>1.3053999999999999</v>
      </c>
      <c r="L78" s="378">
        <f>'[17]Price Schedule 5 year'!L78</f>
        <v>0</v>
      </c>
      <c r="M78" s="379">
        <f>SUM(J78:L78)</f>
        <v>5.9627499999999998</v>
      </c>
      <c r="N78" s="376">
        <f>'[17]Price Schedule 5 year'!N78</f>
        <v>4.6573500000000001</v>
      </c>
      <c r="O78" s="378">
        <f>'[17]Price Schedule 5 year'!O78</f>
        <v>1.3053999999999999</v>
      </c>
      <c r="P78" s="378">
        <f>'[17]Price Schedule 5 year'!P78</f>
        <v>0</v>
      </c>
      <c r="Q78" s="379">
        <f>SUM(N78:P78)</f>
        <v>5.9627499999999998</v>
      </c>
      <c r="R78" s="376">
        <f>'[17]Price Schedule 5 year'!R78</f>
        <v>4.6573500000000001</v>
      </c>
      <c r="S78" s="378">
        <f>'[17]Price Schedule 5 year'!S78</f>
        <v>1.3053999999999999</v>
      </c>
      <c r="T78" s="378">
        <f>'[17]Price Schedule 5 year'!T78</f>
        <v>0</v>
      </c>
      <c r="U78" s="379">
        <f>SUM(R78:T78)</f>
        <v>5.9627499999999998</v>
      </c>
      <c r="V78" s="377">
        <f>'[17]Price Schedule 5 year'!V78</f>
        <v>4.6573500000000001</v>
      </c>
      <c r="W78" s="378">
        <f>'[17]Price Schedule 5 year'!W78</f>
        <v>1.3053999999999999</v>
      </c>
      <c r="X78" s="378">
        <f>'[17]Price Schedule 5 year'!X78</f>
        <v>0</v>
      </c>
      <c r="Y78" s="379">
        <f>SUM(V78:X78)</f>
        <v>5.9627499999999998</v>
      </c>
    </row>
    <row r="79" spans="1:25" x14ac:dyDescent="0.25">
      <c r="A79" s="380"/>
      <c r="B79" s="382"/>
      <c r="C79" s="382" t="str">
        <f>'[16]Large LV Bus'!B72</f>
        <v>Usage</v>
      </c>
      <c r="D79" s="382"/>
      <c r="E79" s="382" t="s">
        <v>292</v>
      </c>
      <c r="F79" s="519">
        <f>'DUoS (t)'!$H$50</f>
        <v>5.1499999999999997E-2</v>
      </c>
      <c r="G79" s="527">
        <f>'TUoS (t)'!$H$50</f>
        <v>2.0299999999999999E-2</v>
      </c>
      <c r="H79" s="527">
        <f>'JSO (t)'!$H$50</f>
        <v>5.1999999999999998E-3</v>
      </c>
      <c r="I79" s="528">
        <f>SUM(F79:H79)</f>
        <v>7.6999999999999999E-2</v>
      </c>
      <c r="J79" s="384">
        <f>'[17]Price Schedule 5 year'!J79</f>
        <v>5.8699999999999995E-2</v>
      </c>
      <c r="K79" s="385">
        <f>'[17]Price Schedule 5 year'!K79</f>
        <v>2.3100000000000002E-2</v>
      </c>
      <c r="L79" s="385">
        <f>'[17]Price Schedule 5 year'!L79</f>
        <v>5.1999999999999998E-3</v>
      </c>
      <c r="M79" s="386">
        <f>SUM(J79:L79)</f>
        <v>8.6999999999999994E-2</v>
      </c>
      <c r="N79" s="383">
        <f>'[17]Price Schedule 5 year'!N79</f>
        <v>6.59E-2</v>
      </c>
      <c r="O79" s="385">
        <f>'[17]Price Schedule 5 year'!O79</f>
        <v>2.5900000000000003E-2</v>
      </c>
      <c r="P79" s="385">
        <f>'[17]Price Schedule 5 year'!P79</f>
        <v>5.1999999999999998E-3</v>
      </c>
      <c r="Q79" s="386">
        <f>SUM(N79:P79)</f>
        <v>9.7000000000000003E-2</v>
      </c>
      <c r="R79" s="383">
        <f>'[17]Price Schedule 5 year'!R79</f>
        <v>7.3099999999999998E-2</v>
      </c>
      <c r="S79" s="385">
        <f>'[17]Price Schedule 5 year'!S79</f>
        <v>2.8700000000000003E-2</v>
      </c>
      <c r="T79" s="385">
        <f>'[17]Price Schedule 5 year'!T79</f>
        <v>5.1999999999999998E-3</v>
      </c>
      <c r="U79" s="386">
        <f>SUM(R79:T79)</f>
        <v>0.107</v>
      </c>
      <c r="V79" s="384">
        <f>'[17]Price Schedule 5 year'!V79</f>
        <v>8.0299999999999996E-2</v>
      </c>
      <c r="W79" s="385">
        <f>'[17]Price Schedule 5 year'!W79</f>
        <v>3.15E-2</v>
      </c>
      <c r="X79" s="385">
        <f>'[17]Price Schedule 5 year'!X79</f>
        <v>5.1999999999999998E-3</v>
      </c>
      <c r="Y79" s="386">
        <f>SUM(V79:X79)</f>
        <v>0.11699999999999999</v>
      </c>
    </row>
    <row r="80" spans="1:25" x14ac:dyDescent="0.25">
      <c r="A80" s="368"/>
      <c r="B80" s="369" t="s">
        <v>314</v>
      </c>
      <c r="C80" s="370"/>
      <c r="D80" s="370"/>
      <c r="E80" s="370" t="s">
        <v>290</v>
      </c>
      <c r="F80" s="518"/>
      <c r="G80" s="523"/>
      <c r="H80" s="523"/>
      <c r="I80" s="524"/>
      <c r="J80" s="372"/>
      <c r="K80" s="370"/>
      <c r="L80" s="370"/>
      <c r="M80" s="373"/>
      <c r="N80" s="371"/>
      <c r="O80" s="370"/>
      <c r="P80" s="370"/>
      <c r="Q80" s="373"/>
      <c r="R80" s="371"/>
      <c r="S80" s="370"/>
      <c r="T80" s="370"/>
      <c r="U80" s="373"/>
      <c r="V80" s="372"/>
      <c r="W80" s="370"/>
      <c r="X80" s="370"/>
      <c r="Y80" s="373"/>
    </row>
    <row r="81" spans="1:25" x14ac:dyDescent="0.25">
      <c r="A81" s="374"/>
      <c r="C81" s="357" t="str">
        <f>C27</f>
        <v>Customers/Supply Ch</v>
      </c>
      <c r="E81" s="357" t="str">
        <f>E27</f>
        <v>$ pa</v>
      </c>
      <c r="F81" s="745">
        <f>'DUoS (t)'!$G$42*Days_Year</f>
        <v>169.98050000000001</v>
      </c>
      <c r="G81" s="746">
        <f>'TUoS (t)'!$G$42*Days_Year</f>
        <v>0</v>
      </c>
      <c r="H81" s="746">
        <f>'JSO (t)'!$G$42*Days_Year</f>
        <v>15.001499999999998</v>
      </c>
      <c r="I81" s="747">
        <f>SUM(F81:H81)</f>
        <v>184.982</v>
      </c>
      <c r="J81" s="510">
        <f>'[17]Price Schedule 5 year'!J81</f>
        <v>189.99680000000001</v>
      </c>
      <c r="K81" s="378">
        <f>'[17]Price Schedule 5 year'!K81</f>
        <v>0</v>
      </c>
      <c r="L81" s="378">
        <f>'[17]Price Schedule 5 year'!L81</f>
        <v>0</v>
      </c>
      <c r="M81" s="379">
        <f>SUM(J81:L81)</f>
        <v>189.99680000000001</v>
      </c>
      <c r="N81" s="376">
        <f>'[17]Price Schedule 5 year'!N81</f>
        <v>209.99680000000001</v>
      </c>
      <c r="O81" s="378">
        <f>'[17]Price Schedule 5 year'!O81</f>
        <v>0</v>
      </c>
      <c r="P81" s="378">
        <f>'[17]Price Schedule 5 year'!P81</f>
        <v>0</v>
      </c>
      <c r="Q81" s="379">
        <f>SUM(N81:P81)</f>
        <v>209.99680000000001</v>
      </c>
      <c r="R81" s="376">
        <f>'[17]Price Schedule 5 year'!R81</f>
        <v>229.99680000000001</v>
      </c>
      <c r="S81" s="378">
        <f>'[17]Price Schedule 5 year'!S81</f>
        <v>0</v>
      </c>
      <c r="T81" s="378">
        <f>'[17]Price Schedule 5 year'!T81</f>
        <v>0</v>
      </c>
      <c r="U81" s="379">
        <f>SUM(R81:T81)</f>
        <v>229.99680000000001</v>
      </c>
      <c r="V81" s="377">
        <f>'[17]Price Schedule 5 year'!V81</f>
        <v>249.99680000000001</v>
      </c>
      <c r="W81" s="378">
        <f>'[17]Price Schedule 5 year'!W81</f>
        <v>0</v>
      </c>
      <c r="X81" s="378">
        <f>'[17]Price Schedule 5 year'!X81</f>
        <v>0</v>
      </c>
      <c r="Y81" s="379">
        <f>SUM(V81:X81)</f>
        <v>249.99680000000001</v>
      </c>
    </row>
    <row r="82" spans="1:25" x14ac:dyDescent="0.25">
      <c r="A82" s="380"/>
      <c r="B82" s="382"/>
      <c r="C82" s="382" t="str">
        <f>C28</f>
        <v>Usage</v>
      </c>
      <c r="D82" s="382"/>
      <c r="E82" s="382" t="str">
        <f>E28</f>
        <v>$/kWh</v>
      </c>
      <c r="F82" s="519">
        <f>'DUoS (t)'!$H$42</f>
        <v>0.1255</v>
      </c>
      <c r="G82" s="527">
        <f>'TUoS (t)'!$H$42</f>
        <v>4.4699999999999997E-2</v>
      </c>
      <c r="H82" s="527">
        <f>'JSO (t)'!$H$42</f>
        <v>1.01E-2</v>
      </c>
      <c r="I82" s="528">
        <f>SUM(F82:H82)</f>
        <v>0.18029999999999999</v>
      </c>
      <c r="J82" s="384">
        <f>'[17]Price Schedule 5 year'!J82</f>
        <v>0.11668500908679627</v>
      </c>
      <c r="K82" s="385">
        <f>'[17]Price Schedule 5 year'!K82</f>
        <v>4.5364590409376869E-2</v>
      </c>
      <c r="L82" s="385">
        <f>'[17]Price Schedule 5 year'!L82</f>
        <v>5.7634439036028775E-3</v>
      </c>
      <c r="M82" s="386">
        <f>SUM(J82:L82)</f>
        <v>0.16781304339977601</v>
      </c>
      <c r="N82" s="383">
        <f>'[17]Price Schedule 5 year'!N82</f>
        <v>0.11885981712855033</v>
      </c>
      <c r="O82" s="385">
        <f>'[17]Price Schedule 5 year'!O82</f>
        <v>4.7655645095008234E-2</v>
      </c>
      <c r="P82" s="385">
        <f>'[17]Price Schedule 5 year'!P82</f>
        <v>5.8807252835580172E-3</v>
      </c>
      <c r="Q82" s="386">
        <f>SUM(N82:P82)</f>
        <v>0.17239618750711658</v>
      </c>
      <c r="R82" s="383">
        <f>'[17]Price Schedule 5 year'!R82</f>
        <v>0.12122843576107975</v>
      </c>
      <c r="S82" s="385">
        <f>'[17]Price Schedule 5 year'!S82</f>
        <v>5.0031307760542161E-2</v>
      </c>
      <c r="T82" s="385">
        <f>'[17]Price Schedule 5 year'!T82</f>
        <v>6.0024930441685024E-3</v>
      </c>
      <c r="U82" s="386">
        <f>SUM(R82:T82)</f>
        <v>0.1772622365657904</v>
      </c>
      <c r="V82" s="384">
        <f>'[17]Price Schedule 5 year'!V82</f>
        <v>0.12274072056412966</v>
      </c>
      <c r="W82" s="385">
        <f>'[17]Price Schedule 5 year'!W82</f>
        <v>5.2514546537693961E-2</v>
      </c>
      <c r="X82" s="385">
        <f>'[17]Price Schedule 5 year'!X82</f>
        <v>6.1300808533230888E-3</v>
      </c>
      <c r="Y82" s="386">
        <f>SUM(V82:X82)</f>
        <v>0.18138534795514671</v>
      </c>
    </row>
    <row r="83" spans="1:25" x14ac:dyDescent="0.25">
      <c r="A83" s="368"/>
      <c r="B83" s="369" t="s">
        <v>315</v>
      </c>
      <c r="C83" s="370"/>
      <c r="D83" s="370"/>
      <c r="E83" s="370" t="s">
        <v>290</v>
      </c>
      <c r="F83" s="518"/>
      <c r="G83" s="523"/>
      <c r="H83" s="523"/>
      <c r="I83" s="524"/>
      <c r="J83" s="372"/>
      <c r="K83" s="370"/>
      <c r="L83" s="370"/>
      <c r="M83" s="373"/>
      <c r="N83" s="371"/>
      <c r="O83" s="370"/>
      <c r="P83" s="370"/>
      <c r="Q83" s="373"/>
      <c r="R83" s="371"/>
      <c r="S83" s="370"/>
      <c r="T83" s="370"/>
      <c r="U83" s="373"/>
      <c r="V83" s="372"/>
      <c r="W83" s="370"/>
      <c r="X83" s="370"/>
      <c r="Y83" s="373"/>
    </row>
    <row r="84" spans="1:25" x14ac:dyDescent="0.25">
      <c r="A84" s="374"/>
      <c r="C84" s="357" t="str">
        <f>C30</f>
        <v>Customers/Supply Ch</v>
      </c>
      <c r="E84" s="357" t="str">
        <f>E30</f>
        <v>$ pa</v>
      </c>
      <c r="F84" s="745">
        <f>'DUoS (t)'!$G$44*Days_Year</f>
        <v>169.98050000000001</v>
      </c>
      <c r="G84" s="746">
        <f>'TUoS (t)'!$G$44*Days_Year</f>
        <v>0</v>
      </c>
      <c r="H84" s="746">
        <f>'JSO (t)'!$G$44*Days_Year</f>
        <v>15.001499999999998</v>
      </c>
      <c r="I84" s="747">
        <f>SUM(F84:H84)</f>
        <v>184.982</v>
      </c>
      <c r="J84" s="510">
        <f>'[17]Price Schedule 5 year'!J84</f>
        <v>189.99680000000001</v>
      </c>
      <c r="K84" s="378">
        <f>'[17]Price Schedule 5 year'!K84</f>
        <v>0</v>
      </c>
      <c r="L84" s="378">
        <f>'[17]Price Schedule 5 year'!L84</f>
        <v>0</v>
      </c>
      <c r="M84" s="379">
        <f>SUM(J84:L84)</f>
        <v>189.99680000000001</v>
      </c>
      <c r="N84" s="376">
        <f>'[17]Price Schedule 5 year'!N84</f>
        <v>209.99680000000001</v>
      </c>
      <c r="O84" s="378">
        <f>'[17]Price Schedule 5 year'!O84</f>
        <v>0</v>
      </c>
      <c r="P84" s="378">
        <f>'[17]Price Schedule 5 year'!P84</f>
        <v>0</v>
      </c>
      <c r="Q84" s="379">
        <f>SUM(N84:P84)</f>
        <v>209.99680000000001</v>
      </c>
      <c r="R84" s="376">
        <f>'[17]Price Schedule 5 year'!R84</f>
        <v>229.99680000000001</v>
      </c>
      <c r="S84" s="378">
        <f>'[17]Price Schedule 5 year'!S84</f>
        <v>0</v>
      </c>
      <c r="T84" s="378">
        <f>'[17]Price Schedule 5 year'!T84</f>
        <v>0</v>
      </c>
      <c r="U84" s="379">
        <f>SUM(R84:T84)</f>
        <v>229.99680000000001</v>
      </c>
      <c r="V84" s="377">
        <f>'[17]Price Schedule 5 year'!V84</f>
        <v>249.99680000000001</v>
      </c>
      <c r="W84" s="378">
        <f>'[17]Price Schedule 5 year'!W84</f>
        <v>0</v>
      </c>
      <c r="X84" s="378">
        <f>'[17]Price Schedule 5 year'!X84</f>
        <v>0</v>
      </c>
      <c r="Y84" s="379">
        <f>SUM(V84:X84)</f>
        <v>249.99680000000001</v>
      </c>
    </row>
    <row r="85" spans="1:25" x14ac:dyDescent="0.25">
      <c r="A85" s="374"/>
      <c r="C85" s="357" t="str">
        <f>C31</f>
        <v>Peak usage</v>
      </c>
      <c r="E85" s="357" t="str">
        <f>E31</f>
        <v>$/kWh</v>
      </c>
      <c r="F85" s="516">
        <f>'DUoS (t)'!$I$44</f>
        <v>0.1414</v>
      </c>
      <c r="G85" s="525">
        <f>'TUoS (t)'!$I$44</f>
        <v>5.04E-2</v>
      </c>
      <c r="H85" s="525">
        <f>'JSO (t)'!$I$44</f>
        <v>1.14E-2</v>
      </c>
      <c r="I85" s="526">
        <f>SUM(F85:H85)</f>
        <v>0.20319999999999999</v>
      </c>
      <c r="J85" s="511">
        <f>'[17]Price Schedule 5 year'!J85</f>
        <v>0.1315040052408194</v>
      </c>
      <c r="K85" s="393">
        <f>'[17]Price Schedule 5 year'!K85</f>
        <v>5.1125893391367729E-2</v>
      </c>
      <c r="L85" s="393">
        <f>'[17]Price Schedule 5 year'!L85</f>
        <v>6.5773967516152667E-3</v>
      </c>
      <c r="M85" s="394">
        <f>SUM(J85:L85)</f>
        <v>0.18920729538380238</v>
      </c>
      <c r="N85" s="391">
        <f>'[17]Price Schedule 5 year'!N85</f>
        <v>0.13395501390387621</v>
      </c>
      <c r="O85" s="393">
        <f>'[17]Price Schedule 5 year'!O85</f>
        <v>5.3707912022074276E-2</v>
      </c>
      <c r="P85" s="393">
        <f>'[17]Price Schedule 5 year'!P85</f>
        <v>6.7112414077694915E-3</v>
      </c>
      <c r="Q85" s="394">
        <f>SUM(N85:P85)</f>
        <v>0.19437416733371998</v>
      </c>
      <c r="R85" s="391">
        <f>'[17]Price Schedule 5 year'!R85</f>
        <v>0.13662444710273688</v>
      </c>
      <c r="S85" s="393">
        <f>'[17]Price Schedule 5 year'!S85</f>
        <v>5.6385283846131014E-2</v>
      </c>
      <c r="T85" s="393">
        <f>'[17]Price Schedule 5 year'!T85</f>
        <v>6.8502060418470789E-3</v>
      </c>
      <c r="U85" s="394">
        <f>SUM(R85:T85)</f>
        <v>0.19985993699071497</v>
      </c>
      <c r="V85" s="392">
        <f>'[17]Price Schedule 5 year'!V85</f>
        <v>0.13832879207577414</v>
      </c>
      <c r="W85" s="393">
        <f>'[17]Price Schedule 5 year'!W85</f>
        <v>5.9183893947981091E-2</v>
      </c>
      <c r="X85" s="393">
        <f>'[17]Price Schedule 5 year'!X85</f>
        <v>6.9958126714100878E-3</v>
      </c>
      <c r="Y85" s="394">
        <f>SUM(V85:X85)</f>
        <v>0.20450849869516532</v>
      </c>
    </row>
    <row r="86" spans="1:25" x14ac:dyDescent="0.25">
      <c r="A86" s="374"/>
      <c r="B86" s="512"/>
      <c r="C86" s="512" t="str">
        <f>C32</f>
        <v>Off-Pk Usage</v>
      </c>
      <c r="D86" s="512"/>
      <c r="E86" s="512" t="str">
        <f>E32</f>
        <v>$/kWh</v>
      </c>
      <c r="F86" s="516">
        <f>'DUoS (t)'!$K$44</f>
        <v>7.0699999999999999E-2</v>
      </c>
      <c r="G86" s="525">
        <f>'TUoS (t)'!$K$44</f>
        <v>2.52E-2</v>
      </c>
      <c r="H86" s="525">
        <f>'JSO (t)'!$K$44</f>
        <v>5.7000000000000002E-3</v>
      </c>
      <c r="I86" s="526">
        <f>SUM(F86:H86)</f>
        <v>0.1016</v>
      </c>
      <c r="J86" s="511">
        <f>'[17]Price Schedule 5 year'!J86</f>
        <v>6.57520026204097E-2</v>
      </c>
      <c r="K86" s="837">
        <f>'[17]Price Schedule 5 year'!K86</f>
        <v>2.5562946695683864E-2</v>
      </c>
      <c r="L86" s="837">
        <f>'[17]Price Schedule 5 year'!L86</f>
        <v>4.1108729697595416E-3</v>
      </c>
      <c r="M86" s="394">
        <f>SUM(J86:L86)</f>
        <v>9.5425822285853099E-2</v>
      </c>
      <c r="N86" s="391">
        <f>'[17]Price Schedule 5 year'!N86</f>
        <v>6.6977506951938104E-2</v>
      </c>
      <c r="O86" s="837">
        <f>'[17]Price Schedule 5 year'!O86</f>
        <v>2.6853956011037138E-2</v>
      </c>
      <c r="P86" s="837">
        <f>'[17]Price Schedule 5 year'!P86</f>
        <v>4.1945258798559322E-3</v>
      </c>
      <c r="Q86" s="394">
        <f>SUM(N86:P86)</f>
        <v>9.8025988842831174E-2</v>
      </c>
      <c r="R86" s="391">
        <f>'[17]Price Schedule 5 year'!R86</f>
        <v>6.8312223551368442E-2</v>
      </c>
      <c r="S86" s="837">
        <f>'[17]Price Schedule 5 year'!S86</f>
        <v>2.8192641923065507E-2</v>
      </c>
      <c r="T86" s="837">
        <f>'[17]Price Schedule 5 year'!T86</f>
        <v>4.2813787761544243E-3</v>
      </c>
      <c r="U86" s="394">
        <f>SUM(R86:T86)</f>
        <v>0.10078624425058837</v>
      </c>
      <c r="V86" s="511">
        <f>'[17]Price Schedule 5 year'!V86</f>
        <v>6.9164396037887071E-2</v>
      </c>
      <c r="W86" s="837">
        <f>'[17]Price Schedule 5 year'!W86</f>
        <v>2.9591946973990545E-2</v>
      </c>
      <c r="X86" s="837">
        <f>'[17]Price Schedule 5 year'!X86</f>
        <v>4.3723829196313044E-3</v>
      </c>
      <c r="Y86" s="394">
        <f>SUM(V86:X86)</f>
        <v>0.10312872593150893</v>
      </c>
    </row>
    <row r="87" spans="1:25" x14ac:dyDescent="0.25">
      <c r="A87" s="368"/>
      <c r="B87" s="369" t="str">
        <f>'[16]Large LV Bus'!B139</f>
        <v>Large Bus Generation Supplies</v>
      </c>
      <c r="C87" s="370"/>
      <c r="D87" s="370"/>
      <c r="E87" s="370" t="s">
        <v>313</v>
      </c>
      <c r="F87" s="518"/>
      <c r="G87" s="523"/>
      <c r="H87" s="523"/>
      <c r="I87" s="524"/>
      <c r="J87" s="372"/>
      <c r="K87" s="370"/>
      <c r="L87" s="370"/>
      <c r="M87" s="373"/>
      <c r="N87" s="371"/>
      <c r="O87" s="370"/>
      <c r="P87" s="370"/>
      <c r="Q87" s="373"/>
      <c r="R87" s="371"/>
      <c r="S87" s="370"/>
      <c r="T87" s="370"/>
      <c r="U87" s="373"/>
      <c r="V87" s="371"/>
      <c r="W87" s="370"/>
      <c r="X87" s="370"/>
      <c r="Y87" s="373"/>
    </row>
    <row r="88" spans="1:25" x14ac:dyDescent="0.25">
      <c r="A88" s="374"/>
      <c r="B88" s="512"/>
      <c r="C88" s="512" t="str">
        <f>'[16]Large LV Bus'!B140</f>
        <v>Customers/Supply Ch</v>
      </c>
      <c r="D88" s="512"/>
      <c r="E88" s="512" t="s">
        <v>291</v>
      </c>
      <c r="F88" s="748">
        <f>'DUoS (t)'!$G$51*Days_Year</f>
        <v>2499.9945000000002</v>
      </c>
      <c r="G88" s="749">
        <f>'TUoS (t)'!$G$51*Days_Year</f>
        <v>0</v>
      </c>
      <c r="H88" s="749">
        <f>'JSO (t)'!$G$51*Days_Year</f>
        <v>0</v>
      </c>
      <c r="I88" s="750">
        <f>SUM(F88:H88)</f>
        <v>2499.9945000000002</v>
      </c>
      <c r="J88" s="514">
        <f>'[17]Price Schedule 5 year'!J88</f>
        <v>2328.9714420139926</v>
      </c>
      <c r="K88" s="841">
        <f>'[17]Price Schedule 5 year'!K88</f>
        <v>0</v>
      </c>
      <c r="L88" s="841">
        <f>'[17]Price Schedule 5 year'!L88</f>
        <v>0</v>
      </c>
      <c r="M88" s="415">
        <f>SUM(J88:L88)</f>
        <v>2328.9714420139926</v>
      </c>
      <c r="N88" s="416">
        <f>'[17]Price Schedule 5 year'!N88</f>
        <v>2384.9634734328779</v>
      </c>
      <c r="O88" s="841">
        <f>'[17]Price Schedule 5 year'!O88</f>
        <v>0</v>
      </c>
      <c r="P88" s="841">
        <f>'[17]Price Schedule 5 year'!P88</f>
        <v>0</v>
      </c>
      <c r="Q88" s="415">
        <f>SUM(N88:P88)</f>
        <v>2384.9634734328779</v>
      </c>
      <c r="R88" s="416">
        <f>'[17]Price Schedule 5 year'!R88</f>
        <v>2443.9913194003416</v>
      </c>
      <c r="S88" s="841">
        <f>'[17]Price Schedule 5 year'!S88</f>
        <v>0</v>
      </c>
      <c r="T88" s="841">
        <f>'[17]Price Schedule 5 year'!T88</f>
        <v>0</v>
      </c>
      <c r="U88" s="415">
        <f>SUM(R88:T88)</f>
        <v>2443.9913194003416</v>
      </c>
      <c r="V88" s="416">
        <f>'[17]Price Schedule 5 year'!V88</f>
        <v>2500.5986779072014</v>
      </c>
      <c r="W88" s="841">
        <f>'[17]Price Schedule 5 year'!W88</f>
        <v>0</v>
      </c>
      <c r="X88" s="841">
        <f>'[17]Price Schedule 5 year'!X88</f>
        <v>0</v>
      </c>
      <c r="Y88" s="415">
        <f>SUM(V88:X88)</f>
        <v>2500.5986779072014</v>
      </c>
    </row>
    <row r="89" spans="1:25" x14ac:dyDescent="0.25">
      <c r="A89" s="374"/>
      <c r="B89" s="512"/>
      <c r="C89" s="512" t="str">
        <f>'[16]Large LV Bus'!B141</f>
        <v>Peak Annual Max Demand</v>
      </c>
      <c r="D89" s="512">
        <v>4</v>
      </c>
      <c r="E89" s="512" t="s">
        <v>298</v>
      </c>
      <c r="F89" s="745">
        <f>'DUoS (t)'!$S$51*Days_Year</f>
        <v>52.924999999999997</v>
      </c>
      <c r="G89" s="746">
        <f>'TUoS (t)'!$S$51*Days_Year</f>
        <v>39.529499999999999</v>
      </c>
      <c r="H89" s="746">
        <f>'JSO (t)'!$S$51*Days_Year</f>
        <v>0</v>
      </c>
      <c r="I89" s="747">
        <f>SUM(F89:H89)</f>
        <v>92.454499999999996</v>
      </c>
      <c r="J89" s="514">
        <f>'[17]Price Schedule 5 year'!J89</f>
        <v>49.3</v>
      </c>
      <c r="K89" s="515">
        <f>'[17]Price Schedule 5 year'!K89</f>
        <v>40.700000000000003</v>
      </c>
      <c r="L89" s="515">
        <f>'[17]Price Schedule 5 year'!L89</f>
        <v>0</v>
      </c>
      <c r="M89" s="379">
        <f>SUM(J89:L89)</f>
        <v>90</v>
      </c>
      <c r="N89" s="416">
        <f>'[17]Price Schedule 5 year'!N89</f>
        <v>50.5</v>
      </c>
      <c r="O89" s="515">
        <f>'[17]Price Schedule 5 year'!O89</f>
        <v>42.5</v>
      </c>
      <c r="P89" s="515">
        <f>'[17]Price Schedule 5 year'!P89</f>
        <v>0</v>
      </c>
      <c r="Q89" s="379">
        <f>SUM(N89:P89)</f>
        <v>93</v>
      </c>
      <c r="R89" s="416">
        <f>'[17]Price Schedule 5 year'!R89</f>
        <v>51.7</v>
      </c>
      <c r="S89" s="515">
        <f>'[17]Price Schedule 5 year'!S89</f>
        <v>44.5</v>
      </c>
      <c r="T89" s="515">
        <f>'[17]Price Schedule 5 year'!T89</f>
        <v>0</v>
      </c>
      <c r="U89" s="379">
        <f>SUM(R89:T89)</f>
        <v>96.2</v>
      </c>
      <c r="V89" s="416">
        <f>'[17]Price Schedule 5 year'!V89</f>
        <v>52.9</v>
      </c>
      <c r="W89" s="515">
        <f>'[17]Price Schedule 5 year'!W89</f>
        <v>46.5</v>
      </c>
      <c r="X89" s="515">
        <f>'[17]Price Schedule 5 year'!X89</f>
        <v>0</v>
      </c>
      <c r="Y89" s="379">
        <f>SUM(V89:X89)</f>
        <v>99.4</v>
      </c>
    </row>
    <row r="90" spans="1:25" x14ac:dyDescent="0.25">
      <c r="A90" s="374"/>
      <c r="B90" s="512"/>
      <c r="C90" s="512" t="str">
        <f>'[16]Large LV Bus'!B142</f>
        <v>Anytime Actual Demand</v>
      </c>
      <c r="D90" s="512">
        <v>4</v>
      </c>
      <c r="E90" s="512" t="s">
        <v>298</v>
      </c>
      <c r="F90" s="745">
        <f>'DUoS (t)'!$T$51*Days_Year</f>
        <v>37.814</v>
      </c>
      <c r="G90" s="746">
        <f>'TUoS (t)'!$T$51*Days_Year</f>
        <v>0</v>
      </c>
      <c r="H90" s="746">
        <f>'JSO (t)'!$T$51*Days_Year</f>
        <v>0</v>
      </c>
      <c r="I90" s="747">
        <f>SUM(F90:H90)</f>
        <v>37.814</v>
      </c>
      <c r="J90" s="514">
        <f>'[17]Price Schedule 5 year'!J90</f>
        <v>35.200000000000003</v>
      </c>
      <c r="K90" s="515">
        <f>'[17]Price Schedule 5 year'!K90</f>
        <v>0</v>
      </c>
      <c r="L90" s="515">
        <f>'[17]Price Schedule 5 year'!L90</f>
        <v>0</v>
      </c>
      <c r="M90" s="379">
        <f>SUM(J90:L90)</f>
        <v>35.200000000000003</v>
      </c>
      <c r="N90" s="416">
        <f>'[17]Price Schedule 5 year'!N90</f>
        <v>36</v>
      </c>
      <c r="O90" s="515">
        <f>'[17]Price Schedule 5 year'!O90</f>
        <v>0</v>
      </c>
      <c r="P90" s="515">
        <f>'[17]Price Schedule 5 year'!P90</f>
        <v>0</v>
      </c>
      <c r="Q90" s="379">
        <f>SUM(N90:P90)</f>
        <v>36</v>
      </c>
      <c r="R90" s="416">
        <f>'[17]Price Schedule 5 year'!R90</f>
        <v>36.9</v>
      </c>
      <c r="S90" s="515">
        <f>'[17]Price Schedule 5 year'!S90</f>
        <v>0</v>
      </c>
      <c r="T90" s="515">
        <f>'[17]Price Schedule 5 year'!T90</f>
        <v>0</v>
      </c>
      <c r="U90" s="379">
        <f>SUM(R90:T90)</f>
        <v>36.9</v>
      </c>
      <c r="V90" s="416">
        <f>'[17]Price Schedule 5 year'!V90</f>
        <v>37.799999999999997</v>
      </c>
      <c r="W90" s="515">
        <f>'[17]Price Schedule 5 year'!W90</f>
        <v>0</v>
      </c>
      <c r="X90" s="515">
        <f>'[17]Price Schedule 5 year'!X90</f>
        <v>0</v>
      </c>
      <c r="Y90" s="379">
        <f>SUM(V90:X90)</f>
        <v>37.799999999999997</v>
      </c>
    </row>
    <row r="91" spans="1:25" x14ac:dyDescent="0.25">
      <c r="A91" s="374"/>
      <c r="B91" s="512"/>
      <c r="C91" s="512" t="str">
        <f>'[16]Large LV Bus'!B143</f>
        <v>Peak Usage</v>
      </c>
      <c r="D91" s="512"/>
      <c r="E91" s="512" t="s">
        <v>292</v>
      </c>
      <c r="F91" s="516"/>
      <c r="G91" s="525"/>
      <c r="H91" s="525"/>
      <c r="I91" s="526">
        <f>SUM(F91:H91)</f>
        <v>0</v>
      </c>
      <c r="J91" s="511">
        <f>'[17]Price Schedule 5 year'!J91</f>
        <v>0</v>
      </c>
      <c r="K91" s="837">
        <f>'[17]Price Schedule 5 year'!K91</f>
        <v>0</v>
      </c>
      <c r="L91" s="837">
        <f>'[17]Price Schedule 5 year'!L91</f>
        <v>0</v>
      </c>
      <c r="M91" s="394">
        <f>SUM(J91:L91)</f>
        <v>0</v>
      </c>
      <c r="N91" s="391">
        <f>'[17]Price Schedule 5 year'!N91</f>
        <v>0</v>
      </c>
      <c r="O91" s="837">
        <f>'[17]Price Schedule 5 year'!O91</f>
        <v>0</v>
      </c>
      <c r="P91" s="837">
        <f>'[17]Price Schedule 5 year'!P91</f>
        <v>0</v>
      </c>
      <c r="Q91" s="394">
        <f>SUM(N91:P91)</f>
        <v>0</v>
      </c>
      <c r="R91" s="391">
        <f>'[17]Price Schedule 5 year'!R91</f>
        <v>0</v>
      </c>
      <c r="S91" s="837">
        <f>'[17]Price Schedule 5 year'!S91</f>
        <v>0</v>
      </c>
      <c r="T91" s="837">
        <f>'[17]Price Schedule 5 year'!T91</f>
        <v>0</v>
      </c>
      <c r="U91" s="394">
        <f>SUM(R91:T91)</f>
        <v>0</v>
      </c>
      <c r="V91" s="391">
        <f>'[17]Price Schedule 5 year'!V91</f>
        <v>0</v>
      </c>
      <c r="W91" s="837">
        <f>'[17]Price Schedule 5 year'!W91</f>
        <v>0</v>
      </c>
      <c r="X91" s="837">
        <f>'[17]Price Schedule 5 year'!X91</f>
        <v>0</v>
      </c>
      <c r="Y91" s="394">
        <f>SUM(V91:X91)</f>
        <v>0</v>
      </c>
    </row>
    <row r="92" spans="1:25" ht="15.75" thickBot="1" x14ac:dyDescent="0.3">
      <c r="A92" s="399"/>
      <c r="B92" s="400"/>
      <c r="C92" s="400" t="str">
        <f>'[16]Large LV Bus'!B144</f>
        <v>Off-Peak Usage</v>
      </c>
      <c r="D92" s="400"/>
      <c r="E92" s="400" t="s">
        <v>292</v>
      </c>
      <c r="F92" s="520"/>
      <c r="G92" s="529"/>
      <c r="H92" s="529"/>
      <c r="I92" s="530">
        <f>SUM(F92:H92)</f>
        <v>0</v>
      </c>
      <c r="J92" s="402">
        <f>'[17]Price Schedule 5 year'!J92</f>
        <v>0</v>
      </c>
      <c r="K92" s="403">
        <f>'[17]Price Schedule 5 year'!K92</f>
        <v>0</v>
      </c>
      <c r="L92" s="403">
        <f>'[17]Price Schedule 5 year'!L92</f>
        <v>0</v>
      </c>
      <c r="M92" s="404">
        <f>SUM(J92:L92)</f>
        <v>0</v>
      </c>
      <c r="N92" s="401">
        <f>'[17]Price Schedule 5 year'!N92</f>
        <v>0</v>
      </c>
      <c r="O92" s="403">
        <f>'[17]Price Schedule 5 year'!O92</f>
        <v>0</v>
      </c>
      <c r="P92" s="403">
        <f>'[17]Price Schedule 5 year'!P92</f>
        <v>0</v>
      </c>
      <c r="Q92" s="404">
        <f>SUM(N92:P92)</f>
        <v>0</v>
      </c>
      <c r="R92" s="401">
        <f>'[17]Price Schedule 5 year'!R92</f>
        <v>0</v>
      </c>
      <c r="S92" s="403">
        <f>'[17]Price Schedule 5 year'!S92</f>
        <v>0</v>
      </c>
      <c r="T92" s="403">
        <f>'[17]Price Schedule 5 year'!T92</f>
        <v>0</v>
      </c>
      <c r="U92" s="404">
        <f>SUM(R92:T92)</f>
        <v>0</v>
      </c>
      <c r="V92" s="401">
        <f>'[17]Price Schedule 5 year'!V92</f>
        <v>0</v>
      </c>
      <c r="W92" s="403">
        <f>'[17]Price Schedule 5 year'!W92</f>
        <v>0</v>
      </c>
      <c r="X92" s="403">
        <f>'[17]Price Schedule 5 year'!X92</f>
        <v>0</v>
      </c>
      <c r="Y92" s="404">
        <f>SUM(V92:X92)</f>
        <v>0</v>
      </c>
    </row>
    <row r="93" spans="1:25" x14ac:dyDescent="0.25">
      <c r="A93" s="357" t="str">
        <f>A53</f>
        <v>Notes on Demand Elements</v>
      </c>
    </row>
    <row r="94" spans="1:25" x14ac:dyDescent="0.25">
      <c r="B94" s="357">
        <f t="shared" ref="B94:C98" si="0">B54</f>
        <v>1</v>
      </c>
      <c r="C94" s="357" t="str">
        <f t="shared" si="0"/>
        <v>highest daily demand each of five months Nov-March charged per month</v>
      </c>
    </row>
    <row r="95" spans="1:25" x14ac:dyDescent="0.25">
      <c r="B95" s="357">
        <f t="shared" si="0"/>
        <v>2</v>
      </c>
      <c r="C95" s="357" t="str">
        <f t="shared" si="0"/>
        <v>highest daily demand each of twelve months July-June charged per month</v>
      </c>
    </row>
    <row r="96" spans="1:25" x14ac:dyDescent="0.25">
      <c r="B96" s="357">
        <f t="shared" si="0"/>
        <v>3</v>
      </c>
      <c r="C96" s="357" t="str">
        <f t="shared" si="0"/>
        <v>12 month rolling reset charged proportionally each month</v>
      </c>
    </row>
    <row r="97" spans="1:25" x14ac:dyDescent="0.25">
      <c r="B97" s="357">
        <f t="shared" si="0"/>
        <v>4</v>
      </c>
      <c r="C97" s="357" t="str">
        <f t="shared" si="0"/>
        <v>agreed demand charged proportionally each month</v>
      </c>
    </row>
    <row r="98" spans="1:25" x14ac:dyDescent="0.25">
      <c r="B98" s="357">
        <f t="shared" si="0"/>
        <v>5</v>
      </c>
      <c r="C98" s="357" t="str">
        <f t="shared" si="0"/>
        <v>Peak demand not applicable to backup, incurred by principal supply</v>
      </c>
    </row>
    <row r="99" spans="1:25" ht="15.75" thickBot="1" x14ac:dyDescent="0.3"/>
    <row r="100" spans="1:25" ht="15.75" x14ac:dyDescent="0.25">
      <c r="B100" s="358" t="s">
        <v>316</v>
      </c>
      <c r="F100" s="885" t="s">
        <v>320</v>
      </c>
      <c r="G100" s="886"/>
      <c r="H100" s="886"/>
      <c r="I100" s="887"/>
      <c r="J100" s="885" t="s">
        <v>321</v>
      </c>
      <c r="K100" s="886"/>
      <c r="L100" s="886"/>
      <c r="M100" s="887"/>
      <c r="N100" s="885" t="s">
        <v>322</v>
      </c>
      <c r="O100" s="886"/>
      <c r="P100" s="886"/>
      <c r="Q100" s="887"/>
      <c r="R100" s="885" t="s">
        <v>323</v>
      </c>
      <c r="S100" s="886"/>
      <c r="T100" s="886"/>
      <c r="U100" s="887"/>
      <c r="V100" s="885" t="s">
        <v>324</v>
      </c>
      <c r="W100" s="886"/>
      <c r="X100" s="886"/>
      <c r="Y100" s="887"/>
    </row>
    <row r="101" spans="1:25" ht="16.5" thickBot="1" x14ac:dyDescent="0.3">
      <c r="B101" s="358" t="s">
        <v>285</v>
      </c>
      <c r="F101" s="360" t="s">
        <v>286</v>
      </c>
      <c r="G101" s="362" t="s">
        <v>287</v>
      </c>
      <c r="H101" s="362" t="s">
        <v>288</v>
      </c>
      <c r="I101" s="363" t="s">
        <v>289</v>
      </c>
      <c r="J101" s="360" t="s">
        <v>286</v>
      </c>
      <c r="K101" s="362" t="s">
        <v>287</v>
      </c>
      <c r="L101" s="362" t="s">
        <v>288</v>
      </c>
      <c r="M101" s="363" t="s">
        <v>289</v>
      </c>
      <c r="N101" s="360" t="s">
        <v>286</v>
      </c>
      <c r="O101" s="362" t="s">
        <v>287</v>
      </c>
      <c r="P101" s="362" t="s">
        <v>288</v>
      </c>
      <c r="Q101" s="363" t="s">
        <v>289</v>
      </c>
      <c r="R101" s="360" t="s">
        <v>286</v>
      </c>
      <c r="S101" s="362" t="s">
        <v>287</v>
      </c>
      <c r="T101" s="362" t="s">
        <v>288</v>
      </c>
      <c r="U101" s="363" t="s">
        <v>289</v>
      </c>
      <c r="V101" s="361" t="s">
        <v>286</v>
      </c>
      <c r="W101" s="362" t="s">
        <v>287</v>
      </c>
      <c r="X101" s="362" t="s">
        <v>288</v>
      </c>
      <c r="Y101" s="363" t="s">
        <v>289</v>
      </c>
    </row>
    <row r="102" spans="1:25" ht="15.75" x14ac:dyDescent="0.25">
      <c r="A102" s="359" t="str">
        <f>'[16]HV Bus'!A2</f>
        <v>HV Business Customers</v>
      </c>
      <c r="B102" s="364"/>
      <c r="C102" s="364"/>
      <c r="D102" s="364"/>
      <c r="E102" s="364"/>
      <c r="F102" s="517"/>
      <c r="G102" s="521"/>
      <c r="H102" s="521"/>
      <c r="I102" s="522"/>
      <c r="J102" s="365"/>
      <c r="K102" s="364"/>
      <c r="L102" s="364"/>
      <c r="M102" s="367"/>
      <c r="N102" s="365"/>
      <c r="O102" s="364"/>
      <c r="P102" s="364"/>
      <c r="Q102" s="367"/>
      <c r="R102" s="365"/>
      <c r="S102" s="364"/>
      <c r="T102" s="364"/>
      <c r="U102" s="367"/>
      <c r="V102" s="366"/>
      <c r="W102" s="364"/>
      <c r="X102" s="364"/>
      <c r="Y102" s="367"/>
    </row>
    <row r="103" spans="1:25" x14ac:dyDescent="0.25">
      <c r="A103" s="368"/>
      <c r="B103" s="369" t="s">
        <v>104</v>
      </c>
      <c r="C103" s="370"/>
      <c r="D103" s="370"/>
      <c r="E103" s="370" t="s">
        <v>312</v>
      </c>
      <c r="F103" s="518"/>
      <c r="G103" s="523"/>
      <c r="H103" s="523"/>
      <c r="I103" s="524"/>
      <c r="J103" s="371"/>
      <c r="K103" s="370"/>
      <c r="L103" s="370"/>
      <c r="M103" s="373"/>
      <c r="N103" s="371"/>
      <c r="O103" s="370"/>
      <c r="P103" s="370"/>
      <c r="Q103" s="373"/>
      <c r="R103" s="371"/>
      <c r="S103" s="370"/>
      <c r="T103" s="370"/>
      <c r="U103" s="373"/>
      <c r="V103" s="372"/>
      <c r="W103" s="370"/>
      <c r="X103" s="370"/>
      <c r="Y103" s="373"/>
    </row>
    <row r="104" spans="1:25" x14ac:dyDescent="0.25">
      <c r="A104" s="374"/>
      <c r="C104" s="357" t="str">
        <f>'[16]HV Bus'!B98</f>
        <v>Customers/Supply Ch</v>
      </c>
      <c r="E104" s="357" t="s">
        <v>291</v>
      </c>
      <c r="F104" s="748">
        <f>'DUoS (t)'!$G$70*Days_Year</f>
        <v>15000.003500000001</v>
      </c>
      <c r="G104" s="749">
        <f>'TUoS (t)'!$G$70*Days_Year</f>
        <v>0</v>
      </c>
      <c r="H104" s="749">
        <f>'JSO (t)'!$G$70*Days_Year</f>
        <v>0</v>
      </c>
      <c r="I104" s="750">
        <f>SUM(F104:H104)</f>
        <v>15000.003500000001</v>
      </c>
      <c r="J104" s="412">
        <f>'[17]Price Schedule 5 year'!J104</f>
        <v>12982.5</v>
      </c>
      <c r="K104" s="414">
        <f>'[17]Price Schedule 5 year'!K104</f>
        <v>0</v>
      </c>
      <c r="L104" s="414">
        <f>'[17]Price Schedule 5 year'!L104</f>
        <v>0</v>
      </c>
      <c r="M104" s="415">
        <f>SUM(J104:L104)</f>
        <v>12982.5</v>
      </c>
      <c r="N104" s="412">
        <f>'[17]Price Schedule 5 year'!N104</f>
        <v>13263.435318727577</v>
      </c>
      <c r="O104" s="414">
        <f>'[17]Price Schedule 5 year'!O104</f>
        <v>0</v>
      </c>
      <c r="P104" s="414">
        <f>'[17]Price Schedule 5 year'!P104</f>
        <v>0</v>
      </c>
      <c r="Q104" s="415">
        <f>SUM(N104:P104)</f>
        <v>13263.435318727577</v>
      </c>
      <c r="R104" s="412">
        <f>'[17]Price Schedule 5 year'!R104</f>
        <v>13552.916320314198</v>
      </c>
      <c r="S104" s="414">
        <f>'[17]Price Schedule 5 year'!S104</f>
        <v>0</v>
      </c>
      <c r="T104" s="414">
        <f>'[17]Price Schedule 5 year'!T104</f>
        <v>0</v>
      </c>
      <c r="U104" s="415">
        <f>SUM(R104:T104)</f>
        <v>13552.916320314198</v>
      </c>
      <c r="V104" s="412">
        <f>'[17]Price Schedule 5 year'!V104</f>
        <v>13851.080479361111</v>
      </c>
      <c r="W104" s="414">
        <f>'[17]Price Schedule 5 year'!W104</f>
        <v>0</v>
      </c>
      <c r="X104" s="414">
        <f>'[17]Price Schedule 5 year'!X104</f>
        <v>0</v>
      </c>
      <c r="Y104" s="415">
        <f>SUM(V104:X104)</f>
        <v>13851.080479361111</v>
      </c>
    </row>
    <row r="105" spans="1:25" x14ac:dyDescent="0.25">
      <c r="A105" s="374"/>
      <c r="C105" s="357" t="str">
        <f>'[16]HV Bus'!B99</f>
        <v>Peak Annual Max Demand</v>
      </c>
      <c r="D105" s="357">
        <v>3</v>
      </c>
      <c r="E105" s="357" t="s">
        <v>707</v>
      </c>
      <c r="F105" s="745">
        <f>'DUoS (t)'!$S$70*Days_Year</f>
        <v>38.872500000000002</v>
      </c>
      <c r="G105" s="746">
        <f>'TUoS (t)'!$S$70*Days_Year</f>
        <v>39.529499999999999</v>
      </c>
      <c r="H105" s="746">
        <f>'JSO (t)'!$S$70*Days_Year</f>
        <v>0</v>
      </c>
      <c r="I105" s="747">
        <f>SUM(F105:H105)</f>
        <v>78.402000000000001</v>
      </c>
      <c r="J105" s="376">
        <f>'[17]Price Schedule 5 year'!J105</f>
        <v>33.700000000000003</v>
      </c>
      <c r="K105" s="378">
        <f>'[17]Price Schedule 5 year'!K105</f>
        <v>38.799999999999997</v>
      </c>
      <c r="L105" s="378">
        <f>'[17]Price Schedule 5 year'!L105</f>
        <v>0</v>
      </c>
      <c r="M105" s="379">
        <f>SUM(J105:L105)</f>
        <v>72.5</v>
      </c>
      <c r="N105" s="376">
        <f>'[17]Price Schedule 5 year'!N105</f>
        <v>34.4</v>
      </c>
      <c r="O105" s="378">
        <f>'[17]Price Schedule 5 year'!O105</f>
        <v>40.5</v>
      </c>
      <c r="P105" s="378">
        <f>'[17]Price Schedule 5 year'!P105</f>
        <v>0</v>
      </c>
      <c r="Q105" s="379">
        <f>SUM(N105:P105)</f>
        <v>74.900000000000006</v>
      </c>
      <c r="R105" s="376">
        <f>'[17]Price Schedule 5 year'!R105</f>
        <v>35.200000000000003</v>
      </c>
      <c r="S105" s="378">
        <f>'[17]Price Schedule 5 year'!S105</f>
        <v>42.4</v>
      </c>
      <c r="T105" s="378">
        <f>'[17]Price Schedule 5 year'!T105</f>
        <v>0</v>
      </c>
      <c r="U105" s="379">
        <f>SUM(R105:T105)</f>
        <v>77.599999999999994</v>
      </c>
      <c r="V105" s="376">
        <f>'[17]Price Schedule 5 year'!V105</f>
        <v>36</v>
      </c>
      <c r="W105" s="378">
        <f>'[17]Price Schedule 5 year'!W105</f>
        <v>44.4</v>
      </c>
      <c r="X105" s="378">
        <f>'[17]Price Schedule 5 year'!X105</f>
        <v>0</v>
      </c>
      <c r="Y105" s="379">
        <f>SUM(V105:X105)</f>
        <v>80.400000000000006</v>
      </c>
    </row>
    <row r="106" spans="1:25" x14ac:dyDescent="0.25">
      <c r="A106" s="374"/>
      <c r="C106" s="357" t="str">
        <f>'[16]HV Bus'!B100</f>
        <v>Anytime Actual Demand</v>
      </c>
      <c r="D106" s="357">
        <v>3</v>
      </c>
      <c r="E106" s="357" t="s">
        <v>707</v>
      </c>
      <c r="F106" s="745">
        <f>'DUoS (t)'!$T$70*Days_Year</f>
        <v>37.814</v>
      </c>
      <c r="G106" s="746">
        <f>'TUoS (t)'!$T$70*Days_Year</f>
        <v>0</v>
      </c>
      <c r="H106" s="746">
        <f>'JSO (t)'!$T$70*Days_Year</f>
        <v>0</v>
      </c>
      <c r="I106" s="747">
        <f>SUM(F106:H106)</f>
        <v>37.814</v>
      </c>
      <c r="J106" s="376">
        <f>'[17]Price Schedule 5 year'!J106</f>
        <v>32.700000000000003</v>
      </c>
      <c r="K106" s="378">
        <f>'[17]Price Schedule 5 year'!K106</f>
        <v>0</v>
      </c>
      <c r="L106" s="378">
        <f>'[17]Price Schedule 5 year'!L106</f>
        <v>0</v>
      </c>
      <c r="M106" s="379">
        <f>SUM(J106:L106)</f>
        <v>32.700000000000003</v>
      </c>
      <c r="N106" s="376">
        <f>'[17]Price Schedule 5 year'!N106</f>
        <v>33.4</v>
      </c>
      <c r="O106" s="378">
        <f>'[17]Price Schedule 5 year'!O106</f>
        <v>0</v>
      </c>
      <c r="P106" s="378">
        <f>'[17]Price Schedule 5 year'!P106</f>
        <v>0</v>
      </c>
      <c r="Q106" s="379">
        <f>SUM(N106:P106)</f>
        <v>33.4</v>
      </c>
      <c r="R106" s="376">
        <f>'[17]Price Schedule 5 year'!R106</f>
        <v>34.1</v>
      </c>
      <c r="S106" s="378">
        <f>'[17]Price Schedule 5 year'!S106</f>
        <v>0</v>
      </c>
      <c r="T106" s="378">
        <f>'[17]Price Schedule 5 year'!T106</f>
        <v>0</v>
      </c>
      <c r="U106" s="379">
        <f>SUM(R106:T106)</f>
        <v>34.1</v>
      </c>
      <c r="V106" s="376">
        <f>'[17]Price Schedule 5 year'!V106</f>
        <v>34.9</v>
      </c>
      <c r="W106" s="378">
        <f>'[17]Price Schedule 5 year'!W106</f>
        <v>0</v>
      </c>
      <c r="X106" s="378">
        <f>'[17]Price Schedule 5 year'!X106</f>
        <v>0</v>
      </c>
      <c r="Y106" s="379">
        <f>SUM(V106:X106)</f>
        <v>34.9</v>
      </c>
    </row>
    <row r="107" spans="1:25" x14ac:dyDescent="0.25">
      <c r="A107" s="374"/>
      <c r="C107" s="357" t="str">
        <f>'[16]HV Bus'!B101</f>
        <v>Peak Usage</v>
      </c>
      <c r="E107" s="357" t="s">
        <v>292</v>
      </c>
      <c r="F107" s="516">
        <f>'DUoS (t)'!$I$70</f>
        <v>2.3900000000000001E-2</v>
      </c>
      <c r="G107" s="525">
        <f>'TUoS (t)'!$I$70</f>
        <v>1.3100000000000001E-2</v>
      </c>
      <c r="H107" s="525">
        <f>'JSO (t)'!$I$70</f>
        <v>4.4000000000000003E-3</v>
      </c>
      <c r="I107" s="526">
        <f>SUM(F107:H107)</f>
        <v>4.1400000000000006E-2</v>
      </c>
      <c r="J107" s="391">
        <f>'[17]Price Schedule 5 year'!J107</f>
        <v>2.0772000000000002E-2</v>
      </c>
      <c r="K107" s="393">
        <f>'[17]Price Schedule 5 year'!K107</f>
        <v>1.2865366744909304E-2</v>
      </c>
      <c r="L107" s="393">
        <f>'[17]Price Schedule 5 year'!L107</f>
        <v>4.3334144808178524E-3</v>
      </c>
      <c r="M107" s="394">
        <f>SUM(J107:L107)</f>
        <v>3.7970781225727154E-2</v>
      </c>
      <c r="N107" s="391">
        <f>'[17]Price Schedule 5 year'!N107</f>
        <v>2.1221496509964126E-2</v>
      </c>
      <c r="O107" s="393">
        <f>'[17]Price Schedule 5 year'!O107</f>
        <v>1.3444308248430221E-2</v>
      </c>
      <c r="P107" s="393">
        <f>'[17]Price Schedule 5 year'!P107</f>
        <v>4.421930155655172E-3</v>
      </c>
      <c r="Q107" s="394">
        <f>SUM(N107:P107)</f>
        <v>3.9087734914049523E-2</v>
      </c>
      <c r="R107" s="391">
        <f>'[17]Price Schedule 5 year'!R107</f>
        <v>2.1684666112502717E-2</v>
      </c>
      <c r="S107" s="393">
        <f>'[17]Price Schedule 5 year'!S107</f>
        <v>1.4062746427858012E-2</v>
      </c>
      <c r="T107" s="393">
        <f>'[17]Price Schedule 5 year'!T107</f>
        <v>4.5147607947111923E-3</v>
      </c>
      <c r="U107" s="394">
        <f>SUM(R107:T107)</f>
        <v>4.026217333507192E-2</v>
      </c>
      <c r="V107" s="391">
        <f>'[17]Price Schedule 5 year'!V107</f>
        <v>2.2161728766977778E-2</v>
      </c>
      <c r="W107" s="393">
        <f>'[17]Price Schedule 5 year'!W107</f>
        <v>1.4709632763539482E-2</v>
      </c>
      <c r="X107" s="393">
        <f>'[17]Price Schedule 5 year'!X107</f>
        <v>4.6115726439539947E-3</v>
      </c>
      <c r="Y107" s="394">
        <f>SUM(V107:X107)</f>
        <v>4.1482934174471256E-2</v>
      </c>
    </row>
    <row r="108" spans="1:25" x14ac:dyDescent="0.25">
      <c r="A108" s="380"/>
      <c r="B108" s="382"/>
      <c r="C108" s="382" t="str">
        <f>'[16]HV Bus'!B102</f>
        <v>Off-Peak Usage</v>
      </c>
      <c r="D108" s="382"/>
      <c r="E108" s="382" t="s">
        <v>292</v>
      </c>
      <c r="F108" s="519">
        <f>'DUoS (t)'!$K$70</f>
        <v>1.49E-2</v>
      </c>
      <c r="G108" s="527">
        <f>'TUoS (t)'!$K$70</f>
        <v>8.2000000000000007E-3</v>
      </c>
      <c r="H108" s="527">
        <f>'JSO (t)'!$K$70</f>
        <v>2.8E-3</v>
      </c>
      <c r="I108" s="528">
        <f>SUM(F108:H108)</f>
        <v>2.5900000000000003E-2</v>
      </c>
      <c r="J108" s="383">
        <f>'[17]Price Schedule 5 year'!J108</f>
        <v>1.2982500000000001E-2</v>
      </c>
      <c r="K108" s="385">
        <f>'[17]Price Schedule 5 year'!K108</f>
        <v>8.040854215568315E-3</v>
      </c>
      <c r="L108" s="385">
        <f>'[17]Price Schedule 5 year'!L108</f>
        <v>2.7083840505111568E-3</v>
      </c>
      <c r="M108" s="386">
        <f>SUM(J108:L108)</f>
        <v>2.373173826607947E-2</v>
      </c>
      <c r="N108" s="383">
        <f>'[17]Price Schedule 5 year'!N108</f>
        <v>1.326343531872758E-2</v>
      </c>
      <c r="O108" s="385">
        <f>'[17]Price Schedule 5 year'!O108</f>
        <v>8.4026926552688893E-3</v>
      </c>
      <c r="P108" s="385">
        <f>'[17]Price Schedule 5 year'!P108</f>
        <v>2.7637063472844814E-3</v>
      </c>
      <c r="Q108" s="386">
        <f>SUM(N108:P108)</f>
        <v>2.4429834321280947E-2</v>
      </c>
      <c r="R108" s="383">
        <f>'[17]Price Schedule 5 year'!R108</f>
        <v>1.3552916320314199E-2</v>
      </c>
      <c r="S108" s="385">
        <f>'[17]Price Schedule 5 year'!S108</f>
        <v>8.7892165174112587E-3</v>
      </c>
      <c r="T108" s="385">
        <f>'[17]Price Schedule 5 year'!T108</f>
        <v>2.8217254966944939E-3</v>
      </c>
      <c r="U108" s="386">
        <f>SUM(R108:T108)</f>
        <v>2.5163858334419954E-2</v>
      </c>
      <c r="V108" s="383">
        <f>'[17]Price Schedule 5 year'!V108</f>
        <v>1.3851080479361112E-2</v>
      </c>
      <c r="W108" s="385">
        <f>'[17]Price Schedule 5 year'!W108</f>
        <v>9.1935204772121762E-3</v>
      </c>
      <c r="X108" s="385">
        <f>'[17]Price Schedule 5 year'!X108</f>
        <v>2.8822329024712451E-3</v>
      </c>
      <c r="Y108" s="386">
        <f>SUM(V108:X108)</f>
        <v>2.5926833859044533E-2</v>
      </c>
    </row>
    <row r="109" spans="1:25" x14ac:dyDescent="0.25">
      <c r="A109" s="368"/>
      <c r="B109" s="369" t="s">
        <v>317</v>
      </c>
      <c r="C109" s="370"/>
      <c r="D109" s="370"/>
      <c r="E109" s="370" t="s">
        <v>310</v>
      </c>
      <c r="F109" s="518"/>
      <c r="G109" s="523"/>
      <c r="H109" s="523"/>
      <c r="I109" s="524"/>
      <c r="J109" s="371"/>
      <c r="K109" s="370"/>
      <c r="L109" s="370"/>
      <c r="M109" s="373"/>
      <c r="N109" s="371"/>
      <c r="O109" s="370"/>
      <c r="P109" s="370"/>
      <c r="Q109" s="373"/>
      <c r="R109" s="371"/>
      <c r="S109" s="370"/>
      <c r="T109" s="370"/>
      <c r="U109" s="373"/>
      <c r="V109" s="371"/>
      <c r="W109" s="370"/>
      <c r="X109" s="370"/>
      <c r="Y109" s="373"/>
    </row>
    <row r="110" spans="1:25" x14ac:dyDescent="0.25">
      <c r="A110" s="374"/>
      <c r="C110" s="357" t="str">
        <f>'[16]HV Bus'!B90</f>
        <v>Customers/Supply Ch</v>
      </c>
      <c r="E110" s="357" t="s">
        <v>291</v>
      </c>
      <c r="F110" s="748">
        <f>'DUoS (t)'!$G$71*Days_Year</f>
        <v>15000.003500000001</v>
      </c>
      <c r="G110" s="749">
        <f>'TUoS (t)'!$G$71*Days_Year</f>
        <v>0</v>
      </c>
      <c r="H110" s="749">
        <f>'JSO (t)'!$G$71*Days_Year</f>
        <v>0</v>
      </c>
      <c r="I110" s="750">
        <f>SUM(F110:H110)</f>
        <v>15000.003500000001</v>
      </c>
      <c r="J110" s="412">
        <f>'[17]Price Schedule 5 year'!J110</f>
        <v>12982.5</v>
      </c>
      <c r="K110" s="414">
        <f>'[17]Price Schedule 5 year'!K110</f>
        <v>0</v>
      </c>
      <c r="L110" s="414">
        <f>'[17]Price Schedule 5 year'!L110</f>
        <v>0</v>
      </c>
      <c r="M110" s="415">
        <f>SUM(J110:L110)</f>
        <v>12982.5</v>
      </c>
      <c r="N110" s="412">
        <f>'[17]Price Schedule 5 year'!N110</f>
        <v>13263.435318727577</v>
      </c>
      <c r="O110" s="414">
        <f>'[17]Price Schedule 5 year'!O110</f>
        <v>0</v>
      </c>
      <c r="P110" s="414">
        <f>'[17]Price Schedule 5 year'!P110</f>
        <v>0</v>
      </c>
      <c r="Q110" s="415">
        <f>SUM(N110:P110)</f>
        <v>13263.435318727577</v>
      </c>
      <c r="R110" s="412">
        <f>'[17]Price Schedule 5 year'!R110</f>
        <v>13552.916320314198</v>
      </c>
      <c r="S110" s="414">
        <f>'[17]Price Schedule 5 year'!S110</f>
        <v>0</v>
      </c>
      <c r="T110" s="414">
        <f>'[17]Price Schedule 5 year'!T110</f>
        <v>0</v>
      </c>
      <c r="U110" s="415">
        <f>SUM(R110:T110)</f>
        <v>13552.916320314198</v>
      </c>
      <c r="V110" s="412">
        <f>'[17]Price Schedule 5 year'!V110</f>
        <v>13851.080479361111</v>
      </c>
      <c r="W110" s="414">
        <f>'[17]Price Schedule 5 year'!W110</f>
        <v>0</v>
      </c>
      <c r="X110" s="414">
        <f>'[17]Price Schedule 5 year'!X110</f>
        <v>0</v>
      </c>
      <c r="Y110" s="415">
        <f>SUM(V110:X110)</f>
        <v>13851.080479361111</v>
      </c>
    </row>
    <row r="111" spans="1:25" x14ac:dyDescent="0.25">
      <c r="A111" s="374"/>
      <c r="C111" s="357" t="str">
        <f>'[16]HV Bus'!B91</f>
        <v>Peak Actual Monthly Demand</v>
      </c>
      <c r="D111" s="357">
        <v>1</v>
      </c>
      <c r="E111" s="357" t="s">
        <v>706</v>
      </c>
      <c r="F111" s="745">
        <f>'DUoS (t)'!$P$71*Days_Summer_Demand/5</f>
        <v>11.663239999999998</v>
      </c>
      <c r="G111" s="746">
        <f>'TUoS (t)'!$P$71*Days_Summer_Demand/5</f>
        <v>11.85652</v>
      </c>
      <c r="H111" s="746">
        <f>'JSO (t)'!$P$71*Days_Summer_Demand/5</f>
        <v>0</v>
      </c>
      <c r="I111" s="747">
        <f>SUM(F111:H111)</f>
        <v>23.519759999999998</v>
      </c>
      <c r="J111" s="376">
        <f>'[17]Price Schedule 5 year'!J111</f>
        <v>10.110000000000001</v>
      </c>
      <c r="K111" s="378">
        <f>'[17]Price Schedule 5 year'!K111</f>
        <v>11.639999999999999</v>
      </c>
      <c r="L111" s="378">
        <f>'[17]Price Schedule 5 year'!L111</f>
        <v>0</v>
      </c>
      <c r="M111" s="379">
        <f>SUM(J111:L111)</f>
        <v>21.75</v>
      </c>
      <c r="N111" s="376">
        <f>'[17]Price Schedule 5 year'!N111</f>
        <v>10.319999999999999</v>
      </c>
      <c r="O111" s="378">
        <f>'[17]Price Schedule 5 year'!O111</f>
        <v>12.15</v>
      </c>
      <c r="P111" s="378">
        <f>'[17]Price Schedule 5 year'!P111</f>
        <v>0</v>
      </c>
      <c r="Q111" s="379">
        <f>SUM(N111:P111)</f>
        <v>22.47</v>
      </c>
      <c r="R111" s="376">
        <f>'[17]Price Schedule 5 year'!R111</f>
        <v>10.56</v>
      </c>
      <c r="S111" s="378">
        <f>'[17]Price Schedule 5 year'!S111</f>
        <v>12.719999999999999</v>
      </c>
      <c r="T111" s="378">
        <f>'[17]Price Schedule 5 year'!T111</f>
        <v>0</v>
      </c>
      <c r="U111" s="379">
        <f>SUM(R111:T111)</f>
        <v>23.28</v>
      </c>
      <c r="V111" s="376">
        <f>'[17]Price Schedule 5 year'!V111</f>
        <v>10.8</v>
      </c>
      <c r="W111" s="378">
        <f>'[17]Price Schedule 5 year'!W111</f>
        <v>13.319999999999999</v>
      </c>
      <c r="X111" s="378">
        <f>'[17]Price Schedule 5 year'!X111</f>
        <v>0</v>
      </c>
      <c r="Y111" s="379">
        <f>SUM(V111:X111)</f>
        <v>24.119999999999997</v>
      </c>
    </row>
    <row r="112" spans="1:25" x14ac:dyDescent="0.25">
      <c r="A112" s="374"/>
      <c r="C112" s="357" t="str">
        <f>'[16]HV Bus'!B92</f>
        <v>Anytime Actual Demand</v>
      </c>
      <c r="D112" s="357">
        <v>3</v>
      </c>
      <c r="E112" s="357" t="s">
        <v>298</v>
      </c>
      <c r="F112" s="745">
        <f>'DUoS (t)'!$T$71*Days_Year</f>
        <v>37.814</v>
      </c>
      <c r="G112" s="746">
        <f>'TUoS (t)'!$T$71*Days_Year</f>
        <v>0</v>
      </c>
      <c r="H112" s="746">
        <f>'JSO (t)'!$T$71*Days_Year</f>
        <v>0</v>
      </c>
      <c r="I112" s="747">
        <f>SUM(F112:H112)</f>
        <v>37.814</v>
      </c>
      <c r="J112" s="376">
        <f>'[17]Price Schedule 5 year'!J112</f>
        <v>32.700000000000003</v>
      </c>
      <c r="K112" s="378">
        <f>'[17]Price Schedule 5 year'!K112</f>
        <v>0</v>
      </c>
      <c r="L112" s="378">
        <f>'[17]Price Schedule 5 year'!L112</f>
        <v>0</v>
      </c>
      <c r="M112" s="379">
        <f>SUM(J112:L112)</f>
        <v>32.700000000000003</v>
      </c>
      <c r="N112" s="376">
        <f>'[17]Price Schedule 5 year'!N112</f>
        <v>33.4</v>
      </c>
      <c r="O112" s="378">
        <f>'[17]Price Schedule 5 year'!O112</f>
        <v>0</v>
      </c>
      <c r="P112" s="378">
        <f>'[17]Price Schedule 5 year'!P112</f>
        <v>0</v>
      </c>
      <c r="Q112" s="379">
        <f>SUM(N112:P112)</f>
        <v>33.4</v>
      </c>
      <c r="R112" s="376">
        <f>'[17]Price Schedule 5 year'!R112</f>
        <v>34.1</v>
      </c>
      <c r="S112" s="378">
        <f>'[17]Price Schedule 5 year'!S112</f>
        <v>0</v>
      </c>
      <c r="T112" s="378">
        <f>'[17]Price Schedule 5 year'!T112</f>
        <v>0</v>
      </c>
      <c r="U112" s="379">
        <f>SUM(R112:T112)</f>
        <v>34.1</v>
      </c>
      <c r="V112" s="376">
        <f>'[17]Price Schedule 5 year'!V112</f>
        <v>34.9</v>
      </c>
      <c r="W112" s="378">
        <f>'[17]Price Schedule 5 year'!W112</f>
        <v>0</v>
      </c>
      <c r="X112" s="378">
        <f>'[17]Price Schedule 5 year'!X112</f>
        <v>0</v>
      </c>
      <c r="Y112" s="379">
        <f>SUM(V112:X112)</f>
        <v>34.9</v>
      </c>
    </row>
    <row r="113" spans="1:25" x14ac:dyDescent="0.25">
      <c r="A113" s="374"/>
      <c r="C113" s="357" t="str">
        <f>'[16]HV Bus'!B93</f>
        <v>Peak Usage</v>
      </c>
      <c r="E113" s="357" t="s">
        <v>298</v>
      </c>
      <c r="F113" s="516">
        <f>'DUoS (t)'!$I$71</f>
        <v>2.3900000000000001E-2</v>
      </c>
      <c r="G113" s="525">
        <f>'TUoS (t)'!$I$71</f>
        <v>1.3100000000000001E-2</v>
      </c>
      <c r="H113" s="525">
        <f>'JSO (t)'!$I$71</f>
        <v>4.4000000000000003E-3</v>
      </c>
      <c r="I113" s="526">
        <f>SUM(F113:H113)</f>
        <v>4.1400000000000006E-2</v>
      </c>
      <c r="J113" s="391">
        <f>'[17]Price Schedule 5 year'!J113</f>
        <v>2.0772000000000002E-2</v>
      </c>
      <c r="K113" s="393">
        <f>'[17]Price Schedule 5 year'!K113</f>
        <v>1.2865366744909304E-2</v>
      </c>
      <c r="L113" s="393">
        <f>'[17]Price Schedule 5 year'!L113</f>
        <v>4.3334144808178524E-3</v>
      </c>
      <c r="M113" s="394">
        <f>SUM(J113:L113)</f>
        <v>3.7970781225727154E-2</v>
      </c>
      <c r="N113" s="391">
        <f>'[17]Price Schedule 5 year'!N113</f>
        <v>2.1221496509964126E-2</v>
      </c>
      <c r="O113" s="393">
        <f>'[17]Price Schedule 5 year'!O113</f>
        <v>1.3444308248430221E-2</v>
      </c>
      <c r="P113" s="393">
        <f>'[17]Price Schedule 5 year'!P113</f>
        <v>4.421930155655172E-3</v>
      </c>
      <c r="Q113" s="394">
        <f>SUM(N113:P113)</f>
        <v>3.9087734914049523E-2</v>
      </c>
      <c r="R113" s="391">
        <f>'[17]Price Schedule 5 year'!R113</f>
        <v>2.1684666112502717E-2</v>
      </c>
      <c r="S113" s="393">
        <f>'[17]Price Schedule 5 year'!S113</f>
        <v>1.4062746427858012E-2</v>
      </c>
      <c r="T113" s="393">
        <f>'[17]Price Schedule 5 year'!T113</f>
        <v>4.5147607947111923E-3</v>
      </c>
      <c r="U113" s="394">
        <f>SUM(R113:T113)</f>
        <v>4.026217333507192E-2</v>
      </c>
      <c r="V113" s="391">
        <f>'[17]Price Schedule 5 year'!V113</f>
        <v>2.2161728766977778E-2</v>
      </c>
      <c r="W113" s="393">
        <f>'[17]Price Schedule 5 year'!W113</f>
        <v>1.4709632763539482E-2</v>
      </c>
      <c r="X113" s="393">
        <f>'[17]Price Schedule 5 year'!X113</f>
        <v>4.6115726439539947E-3</v>
      </c>
      <c r="Y113" s="394">
        <f>SUM(V113:X113)</f>
        <v>4.1482934174471256E-2</v>
      </c>
    </row>
    <row r="114" spans="1:25" x14ac:dyDescent="0.25">
      <c r="A114" s="380"/>
      <c r="B114" s="382"/>
      <c r="C114" s="382" t="str">
        <f>'[16]HV Bus'!B94</f>
        <v>Off-Peak Usage</v>
      </c>
      <c r="D114" s="382"/>
      <c r="E114" s="382" t="s">
        <v>292</v>
      </c>
      <c r="F114" s="519">
        <f>'DUoS (t)'!$K$71</f>
        <v>1.49E-2</v>
      </c>
      <c r="G114" s="527">
        <f>'TUoS (t)'!$K$71</f>
        <v>8.2000000000000007E-3</v>
      </c>
      <c r="H114" s="527">
        <f>'JSO (t)'!$K$71</f>
        <v>2.8E-3</v>
      </c>
      <c r="I114" s="528">
        <f>SUM(F114:H114)</f>
        <v>2.5900000000000003E-2</v>
      </c>
      <c r="J114" s="383">
        <f>'[17]Price Schedule 5 year'!J114</f>
        <v>1.2982500000000001E-2</v>
      </c>
      <c r="K114" s="385">
        <f>'[17]Price Schedule 5 year'!K114</f>
        <v>8.040854215568315E-3</v>
      </c>
      <c r="L114" s="385">
        <f>'[17]Price Schedule 5 year'!L114</f>
        <v>2.7083840505111568E-3</v>
      </c>
      <c r="M114" s="386">
        <f>SUM(J114:L114)</f>
        <v>2.373173826607947E-2</v>
      </c>
      <c r="N114" s="383">
        <f>'[17]Price Schedule 5 year'!N114</f>
        <v>1.326343531872758E-2</v>
      </c>
      <c r="O114" s="385">
        <f>'[17]Price Schedule 5 year'!O114</f>
        <v>8.4026926552688893E-3</v>
      </c>
      <c r="P114" s="385">
        <f>'[17]Price Schedule 5 year'!P114</f>
        <v>2.7637063472844814E-3</v>
      </c>
      <c r="Q114" s="386">
        <f>SUM(N114:P114)</f>
        <v>2.4429834321280947E-2</v>
      </c>
      <c r="R114" s="383">
        <f>'[17]Price Schedule 5 year'!R114</f>
        <v>1.3552916320314199E-2</v>
      </c>
      <c r="S114" s="385">
        <f>'[17]Price Schedule 5 year'!S114</f>
        <v>8.7892165174112587E-3</v>
      </c>
      <c r="T114" s="385">
        <f>'[17]Price Schedule 5 year'!T114</f>
        <v>2.8217254966944939E-3</v>
      </c>
      <c r="U114" s="386">
        <f>SUM(R114:T114)</f>
        <v>2.5163858334419954E-2</v>
      </c>
      <c r="V114" s="383">
        <f>'[17]Price Schedule 5 year'!V114</f>
        <v>1.3851080479361112E-2</v>
      </c>
      <c r="W114" s="385">
        <f>'[17]Price Schedule 5 year'!W114</f>
        <v>9.1935204772121762E-3</v>
      </c>
      <c r="X114" s="385">
        <f>'[17]Price Schedule 5 year'!X114</f>
        <v>2.8822329024712451E-3</v>
      </c>
      <c r="Y114" s="386">
        <f>SUM(V114:X114)</f>
        <v>2.5926833859044533E-2</v>
      </c>
    </row>
    <row r="115" spans="1:25" x14ac:dyDescent="0.25">
      <c r="A115" s="368"/>
      <c r="B115" s="369" t="s">
        <v>318</v>
      </c>
      <c r="C115" s="370"/>
      <c r="D115" s="370"/>
      <c r="E115" s="370" t="s">
        <v>310</v>
      </c>
      <c r="F115" s="518"/>
      <c r="G115" s="523"/>
      <c r="H115" s="523"/>
      <c r="I115" s="524"/>
      <c r="J115" s="371"/>
      <c r="K115" s="370"/>
      <c r="L115" s="370"/>
      <c r="M115" s="373"/>
      <c r="N115" s="371"/>
      <c r="O115" s="370"/>
      <c r="P115" s="370"/>
      <c r="Q115" s="373"/>
      <c r="R115" s="371"/>
      <c r="S115" s="370"/>
      <c r="T115" s="370"/>
      <c r="U115" s="373"/>
      <c r="V115" s="371"/>
      <c r="W115" s="370"/>
      <c r="X115" s="370"/>
      <c r="Y115" s="373"/>
    </row>
    <row r="116" spans="1:25" x14ac:dyDescent="0.25">
      <c r="A116" s="374"/>
      <c r="C116" s="357" t="str">
        <f>'[16]HV Bus'!B106</f>
        <v>Customers/Supply Ch</v>
      </c>
      <c r="E116" s="357" t="s">
        <v>291</v>
      </c>
      <c r="F116" s="748">
        <f>'DUoS (t)'!$G$74*Days_Year</f>
        <v>2499.9945000000002</v>
      </c>
      <c r="G116" s="749">
        <f>'TUoS (t)'!$G$74*Days_Year</f>
        <v>0</v>
      </c>
      <c r="H116" s="749">
        <f>'JSO (t)'!$G$74*Days_Year</f>
        <v>0</v>
      </c>
      <c r="I116" s="750">
        <f>SUM(F116:H116)</f>
        <v>2499.9945000000002</v>
      </c>
      <c r="J116" s="412">
        <f>'[17]Price Schedule 5 year'!J116</f>
        <v>2328.9714420139926</v>
      </c>
      <c r="K116" s="414">
        <f>'[17]Price Schedule 5 year'!K116</f>
        <v>0</v>
      </c>
      <c r="L116" s="414">
        <f>'[17]Price Schedule 5 year'!L116</f>
        <v>0</v>
      </c>
      <c r="M116" s="415">
        <f>SUM(J116:L116)</f>
        <v>2328.9714420139926</v>
      </c>
      <c r="N116" s="412">
        <f>'[17]Price Schedule 5 year'!N116</f>
        <v>2384.9634734328779</v>
      </c>
      <c r="O116" s="414">
        <f>'[17]Price Schedule 5 year'!O116</f>
        <v>0</v>
      </c>
      <c r="P116" s="414">
        <f>'[17]Price Schedule 5 year'!P116</f>
        <v>0</v>
      </c>
      <c r="Q116" s="415">
        <f>SUM(N116:P116)</f>
        <v>2384.9634734328779</v>
      </c>
      <c r="R116" s="412">
        <f>'[17]Price Schedule 5 year'!R116</f>
        <v>2443.9913194003416</v>
      </c>
      <c r="S116" s="414">
        <f>'[17]Price Schedule 5 year'!S116</f>
        <v>0</v>
      </c>
      <c r="T116" s="414">
        <f>'[17]Price Schedule 5 year'!T116</f>
        <v>0</v>
      </c>
      <c r="U116" s="415">
        <f>SUM(R116:T116)</f>
        <v>2443.9913194003416</v>
      </c>
      <c r="V116" s="412">
        <f>'[17]Price Schedule 5 year'!V116</f>
        <v>2500.5986779072014</v>
      </c>
      <c r="W116" s="414">
        <f>'[17]Price Schedule 5 year'!W116</f>
        <v>0</v>
      </c>
      <c r="X116" s="414">
        <f>'[17]Price Schedule 5 year'!X116</f>
        <v>0</v>
      </c>
      <c r="Y116" s="415">
        <f>SUM(V116:X116)</f>
        <v>2500.5986779072014</v>
      </c>
    </row>
    <row r="117" spans="1:25" x14ac:dyDescent="0.25">
      <c r="A117" s="374"/>
      <c r="C117" s="357" t="str">
        <f>'[16]HV Bus'!B107</f>
        <v>Peak Annual Max Demand</v>
      </c>
      <c r="D117" s="357">
        <v>1</v>
      </c>
      <c r="E117" s="357" t="s">
        <v>298</v>
      </c>
      <c r="F117" s="745">
        <f>'DUoS (t)'!$S$74*Days_Year</f>
        <v>52.924999999999997</v>
      </c>
      <c r="G117" s="746">
        <f>'TUoS (t)'!$S$74*Days_Year</f>
        <v>39.529499999999999</v>
      </c>
      <c r="H117" s="746">
        <f>'JSO (t)'!$S$74*Days_Year</f>
        <v>0</v>
      </c>
      <c r="I117" s="747">
        <f>SUM(F117:H117)</f>
        <v>92.454499999999996</v>
      </c>
      <c r="J117" s="376">
        <f>'[17]Price Schedule 5 year'!J117</f>
        <v>49.3</v>
      </c>
      <c r="K117" s="378">
        <f>'[17]Price Schedule 5 year'!K117</f>
        <v>61.050000000000004</v>
      </c>
      <c r="L117" s="378">
        <f>'[17]Price Schedule 5 year'!L117</f>
        <v>0</v>
      </c>
      <c r="M117" s="379">
        <f>SUM(J117:L117)</f>
        <v>110.35</v>
      </c>
      <c r="N117" s="376">
        <f>'[17]Price Schedule 5 year'!N117</f>
        <v>50.5</v>
      </c>
      <c r="O117" s="378">
        <f>'[17]Price Schedule 5 year'!O117</f>
        <v>63.75</v>
      </c>
      <c r="P117" s="378">
        <f>'[17]Price Schedule 5 year'!P117</f>
        <v>0</v>
      </c>
      <c r="Q117" s="379">
        <f>SUM(N117:P117)</f>
        <v>114.25</v>
      </c>
      <c r="R117" s="376">
        <f>'[17]Price Schedule 5 year'!R117</f>
        <v>51.7</v>
      </c>
      <c r="S117" s="378">
        <f>'[17]Price Schedule 5 year'!S117</f>
        <v>66.75</v>
      </c>
      <c r="T117" s="378">
        <f>'[17]Price Schedule 5 year'!T117</f>
        <v>0</v>
      </c>
      <c r="U117" s="379">
        <f>SUM(R117:T117)</f>
        <v>118.45</v>
      </c>
      <c r="V117" s="376">
        <f>'[17]Price Schedule 5 year'!V117</f>
        <v>52.9</v>
      </c>
      <c r="W117" s="378">
        <f>'[17]Price Schedule 5 year'!W117</f>
        <v>69.75</v>
      </c>
      <c r="X117" s="378">
        <f>'[17]Price Schedule 5 year'!X117</f>
        <v>0</v>
      </c>
      <c r="Y117" s="379">
        <f>SUM(V117:X117)</f>
        <v>122.65</v>
      </c>
    </row>
    <row r="118" spans="1:25" x14ac:dyDescent="0.25">
      <c r="A118" s="374"/>
      <c r="C118" s="357" t="str">
        <f>'[16]HV Bus'!B108</f>
        <v>Anytime Actual Demand</v>
      </c>
      <c r="D118" s="357">
        <v>3</v>
      </c>
      <c r="E118" s="357" t="s">
        <v>298</v>
      </c>
      <c r="F118" s="745">
        <f>'DUoS (t)'!$T$74*Days_Year</f>
        <v>37.814</v>
      </c>
      <c r="G118" s="746">
        <f>'TUoS (t)'!$T$74*Days_Year</f>
        <v>0</v>
      </c>
      <c r="H118" s="746">
        <f>'JSO (t)'!$T$74*Days_Year</f>
        <v>0</v>
      </c>
      <c r="I118" s="747">
        <f>SUM(F118:H118)</f>
        <v>37.814</v>
      </c>
      <c r="J118" s="376">
        <f>'[17]Price Schedule 5 year'!J118</f>
        <v>35.200000000000003</v>
      </c>
      <c r="K118" s="378">
        <f>'[17]Price Schedule 5 year'!K118</f>
        <v>0</v>
      </c>
      <c r="L118" s="378">
        <f>'[17]Price Schedule 5 year'!L118</f>
        <v>0</v>
      </c>
      <c r="M118" s="379">
        <f>SUM(J118:L118)</f>
        <v>35.200000000000003</v>
      </c>
      <c r="N118" s="376">
        <f>'[17]Price Schedule 5 year'!N118</f>
        <v>36</v>
      </c>
      <c r="O118" s="378">
        <f>'[17]Price Schedule 5 year'!O118</f>
        <v>0</v>
      </c>
      <c r="P118" s="378">
        <f>'[17]Price Schedule 5 year'!P118</f>
        <v>0</v>
      </c>
      <c r="Q118" s="379">
        <f>SUM(N118:P118)</f>
        <v>36</v>
      </c>
      <c r="R118" s="376">
        <f>'[17]Price Schedule 5 year'!R118</f>
        <v>36.9</v>
      </c>
      <c r="S118" s="378">
        <f>'[17]Price Schedule 5 year'!S118</f>
        <v>0</v>
      </c>
      <c r="T118" s="378">
        <f>'[17]Price Schedule 5 year'!T118</f>
        <v>0</v>
      </c>
      <c r="U118" s="379">
        <f>SUM(R118:T118)</f>
        <v>36.9</v>
      </c>
      <c r="V118" s="376">
        <f>'[17]Price Schedule 5 year'!V118</f>
        <v>37.799999999999997</v>
      </c>
      <c r="W118" s="378">
        <f>'[17]Price Schedule 5 year'!W118</f>
        <v>0</v>
      </c>
      <c r="X118" s="378">
        <f>'[17]Price Schedule 5 year'!X118</f>
        <v>0</v>
      </c>
      <c r="Y118" s="379">
        <f>SUM(V118:X118)</f>
        <v>37.799999999999997</v>
      </c>
    </row>
    <row r="119" spans="1:25" x14ac:dyDescent="0.25">
      <c r="A119" s="374"/>
      <c r="C119" s="357" t="str">
        <f>'[16]HV Bus'!B109</f>
        <v>Peak Usage</v>
      </c>
      <c r="E119" s="357" t="s">
        <v>292</v>
      </c>
      <c r="F119" s="516">
        <f>'DUoS (t)'!$I$74</f>
        <v>4.2099999999999999E-2</v>
      </c>
      <c r="G119" s="525">
        <f>'TUoS (t)'!$I$74</f>
        <v>1.7600000000000001E-2</v>
      </c>
      <c r="H119" s="525">
        <f>'JSO (t)'!$I$74</f>
        <v>4.4000000000000003E-3</v>
      </c>
      <c r="I119" s="526">
        <f>SUM(F119:H119)</f>
        <v>6.4100000000000004E-2</v>
      </c>
      <c r="J119" s="391">
        <f>'[17]Price Schedule 5 year'!J119</f>
        <v>3.9201247311979527E-2</v>
      </c>
      <c r="K119" s="393">
        <f>'[17]Price Schedule 5 year'!K119</f>
        <v>1.8118444392542111E-2</v>
      </c>
      <c r="L119" s="393">
        <f>'[17]Price Schedule 5 year'!L119</f>
        <v>4.3334144808178524E-3</v>
      </c>
      <c r="M119" s="394">
        <f>SUM(J119:L119)</f>
        <v>6.1653106185339493E-2</v>
      </c>
      <c r="N119" s="391">
        <f>'[17]Price Schedule 5 year'!N119</f>
        <v>4.0143705184822208E-2</v>
      </c>
      <c r="O119" s="393">
        <f>'[17]Price Schedule 5 year'!O119</f>
        <v>1.8939209923524266E-2</v>
      </c>
      <c r="P119" s="393">
        <f>'[17]Price Schedule 5 year'!P119</f>
        <v>4.421930155655172E-3</v>
      </c>
      <c r="Q119" s="394">
        <f>SUM(N119:P119)</f>
        <v>6.3504845264001644E-2</v>
      </c>
      <c r="R119" s="391">
        <f>'[17]Price Schedule 5 year'!R119</f>
        <v>4.1137261888146558E-2</v>
      </c>
      <c r="S119" s="393">
        <f>'[17]Price Schedule 5 year'!S119</f>
        <v>1.9819518519055425E-2</v>
      </c>
      <c r="T119" s="393">
        <f>'[17]Price Schedule 5 year'!T119</f>
        <v>4.5147607947111923E-3</v>
      </c>
      <c r="U119" s="394">
        <f>SUM(R119:T119)</f>
        <v>6.5471541201913175E-2</v>
      </c>
      <c r="V119" s="391">
        <f>'[17]Price Schedule 5 year'!V119</f>
        <v>4.2090076946534022E-2</v>
      </c>
      <c r="W119" s="393">
        <f>'[17]Price Schedule 5 year'!W119</f>
        <v>2.0731216370931976E-2</v>
      </c>
      <c r="X119" s="393">
        <f>'[17]Price Schedule 5 year'!X119</f>
        <v>4.6115726439539947E-3</v>
      </c>
      <c r="Y119" s="394">
        <f>SUM(V119:X119)</f>
        <v>6.7432865961419994E-2</v>
      </c>
    </row>
    <row r="120" spans="1:25" x14ac:dyDescent="0.25">
      <c r="A120" s="380"/>
      <c r="B120" s="382"/>
      <c r="C120" s="382" t="str">
        <f>'[16]HV Bus'!B110</f>
        <v>Off-Peak Usage</v>
      </c>
      <c r="D120" s="382"/>
      <c r="E120" s="382" t="s">
        <v>292</v>
      </c>
      <c r="F120" s="519">
        <f>'DUoS (t)'!$K$74</f>
        <v>2.63E-2</v>
      </c>
      <c r="G120" s="527">
        <f>'TUoS (t)'!$K$74</f>
        <v>1.0999999999999999E-2</v>
      </c>
      <c r="H120" s="527">
        <f>'JSO (t)'!$K$74</f>
        <v>2.8E-3</v>
      </c>
      <c r="I120" s="528">
        <f>SUM(F120:H120)</f>
        <v>4.0099999999999997E-2</v>
      </c>
      <c r="J120" s="383">
        <f>'[17]Price Schedule 5 year'!J120</f>
        <v>2.4500779569987204E-2</v>
      </c>
      <c r="K120" s="385">
        <f>'[17]Price Schedule 5 year'!K120</f>
        <v>1.1324027745338821E-2</v>
      </c>
      <c r="L120" s="385">
        <f>'[17]Price Schedule 5 year'!L120</f>
        <v>2.7083840505111568E-3</v>
      </c>
      <c r="M120" s="386">
        <f>SUM(J120:L120)</f>
        <v>3.8533191365837181E-2</v>
      </c>
      <c r="N120" s="383">
        <f>'[17]Price Schedule 5 year'!N120</f>
        <v>2.5089815740513877E-2</v>
      </c>
      <c r="O120" s="385">
        <f>'[17]Price Schedule 5 year'!O120</f>
        <v>1.1837006202202668E-2</v>
      </c>
      <c r="P120" s="385">
        <f>'[17]Price Schedule 5 year'!P120</f>
        <v>2.7637063472844814E-3</v>
      </c>
      <c r="Q120" s="386">
        <f>SUM(N120:P120)</f>
        <v>3.9690528290001026E-2</v>
      </c>
      <c r="R120" s="383">
        <f>'[17]Price Schedule 5 year'!R120</f>
        <v>2.5710788680091596E-2</v>
      </c>
      <c r="S120" s="385">
        <f>'[17]Price Schedule 5 year'!S120</f>
        <v>1.2387199074409643E-2</v>
      </c>
      <c r="T120" s="385">
        <f>'[17]Price Schedule 5 year'!T120</f>
        <v>2.8217254966944939E-3</v>
      </c>
      <c r="U120" s="386">
        <f>SUM(R120:T120)</f>
        <v>4.0919713251195734E-2</v>
      </c>
      <c r="V120" s="383">
        <f>'[17]Price Schedule 5 year'!V120</f>
        <v>2.6306298091583764E-2</v>
      </c>
      <c r="W120" s="385">
        <f>'[17]Price Schedule 5 year'!W120</f>
        <v>1.2957010231832487E-2</v>
      </c>
      <c r="X120" s="385">
        <f>'[17]Price Schedule 5 year'!X120</f>
        <v>2.8822329024712451E-3</v>
      </c>
      <c r="Y120" s="386">
        <f>SUM(V120:X120)</f>
        <v>4.2145541225887491E-2</v>
      </c>
    </row>
    <row r="121" spans="1:25" x14ac:dyDescent="0.25">
      <c r="A121" s="368"/>
      <c r="B121" s="369" t="str">
        <f>'[16]HV Bus'!B68</f>
        <v>HV Business Actual Demand</v>
      </c>
      <c r="C121" s="370"/>
      <c r="D121" s="370"/>
      <c r="E121" s="370" t="s">
        <v>290</v>
      </c>
      <c r="F121" s="518"/>
      <c r="G121" s="523"/>
      <c r="H121" s="523"/>
      <c r="I121" s="524"/>
      <c r="J121" s="371"/>
      <c r="K121" s="370"/>
      <c r="L121" s="370"/>
      <c r="M121" s="373"/>
      <c r="N121" s="371"/>
      <c r="O121" s="370"/>
      <c r="P121" s="370"/>
      <c r="Q121" s="373"/>
      <c r="R121" s="371"/>
      <c r="S121" s="370"/>
      <c r="T121" s="370"/>
      <c r="U121" s="373"/>
      <c r="V121" s="371"/>
      <c r="W121" s="370"/>
      <c r="X121" s="370"/>
      <c r="Y121" s="373"/>
    </row>
    <row r="122" spans="1:25" x14ac:dyDescent="0.25">
      <c r="A122" s="374"/>
      <c r="C122" s="357" t="str">
        <f>'[16]HV Bus'!B69</f>
        <v>Customers/Supply Ch</v>
      </c>
      <c r="E122" s="357" t="s">
        <v>291</v>
      </c>
      <c r="F122" s="748">
        <f>'DUoS (t)'!$G$73*Days_Year</f>
        <v>999.9905</v>
      </c>
      <c r="G122" s="749">
        <f>'TUoS (t)'!$G$73*Days_Year</f>
        <v>0</v>
      </c>
      <c r="H122" s="749">
        <f>'JSO (t)'!$G$73*Days_Year</f>
        <v>0</v>
      </c>
      <c r="I122" s="750">
        <f>SUM(F122:H122)</f>
        <v>999.9905</v>
      </c>
      <c r="J122" s="376">
        <f>'[17]Price Schedule 5 year'!J122</f>
        <v>1999.9967999999999</v>
      </c>
      <c r="K122" s="378">
        <f>'[17]Price Schedule 5 year'!K122</f>
        <v>0</v>
      </c>
      <c r="L122" s="378">
        <f>'[17]Price Schedule 5 year'!L122</f>
        <v>0</v>
      </c>
      <c r="M122" s="379">
        <f>SUM(J122:L122)</f>
        <v>1999.9967999999999</v>
      </c>
      <c r="N122" s="376">
        <f>'[17]Price Schedule 5 year'!N122</f>
        <v>2999.9967999999999</v>
      </c>
      <c r="O122" s="378">
        <f>'[17]Price Schedule 5 year'!O122</f>
        <v>0</v>
      </c>
      <c r="P122" s="378">
        <f>'[17]Price Schedule 5 year'!P122</f>
        <v>0</v>
      </c>
      <c r="Q122" s="379">
        <f>SUM(N122:P122)</f>
        <v>2999.9967999999999</v>
      </c>
      <c r="R122" s="376">
        <f>'[17]Price Schedule 5 year'!R122</f>
        <v>3999.9967999999999</v>
      </c>
      <c r="S122" s="378">
        <f>'[17]Price Schedule 5 year'!S122</f>
        <v>0</v>
      </c>
      <c r="T122" s="378">
        <f>'[17]Price Schedule 5 year'!T122</f>
        <v>0</v>
      </c>
      <c r="U122" s="379">
        <f>SUM(R122:T122)</f>
        <v>3999.9967999999999</v>
      </c>
      <c r="V122" s="376">
        <f>'[17]Price Schedule 5 year'!V122</f>
        <v>4999.9967999999999</v>
      </c>
      <c r="W122" s="378">
        <f>'[17]Price Schedule 5 year'!W122</f>
        <v>0</v>
      </c>
      <c r="X122" s="378">
        <f>'[17]Price Schedule 5 year'!X122</f>
        <v>0</v>
      </c>
      <c r="Y122" s="379">
        <f>SUM(V122:X122)</f>
        <v>4999.9967999999999</v>
      </c>
    </row>
    <row r="123" spans="1:25" x14ac:dyDescent="0.25">
      <c r="A123" s="374"/>
      <c r="C123" s="357" t="str">
        <f>'[16]HV Bus'!B70</f>
        <v>Peak Actual Demand</v>
      </c>
      <c r="D123" s="357">
        <v>1</v>
      </c>
      <c r="E123" s="357" t="s">
        <v>299</v>
      </c>
      <c r="F123" s="745">
        <f>'DUoS (t)'!$Q$73*Days_Summer_Demand/5</f>
        <v>9.3438800000000004</v>
      </c>
      <c r="G123" s="746">
        <f>'TUoS (t)'!$Q$73*Days_Summer_Demand/5</f>
        <v>2.6213600000000001</v>
      </c>
      <c r="H123" s="746">
        <f>'JSO (t)'!$Q$73*Days_Summer_Demand/5</f>
        <v>0</v>
      </c>
      <c r="I123" s="747">
        <f>SUM(F123:H123)</f>
        <v>11.965240000000001</v>
      </c>
      <c r="J123" s="376">
        <f>'[17]Price Schedule 5 year'!J123</f>
        <v>9.3449600000000004</v>
      </c>
      <c r="K123" s="378">
        <f>'[17]Price Schedule 5 year'!K123</f>
        <v>2.6204799999999997</v>
      </c>
      <c r="L123" s="378">
        <f>'[17]Price Schedule 5 year'!L123</f>
        <v>0</v>
      </c>
      <c r="M123" s="379">
        <f>SUM(J123:L123)</f>
        <v>11.965440000000001</v>
      </c>
      <c r="N123" s="376">
        <f>'[17]Price Schedule 5 year'!N123</f>
        <v>9.3449600000000004</v>
      </c>
      <c r="O123" s="378">
        <f>'[17]Price Schedule 5 year'!O123</f>
        <v>2.6204799999999997</v>
      </c>
      <c r="P123" s="378">
        <f>'[17]Price Schedule 5 year'!P123</f>
        <v>0</v>
      </c>
      <c r="Q123" s="379">
        <f>SUM(N123:P123)</f>
        <v>11.965440000000001</v>
      </c>
      <c r="R123" s="376">
        <f>'[17]Price Schedule 5 year'!R123</f>
        <v>9.3449600000000004</v>
      </c>
      <c r="S123" s="378">
        <f>'[17]Price Schedule 5 year'!S123</f>
        <v>2.6204799999999997</v>
      </c>
      <c r="T123" s="378">
        <f>'[17]Price Schedule 5 year'!T123</f>
        <v>0</v>
      </c>
      <c r="U123" s="379">
        <f>SUM(R123:T123)</f>
        <v>11.965440000000001</v>
      </c>
      <c r="V123" s="376">
        <f>'[17]Price Schedule 5 year'!V123</f>
        <v>9.3449600000000004</v>
      </c>
      <c r="W123" s="378">
        <f>'[17]Price Schedule 5 year'!W123</f>
        <v>2.6204799999999997</v>
      </c>
      <c r="X123" s="378">
        <f>'[17]Price Schedule 5 year'!X123</f>
        <v>0</v>
      </c>
      <c r="Y123" s="379">
        <f>SUM(V123:X123)</f>
        <v>11.965440000000001</v>
      </c>
    </row>
    <row r="124" spans="1:25" x14ac:dyDescent="0.25">
      <c r="A124" s="374"/>
      <c r="C124" s="357" t="str">
        <f>'[16]HV Bus'!B71</f>
        <v>Shoulder Actual Demand</v>
      </c>
      <c r="D124" s="357">
        <v>2</v>
      </c>
      <c r="E124" s="357" t="s">
        <v>299</v>
      </c>
      <c r="F124" s="745">
        <f>'DUoS (t)'!$R$73*Days_Year/12</f>
        <v>4.6567916666666669</v>
      </c>
      <c r="G124" s="746">
        <f>'TUoS (t)'!$R$73*Days_Year/12</f>
        <v>1.304875</v>
      </c>
      <c r="H124" s="746">
        <f>'JSO (t)'!$R$73*Days_Year/12</f>
        <v>0</v>
      </c>
      <c r="I124" s="747">
        <f>SUM(F124:H124)</f>
        <v>5.9616666666666669</v>
      </c>
      <c r="J124" s="376">
        <f>'[17]Price Schedule 5 year'!J124</f>
        <v>4.6573500000000001</v>
      </c>
      <c r="K124" s="378">
        <f>'[17]Price Schedule 5 year'!K124</f>
        <v>1.3053999999999999</v>
      </c>
      <c r="L124" s="378">
        <f>'[17]Price Schedule 5 year'!L124</f>
        <v>0</v>
      </c>
      <c r="M124" s="379">
        <f>SUM(J124:L124)</f>
        <v>5.9627499999999998</v>
      </c>
      <c r="N124" s="376">
        <f>'[17]Price Schedule 5 year'!N124</f>
        <v>4.6573500000000001</v>
      </c>
      <c r="O124" s="378">
        <f>'[17]Price Schedule 5 year'!O124</f>
        <v>1.3053999999999999</v>
      </c>
      <c r="P124" s="378">
        <f>'[17]Price Schedule 5 year'!P124</f>
        <v>0</v>
      </c>
      <c r="Q124" s="379">
        <f>SUM(N124:P124)</f>
        <v>5.9627499999999998</v>
      </c>
      <c r="R124" s="376">
        <f>'[17]Price Schedule 5 year'!R124</f>
        <v>4.6573500000000001</v>
      </c>
      <c r="S124" s="378">
        <f>'[17]Price Schedule 5 year'!S124</f>
        <v>1.3053999999999999</v>
      </c>
      <c r="T124" s="378">
        <f>'[17]Price Schedule 5 year'!T124</f>
        <v>0</v>
      </c>
      <c r="U124" s="379">
        <f>SUM(R124:T124)</f>
        <v>5.9627499999999998</v>
      </c>
      <c r="V124" s="376">
        <f>'[17]Price Schedule 5 year'!V124</f>
        <v>4.6573500000000001</v>
      </c>
      <c r="W124" s="378">
        <f>'[17]Price Schedule 5 year'!W124</f>
        <v>1.3053999999999999</v>
      </c>
      <c r="X124" s="378">
        <f>'[17]Price Schedule 5 year'!X124</f>
        <v>0</v>
      </c>
      <c r="Y124" s="379">
        <f>SUM(V124:X124)</f>
        <v>5.9627499999999998</v>
      </c>
    </row>
    <row r="125" spans="1:25" x14ac:dyDescent="0.25">
      <c r="A125" s="380"/>
      <c r="B125" s="382"/>
      <c r="C125" s="382" t="str">
        <f>'[16]HV Bus'!B72</f>
        <v>Usage</v>
      </c>
      <c r="D125" s="382"/>
      <c r="E125" s="382" t="s">
        <v>292</v>
      </c>
      <c r="F125" s="519">
        <f>'DUoS (t)'!$H$73</f>
        <v>5.1499999999999997E-2</v>
      </c>
      <c r="G125" s="527">
        <f>'TUoS (t)'!$H$73</f>
        <v>2.0299999999999999E-2</v>
      </c>
      <c r="H125" s="527">
        <f>'JSO (t)'!$H$73</f>
        <v>3.5999999999999999E-3</v>
      </c>
      <c r="I125" s="528">
        <f>SUM(F125:H125)</f>
        <v>7.5400000000000009E-2</v>
      </c>
      <c r="J125" s="383">
        <f>'[17]Price Schedule 5 year'!J125</f>
        <v>5.8699999999999995E-2</v>
      </c>
      <c r="K125" s="385">
        <f>'[17]Price Schedule 5 year'!K125</f>
        <v>2.3100000000000002E-2</v>
      </c>
      <c r="L125" s="385">
        <f>'[17]Price Schedule 5 year'!L125</f>
        <v>3.5999999999999999E-3</v>
      </c>
      <c r="M125" s="386">
        <f>SUM(J125:L125)</f>
        <v>8.5400000000000004E-2</v>
      </c>
      <c r="N125" s="383">
        <f>'[17]Price Schedule 5 year'!N125</f>
        <v>6.59E-2</v>
      </c>
      <c r="O125" s="385">
        <f>'[17]Price Schedule 5 year'!O125</f>
        <v>2.5900000000000003E-2</v>
      </c>
      <c r="P125" s="385">
        <f>'[17]Price Schedule 5 year'!P125</f>
        <v>3.5999999999999999E-3</v>
      </c>
      <c r="Q125" s="386">
        <f>SUM(N125:P125)</f>
        <v>9.5400000000000013E-2</v>
      </c>
      <c r="R125" s="383">
        <f>'[17]Price Schedule 5 year'!R125</f>
        <v>7.3099999999999998E-2</v>
      </c>
      <c r="S125" s="385">
        <f>'[17]Price Schedule 5 year'!S125</f>
        <v>2.8700000000000003E-2</v>
      </c>
      <c r="T125" s="385">
        <f>'[17]Price Schedule 5 year'!T125</f>
        <v>3.5999999999999999E-3</v>
      </c>
      <c r="U125" s="386">
        <f>SUM(R125:T125)</f>
        <v>0.10540000000000001</v>
      </c>
      <c r="V125" s="383">
        <f>'[17]Price Schedule 5 year'!V125</f>
        <v>8.0299999999999996E-2</v>
      </c>
      <c r="W125" s="385">
        <f>'[17]Price Schedule 5 year'!W125</f>
        <v>3.15E-2</v>
      </c>
      <c r="X125" s="385">
        <f>'[17]Price Schedule 5 year'!X125</f>
        <v>3.5999999999999999E-3</v>
      </c>
      <c r="Y125" s="386">
        <f>SUM(V125:X125)</f>
        <v>0.1154</v>
      </c>
    </row>
    <row r="126" spans="1:25" x14ac:dyDescent="0.25">
      <c r="A126" s="368"/>
      <c r="B126" s="369" t="str">
        <f>'[16]HV Bus'!B145</f>
        <v>HV Bus Generation Supplies</v>
      </c>
      <c r="C126" s="370"/>
      <c r="D126" s="370"/>
      <c r="E126" s="370" t="s">
        <v>313</v>
      </c>
      <c r="F126" s="518"/>
      <c r="G126" s="523"/>
      <c r="H126" s="523"/>
      <c r="I126" s="524"/>
      <c r="J126" s="371"/>
      <c r="K126" s="370"/>
      <c r="L126" s="370"/>
      <c r="M126" s="373"/>
      <c r="N126" s="371"/>
      <c r="O126" s="370"/>
      <c r="P126" s="370"/>
      <c r="Q126" s="373"/>
      <c r="R126" s="371"/>
      <c r="S126" s="370"/>
      <c r="T126" s="370"/>
      <c r="U126" s="373"/>
      <c r="V126" s="371"/>
      <c r="W126" s="370"/>
      <c r="X126" s="370"/>
      <c r="Y126" s="373"/>
    </row>
    <row r="127" spans="1:25" x14ac:dyDescent="0.25">
      <c r="A127" s="374"/>
      <c r="C127" s="357" t="str">
        <f>'[16]HV Bus'!B146</f>
        <v>Customers/Supply Ch</v>
      </c>
      <c r="E127" s="357" t="s">
        <v>291</v>
      </c>
      <c r="F127" s="787">
        <f>'DUoS (t)'!$G$75*Days_Year</f>
        <v>0</v>
      </c>
      <c r="G127" s="788">
        <f>'TUoS (t)'!$G$75*Days_Year</f>
        <v>0</v>
      </c>
      <c r="H127" s="788">
        <f>'JSO (t)'!$G$75*Days_Year</f>
        <v>0</v>
      </c>
      <c r="I127" s="789">
        <f>SUM(F127:H127)</f>
        <v>0</v>
      </c>
      <c r="J127" s="416">
        <f>'[17]Price Schedule 5 year'!J127</f>
        <v>0</v>
      </c>
      <c r="K127" s="414">
        <f>'[17]Price Schedule 5 year'!K127</f>
        <v>0</v>
      </c>
      <c r="L127" s="414">
        <f>'[17]Price Schedule 5 year'!L127</f>
        <v>0</v>
      </c>
      <c r="M127" s="415">
        <f>SUM(J127:L127)</f>
        <v>0</v>
      </c>
      <c r="N127" s="416">
        <f>'[17]Price Schedule 5 year'!N127</f>
        <v>0</v>
      </c>
      <c r="O127" s="414">
        <f>'[17]Price Schedule 5 year'!O127</f>
        <v>0</v>
      </c>
      <c r="P127" s="414">
        <f>'[17]Price Schedule 5 year'!P127</f>
        <v>0</v>
      </c>
      <c r="Q127" s="415">
        <f>SUM(N127:P127)</f>
        <v>0</v>
      </c>
      <c r="R127" s="416">
        <f>'[17]Price Schedule 5 year'!R127</f>
        <v>0</v>
      </c>
      <c r="S127" s="414">
        <f>'[17]Price Schedule 5 year'!S127</f>
        <v>0</v>
      </c>
      <c r="T127" s="414">
        <f>'[17]Price Schedule 5 year'!T127</f>
        <v>0</v>
      </c>
      <c r="U127" s="415">
        <f>SUM(R127:T127)</f>
        <v>0</v>
      </c>
      <c r="V127" s="416">
        <f>'[17]Price Schedule 5 year'!V127</f>
        <v>0</v>
      </c>
      <c r="W127" s="414">
        <f>'[17]Price Schedule 5 year'!W127</f>
        <v>0</v>
      </c>
      <c r="X127" s="414">
        <f>'[17]Price Schedule 5 year'!X127</f>
        <v>0</v>
      </c>
      <c r="Y127" s="415">
        <f>SUM(V127:X127)</f>
        <v>0</v>
      </c>
    </row>
    <row r="128" spans="1:25" x14ac:dyDescent="0.25">
      <c r="A128" s="374"/>
      <c r="C128" s="357" t="str">
        <f>'[16]HV Bus'!B147</f>
        <v>Peak Annual Max Demand</v>
      </c>
      <c r="D128" s="357">
        <v>4</v>
      </c>
      <c r="E128" s="357" t="s">
        <v>298</v>
      </c>
      <c r="F128" s="745">
        <f>'DUoS (t)'!$U$75*Days_Year</f>
        <v>0</v>
      </c>
      <c r="G128" s="746">
        <f>'TUoS (t)'!$U$75*Days_Year</f>
        <v>0</v>
      </c>
      <c r="H128" s="746">
        <f>'JSO (t)'!$U$75*Days_Year</f>
        <v>0</v>
      </c>
      <c r="I128" s="747">
        <f>SUM(F128:H128)</f>
        <v>0</v>
      </c>
      <c r="J128" s="416">
        <f>'[17]Price Schedule 5 year'!J128</f>
        <v>33.700000000000003</v>
      </c>
      <c r="K128" s="378">
        <f>'[17]Price Schedule 5 year'!K128</f>
        <v>38.799999999999997</v>
      </c>
      <c r="L128" s="378">
        <f>'[17]Price Schedule 5 year'!L128</f>
        <v>0</v>
      </c>
      <c r="M128" s="379">
        <f>SUM(J128:L128)</f>
        <v>72.5</v>
      </c>
      <c r="N128" s="416">
        <f>'[17]Price Schedule 5 year'!N128</f>
        <v>34.4</v>
      </c>
      <c r="O128" s="378">
        <f>'[17]Price Schedule 5 year'!O128</f>
        <v>40.5</v>
      </c>
      <c r="P128" s="378">
        <f>'[17]Price Schedule 5 year'!P128</f>
        <v>0</v>
      </c>
      <c r="Q128" s="379">
        <f>SUM(N128:P128)</f>
        <v>74.900000000000006</v>
      </c>
      <c r="R128" s="416">
        <f>'[17]Price Schedule 5 year'!R128</f>
        <v>35.200000000000003</v>
      </c>
      <c r="S128" s="378">
        <f>'[17]Price Schedule 5 year'!S128</f>
        <v>42.4</v>
      </c>
      <c r="T128" s="378">
        <f>'[17]Price Schedule 5 year'!T128</f>
        <v>0</v>
      </c>
      <c r="U128" s="379">
        <f>SUM(R128:T128)</f>
        <v>77.599999999999994</v>
      </c>
      <c r="V128" s="416">
        <f>'[17]Price Schedule 5 year'!V128</f>
        <v>36</v>
      </c>
      <c r="W128" s="378">
        <f>'[17]Price Schedule 5 year'!W128</f>
        <v>44.4</v>
      </c>
      <c r="X128" s="378">
        <f>'[17]Price Schedule 5 year'!X128</f>
        <v>0</v>
      </c>
      <c r="Y128" s="379">
        <f>SUM(V128:X128)</f>
        <v>80.400000000000006</v>
      </c>
    </row>
    <row r="129" spans="1:25" x14ac:dyDescent="0.25">
      <c r="A129" s="374"/>
      <c r="C129" s="357" t="str">
        <f>'[16]HV Bus'!B148</f>
        <v>Anytime Actual Demand</v>
      </c>
      <c r="D129" s="357">
        <v>4</v>
      </c>
      <c r="E129" s="357" t="s">
        <v>298</v>
      </c>
      <c r="F129" s="745">
        <f>'DUoS (t)'!$V$75*Days_Year</f>
        <v>0</v>
      </c>
      <c r="G129" s="746">
        <f>'TUoS (t)'!$V$75*Days_Year</f>
        <v>0</v>
      </c>
      <c r="H129" s="746">
        <f>'JSO (t)'!$V$75*Days_Year</f>
        <v>0</v>
      </c>
      <c r="I129" s="747">
        <f>SUM(F129:H129)</f>
        <v>0</v>
      </c>
      <c r="J129" s="416">
        <f>'[17]Price Schedule 5 year'!J129</f>
        <v>32.700000000000003</v>
      </c>
      <c r="K129" s="378">
        <f>'[17]Price Schedule 5 year'!K129</f>
        <v>0</v>
      </c>
      <c r="L129" s="378">
        <f>'[17]Price Schedule 5 year'!L129</f>
        <v>0</v>
      </c>
      <c r="M129" s="379">
        <f>SUM(J129:L129)</f>
        <v>32.700000000000003</v>
      </c>
      <c r="N129" s="416">
        <f>'[17]Price Schedule 5 year'!N129</f>
        <v>33.4</v>
      </c>
      <c r="O129" s="378">
        <f>'[17]Price Schedule 5 year'!O129</f>
        <v>0</v>
      </c>
      <c r="P129" s="378">
        <f>'[17]Price Schedule 5 year'!P129</f>
        <v>0</v>
      </c>
      <c r="Q129" s="379">
        <f>SUM(N129:P129)</f>
        <v>33.4</v>
      </c>
      <c r="R129" s="416">
        <f>'[17]Price Schedule 5 year'!R129</f>
        <v>34.1</v>
      </c>
      <c r="S129" s="378">
        <f>'[17]Price Schedule 5 year'!S129</f>
        <v>0</v>
      </c>
      <c r="T129" s="378">
        <f>'[17]Price Schedule 5 year'!T129</f>
        <v>0</v>
      </c>
      <c r="U129" s="379">
        <f>SUM(R129:T129)</f>
        <v>34.1</v>
      </c>
      <c r="V129" s="416">
        <f>'[17]Price Schedule 5 year'!V129</f>
        <v>34.9</v>
      </c>
      <c r="W129" s="378">
        <f>'[17]Price Schedule 5 year'!W129</f>
        <v>0</v>
      </c>
      <c r="X129" s="378">
        <f>'[17]Price Schedule 5 year'!X129</f>
        <v>0</v>
      </c>
      <c r="Y129" s="379">
        <f>SUM(V129:X129)</f>
        <v>34.9</v>
      </c>
    </row>
    <row r="130" spans="1:25" x14ac:dyDescent="0.25">
      <c r="A130" s="374"/>
      <c r="C130" s="357" t="str">
        <f>'[16]HV Bus'!B149</f>
        <v>Peak Usage</v>
      </c>
      <c r="E130" s="357" t="s">
        <v>292</v>
      </c>
      <c r="F130" s="516"/>
      <c r="G130" s="525"/>
      <c r="H130" s="525"/>
      <c r="I130" s="526">
        <f>SUM(F130:H130)</f>
        <v>0</v>
      </c>
      <c r="J130" s="391">
        <f>'[17]Price Schedule 5 year'!J130</f>
        <v>0</v>
      </c>
      <c r="K130" s="393">
        <f>'[17]Price Schedule 5 year'!K130</f>
        <v>0</v>
      </c>
      <c r="L130" s="393">
        <f>'[17]Price Schedule 5 year'!L130</f>
        <v>0</v>
      </c>
      <c r="M130" s="394">
        <f>SUM(J130:L130)</f>
        <v>0</v>
      </c>
      <c r="N130" s="391">
        <f>'[17]Price Schedule 5 year'!N130</f>
        <v>0</v>
      </c>
      <c r="O130" s="393">
        <f>'[17]Price Schedule 5 year'!O130</f>
        <v>0</v>
      </c>
      <c r="P130" s="393">
        <f>'[17]Price Schedule 5 year'!P130</f>
        <v>0</v>
      </c>
      <c r="Q130" s="394">
        <f>SUM(N130:P130)</f>
        <v>0</v>
      </c>
      <c r="R130" s="391">
        <f>'[17]Price Schedule 5 year'!R130</f>
        <v>0</v>
      </c>
      <c r="S130" s="393">
        <f>'[17]Price Schedule 5 year'!S130</f>
        <v>0</v>
      </c>
      <c r="T130" s="393">
        <f>'[17]Price Schedule 5 year'!T130</f>
        <v>0</v>
      </c>
      <c r="U130" s="394">
        <f>SUM(R130:T130)</f>
        <v>0</v>
      </c>
      <c r="V130" s="391">
        <f>'[17]Price Schedule 5 year'!V130</f>
        <v>0</v>
      </c>
      <c r="W130" s="393">
        <f>'[17]Price Schedule 5 year'!W130</f>
        <v>0</v>
      </c>
      <c r="X130" s="393">
        <f>'[17]Price Schedule 5 year'!X130</f>
        <v>0</v>
      </c>
      <c r="Y130" s="394">
        <f>SUM(V130:X130)</f>
        <v>0</v>
      </c>
    </row>
    <row r="131" spans="1:25" ht="15.75" thickBot="1" x14ac:dyDescent="0.3">
      <c r="A131" s="399"/>
      <c r="B131" s="400"/>
      <c r="C131" s="400" t="str">
        <f>'[16]HV Bus'!B150</f>
        <v>Off-Peak Usage</v>
      </c>
      <c r="D131" s="400"/>
      <c r="E131" s="400" t="s">
        <v>292</v>
      </c>
      <c r="F131" s="520"/>
      <c r="G131" s="529"/>
      <c r="H131" s="529"/>
      <c r="I131" s="530">
        <f>SUM(F131:H131)</f>
        <v>0</v>
      </c>
      <c r="J131" s="401">
        <f>'[17]Price Schedule 5 year'!J131</f>
        <v>0</v>
      </c>
      <c r="K131" s="403">
        <f>'[17]Price Schedule 5 year'!K131</f>
        <v>0</v>
      </c>
      <c r="L131" s="403">
        <f>'[17]Price Schedule 5 year'!L131</f>
        <v>0</v>
      </c>
      <c r="M131" s="404">
        <f>SUM(J131:L131)</f>
        <v>0</v>
      </c>
      <c r="N131" s="401">
        <f>'[17]Price Schedule 5 year'!N131</f>
        <v>0</v>
      </c>
      <c r="O131" s="403">
        <f>'[17]Price Schedule 5 year'!O131</f>
        <v>0</v>
      </c>
      <c r="P131" s="403">
        <f>'[17]Price Schedule 5 year'!P131</f>
        <v>0</v>
      </c>
      <c r="Q131" s="404">
        <f>SUM(N131:P131)</f>
        <v>0</v>
      </c>
      <c r="R131" s="401">
        <f>'[17]Price Schedule 5 year'!R131</f>
        <v>0</v>
      </c>
      <c r="S131" s="403">
        <f>'[17]Price Schedule 5 year'!S131</f>
        <v>0</v>
      </c>
      <c r="T131" s="403">
        <f>'[17]Price Schedule 5 year'!T131</f>
        <v>0</v>
      </c>
      <c r="U131" s="404">
        <f>SUM(R131:T131)</f>
        <v>0</v>
      </c>
      <c r="V131" s="401">
        <f>'[17]Price Schedule 5 year'!V131</f>
        <v>0</v>
      </c>
      <c r="W131" s="403">
        <f>'[17]Price Schedule 5 year'!W131</f>
        <v>0</v>
      </c>
      <c r="X131" s="403">
        <f>'[17]Price Schedule 5 year'!X131</f>
        <v>0</v>
      </c>
      <c r="Y131" s="404">
        <f>SUM(V131:X131)</f>
        <v>0</v>
      </c>
    </row>
    <row r="132" spans="1:25" ht="15.75" x14ac:dyDescent="0.25">
      <c r="A132" s="359" t="str">
        <f>'[16]Major Bus'!A2</f>
        <v>Major Business Customers</v>
      </c>
      <c r="B132" s="364"/>
      <c r="C132" s="364"/>
      <c r="D132" s="364"/>
      <c r="E132" s="364"/>
      <c r="F132" s="532"/>
      <c r="G132" s="521"/>
      <c r="H132" s="521"/>
      <c r="I132" s="531"/>
      <c r="J132" s="417"/>
      <c r="K132" s="364"/>
      <c r="L132" s="364"/>
      <c r="M132" s="418"/>
      <c r="N132" s="417"/>
      <c r="O132" s="364"/>
      <c r="P132" s="364"/>
      <c r="Q132" s="418"/>
      <c r="R132" s="417"/>
      <c r="S132" s="364"/>
      <c r="T132" s="364"/>
      <c r="U132" s="418"/>
      <c r="V132" s="364"/>
      <c r="W132" s="364"/>
      <c r="X132" s="364"/>
      <c r="Y132" s="418"/>
    </row>
    <row r="133" spans="1:25" x14ac:dyDescent="0.25">
      <c r="A133" s="368"/>
      <c r="B133" s="369" t="str">
        <f>'[16]Major Bus'!B68</f>
        <v>Zone S-Stn Non-Loc</v>
      </c>
      <c r="C133" s="370"/>
      <c r="D133" s="370"/>
      <c r="E133" s="370" t="s">
        <v>319</v>
      </c>
      <c r="F133" s="518"/>
      <c r="G133" s="523"/>
      <c r="H133" s="523"/>
      <c r="I133" s="524"/>
      <c r="J133" s="371"/>
      <c r="K133" s="370"/>
      <c r="L133" s="370"/>
      <c r="M133" s="373"/>
      <c r="N133" s="371"/>
      <c r="O133" s="370"/>
      <c r="P133" s="370"/>
      <c r="Q133" s="373"/>
      <c r="R133" s="371"/>
      <c r="S133" s="370"/>
      <c r="T133" s="370"/>
      <c r="U133" s="373"/>
      <c r="V133" s="372"/>
      <c r="W133" s="370"/>
      <c r="X133" s="370"/>
      <c r="Y133" s="373"/>
    </row>
    <row r="134" spans="1:25" x14ac:dyDescent="0.25">
      <c r="A134" s="374"/>
      <c r="C134" s="357" t="str">
        <f>'[16]Major Bus'!B69</f>
        <v>Customers/Supply Ch</v>
      </c>
      <c r="E134" s="357" t="s">
        <v>291</v>
      </c>
      <c r="F134" s="787">
        <f>'DUoS (t)'!$G$94*Days_Year</f>
        <v>0</v>
      </c>
      <c r="G134" s="788">
        <f>'TUoS (t)'!$G$94*Days_Year</f>
        <v>0</v>
      </c>
      <c r="H134" s="788">
        <f>'JSO (t)'!$G$94*Days_Year</f>
        <v>0</v>
      </c>
      <c r="I134" s="789">
        <f>SUM(F134:H134)</f>
        <v>0</v>
      </c>
      <c r="J134" s="376">
        <f>'[17]Price Schedule 5 year'!J134</f>
        <v>0</v>
      </c>
      <c r="K134" s="378">
        <f>'[17]Price Schedule 5 year'!K134</f>
        <v>0</v>
      </c>
      <c r="L134" s="378">
        <f>'[17]Price Schedule 5 year'!L134</f>
        <v>0</v>
      </c>
      <c r="M134" s="379">
        <f>SUM(J134:L134)</f>
        <v>0</v>
      </c>
      <c r="N134" s="376">
        <f>'[17]Price Schedule 5 year'!N134</f>
        <v>0</v>
      </c>
      <c r="O134" s="378">
        <f>'[17]Price Schedule 5 year'!O134</f>
        <v>0</v>
      </c>
      <c r="P134" s="378">
        <f>'[17]Price Schedule 5 year'!P134</f>
        <v>0</v>
      </c>
      <c r="Q134" s="379">
        <f>SUM(N134:P134)</f>
        <v>0</v>
      </c>
      <c r="R134" s="376">
        <f>'[17]Price Schedule 5 year'!R134</f>
        <v>0</v>
      </c>
      <c r="S134" s="378">
        <f>'[17]Price Schedule 5 year'!S134</f>
        <v>0</v>
      </c>
      <c r="T134" s="378">
        <f>'[17]Price Schedule 5 year'!T134</f>
        <v>0</v>
      </c>
      <c r="U134" s="379">
        <f>SUM(R134:T134)</f>
        <v>0</v>
      </c>
      <c r="V134" s="376">
        <f>'[17]Price Schedule 5 year'!V134</f>
        <v>0</v>
      </c>
      <c r="W134" s="378">
        <f>'[17]Price Schedule 5 year'!W134</f>
        <v>0</v>
      </c>
      <c r="X134" s="378">
        <f>'[17]Price Schedule 5 year'!X134</f>
        <v>0</v>
      </c>
      <c r="Y134" s="379">
        <f>SUM(V134:X134)</f>
        <v>0</v>
      </c>
    </row>
    <row r="135" spans="1:25" x14ac:dyDescent="0.25">
      <c r="A135" s="374"/>
      <c r="C135" s="357" t="str">
        <f>'[16]Major Bus'!B70</f>
        <v>Peak Agreed Demand</v>
      </c>
      <c r="D135" s="357">
        <v>4</v>
      </c>
      <c r="E135" s="357" t="s">
        <v>298</v>
      </c>
      <c r="F135" s="745">
        <f>'DUoS (t)'!$S$94*Days_Year</f>
        <v>15.110999999999999</v>
      </c>
      <c r="G135" s="746">
        <f>'TUoS (t)'!$S$94*Days_Year</f>
        <v>39.529499999999999</v>
      </c>
      <c r="H135" s="746">
        <f>'JSO (t)'!$S$94*Days_Year</f>
        <v>0</v>
      </c>
      <c r="I135" s="747">
        <f>SUM(F135:H135)</f>
        <v>54.640499999999996</v>
      </c>
      <c r="J135" s="376">
        <f>'[17]Price Schedule 5 year'!J135</f>
        <v>14.2</v>
      </c>
      <c r="K135" s="378">
        <f>'[17]Price Schedule 5 year'!K135</f>
        <v>38.799999999999997</v>
      </c>
      <c r="L135" s="378">
        <f>'[17]Price Schedule 5 year'!L135</f>
        <v>0</v>
      </c>
      <c r="M135" s="379">
        <f>SUM(J135:L135)</f>
        <v>53</v>
      </c>
      <c r="N135" s="376">
        <f>'[17]Price Schedule 5 year'!N135</f>
        <v>14.2</v>
      </c>
      <c r="O135" s="378">
        <f>'[17]Price Schedule 5 year'!O135</f>
        <v>40.5</v>
      </c>
      <c r="P135" s="378">
        <f>'[17]Price Schedule 5 year'!P135</f>
        <v>0</v>
      </c>
      <c r="Q135" s="379">
        <f>SUM(N135:P135)</f>
        <v>54.7</v>
      </c>
      <c r="R135" s="376">
        <f>'[17]Price Schedule 5 year'!R135</f>
        <v>14.2</v>
      </c>
      <c r="S135" s="378">
        <f>'[17]Price Schedule 5 year'!S135</f>
        <v>42.4</v>
      </c>
      <c r="T135" s="378">
        <f>'[17]Price Schedule 5 year'!T135</f>
        <v>0</v>
      </c>
      <c r="U135" s="379">
        <f>SUM(R135:T135)</f>
        <v>56.599999999999994</v>
      </c>
      <c r="V135" s="376">
        <f>'[17]Price Schedule 5 year'!V135</f>
        <v>14.2</v>
      </c>
      <c r="W135" s="378">
        <f>'[17]Price Schedule 5 year'!W135</f>
        <v>44.4</v>
      </c>
      <c r="X135" s="378">
        <f>'[17]Price Schedule 5 year'!X135</f>
        <v>0</v>
      </c>
      <c r="Y135" s="379">
        <f>SUM(V135:X135)</f>
        <v>58.599999999999994</v>
      </c>
    </row>
    <row r="136" spans="1:25" x14ac:dyDescent="0.25">
      <c r="A136" s="374"/>
      <c r="C136" s="357" t="str">
        <f>'[16]Major Bus'!B71</f>
        <v>Anytime Agreed Demand</v>
      </c>
      <c r="D136" s="357">
        <v>4</v>
      </c>
      <c r="E136" s="357" t="s">
        <v>298</v>
      </c>
      <c r="F136" s="745">
        <f>'DUoS (t)'!$T$94*Days_Year</f>
        <v>27.009999999999998</v>
      </c>
      <c r="G136" s="746">
        <f>'TUoS (t)'!$T$94*Days_Year</f>
        <v>0</v>
      </c>
      <c r="H136" s="746">
        <f>'JSO (t)'!$T$94*Days_Year</f>
        <v>0</v>
      </c>
      <c r="I136" s="747">
        <f>SUM(F136:H136)</f>
        <v>27.009999999999998</v>
      </c>
      <c r="J136" s="376">
        <f>'[17]Price Schedule 5 year'!J136</f>
        <v>25.3</v>
      </c>
      <c r="K136" s="378">
        <f>'[17]Price Schedule 5 year'!K136</f>
        <v>0</v>
      </c>
      <c r="L136" s="378">
        <f>'[17]Price Schedule 5 year'!L136</f>
        <v>0</v>
      </c>
      <c r="M136" s="379">
        <f>SUM(J136:L136)</f>
        <v>25.3</v>
      </c>
      <c r="N136" s="376">
        <f>'[17]Price Schedule 5 year'!N136</f>
        <v>25.4</v>
      </c>
      <c r="O136" s="378">
        <f>'[17]Price Schedule 5 year'!O136</f>
        <v>0</v>
      </c>
      <c r="P136" s="378">
        <f>'[17]Price Schedule 5 year'!P136</f>
        <v>0</v>
      </c>
      <c r="Q136" s="379">
        <f>SUM(N136:P136)</f>
        <v>25.4</v>
      </c>
      <c r="R136" s="376">
        <f>'[17]Price Schedule 5 year'!R136</f>
        <v>25.5</v>
      </c>
      <c r="S136" s="378">
        <f>'[17]Price Schedule 5 year'!S136</f>
        <v>0</v>
      </c>
      <c r="T136" s="378">
        <f>'[17]Price Schedule 5 year'!T136</f>
        <v>0</v>
      </c>
      <c r="U136" s="379">
        <f>SUM(R136:T136)</f>
        <v>25.5</v>
      </c>
      <c r="V136" s="376">
        <f>'[17]Price Schedule 5 year'!V136</f>
        <v>25.6</v>
      </c>
      <c r="W136" s="378">
        <f>'[17]Price Schedule 5 year'!W136</f>
        <v>0</v>
      </c>
      <c r="X136" s="378">
        <f>'[17]Price Schedule 5 year'!X136</f>
        <v>0</v>
      </c>
      <c r="Y136" s="379">
        <f>SUM(V136:X136)</f>
        <v>25.6</v>
      </c>
    </row>
    <row r="137" spans="1:25" x14ac:dyDescent="0.25">
      <c r="A137" s="380"/>
      <c r="B137" s="382"/>
      <c r="C137" s="382" t="str">
        <f>'[16]Major Bus'!B72</f>
        <v>Usage</v>
      </c>
      <c r="D137" s="382"/>
      <c r="E137" s="382" t="s">
        <v>292</v>
      </c>
      <c r="F137" s="519">
        <f>'DUoS (t)'!$H$94</f>
        <v>4.4000000000000003E-3</v>
      </c>
      <c r="G137" s="527">
        <f>'TUoS (t)'!$H$94</f>
        <v>8.2000000000000007E-3</v>
      </c>
      <c r="H137" s="527">
        <f>'JSO (t)'!$H$94</f>
        <v>8.9999999999999998E-4</v>
      </c>
      <c r="I137" s="528">
        <f>SUM(F137:H137)</f>
        <v>1.35E-2</v>
      </c>
      <c r="J137" s="383">
        <f>'[17]Price Schedule 5 year'!J137</f>
        <v>4.0977406010908142E-3</v>
      </c>
      <c r="K137" s="385">
        <f>'[17]Price Schedule 5 year'!K137</f>
        <v>1.0453110480238809E-2</v>
      </c>
      <c r="L137" s="385">
        <f>'[17]Price Schedule 5 year'!L137</f>
        <v>8.4527894381393064E-4</v>
      </c>
      <c r="M137" s="386">
        <f>SUM(J137:L137)</f>
        <v>1.5396130025143555E-2</v>
      </c>
      <c r="N137" s="383">
        <f>'[17]Price Schedule 5 year'!N137</f>
        <v>4.1059034309734593E-3</v>
      </c>
      <c r="O137" s="385">
        <f>'[17]Price Schedule 5 year'!O137</f>
        <v>1.0923500451849555E-2</v>
      </c>
      <c r="P137" s="385">
        <f>'[17]Price Schedule 5 year'!P137</f>
        <v>8.4527894381393042E-4</v>
      </c>
      <c r="Q137" s="386">
        <f>SUM(N137:P137)</f>
        <v>1.5874682826636944E-2</v>
      </c>
      <c r="R137" s="383">
        <f>'[17]Price Schedule 5 year'!R137</f>
        <v>4.1202740929818663E-3</v>
      </c>
      <c r="S137" s="385">
        <f>'[17]Price Schedule 5 year'!S137</f>
        <v>1.1425981472634635E-2</v>
      </c>
      <c r="T137" s="385">
        <f>'[17]Price Schedule 5 year'!T137</f>
        <v>8.4527894381393064E-4</v>
      </c>
      <c r="U137" s="386">
        <f>SUM(R137:T137)</f>
        <v>1.6391534509430431E-2</v>
      </c>
      <c r="V137" s="383">
        <f>'[17]Price Schedule 5 year'!V137</f>
        <v>4.1346950523073033E-3</v>
      </c>
      <c r="W137" s="385">
        <f>'[17]Price Schedule 5 year'!W137</f>
        <v>1.1951576620375829E-2</v>
      </c>
      <c r="X137" s="385">
        <f>'[17]Price Schedule 5 year'!X137</f>
        <v>8.4527894381393042E-4</v>
      </c>
      <c r="Y137" s="386">
        <f>SUM(V137:X137)</f>
        <v>1.6931550616497062E-2</v>
      </c>
    </row>
    <row r="138" spans="1:25" x14ac:dyDescent="0.25">
      <c r="A138" s="368"/>
      <c r="B138" s="369" t="str">
        <f>'[16]Major Bus'!B82</f>
        <v>Sub-Trans Non-Loc</v>
      </c>
      <c r="C138" s="370"/>
      <c r="D138" s="370"/>
      <c r="E138" s="370" t="s">
        <v>319</v>
      </c>
      <c r="F138" s="518"/>
      <c r="G138" s="523"/>
      <c r="H138" s="523"/>
      <c r="I138" s="524"/>
      <c r="J138" s="371"/>
      <c r="K138" s="370"/>
      <c r="L138" s="370"/>
      <c r="M138" s="373"/>
      <c r="N138" s="371"/>
      <c r="O138" s="370"/>
      <c r="P138" s="370"/>
      <c r="Q138" s="373"/>
      <c r="R138" s="371"/>
      <c r="S138" s="370"/>
      <c r="T138" s="370"/>
      <c r="U138" s="373"/>
      <c r="V138" s="371"/>
      <c r="W138" s="370"/>
      <c r="X138" s="370"/>
      <c r="Y138" s="373"/>
    </row>
    <row r="139" spans="1:25" x14ac:dyDescent="0.25">
      <c r="A139" s="374"/>
      <c r="C139" s="357" t="str">
        <f>'[16]Major Bus'!B83</f>
        <v>Customers/Supply Ch</v>
      </c>
      <c r="E139" s="357" t="s">
        <v>291</v>
      </c>
      <c r="F139" s="787">
        <f>'DUoS (t)'!$G$113*Days_Year</f>
        <v>0</v>
      </c>
      <c r="G139" s="788">
        <f>'TUoS (t)'!$G$113*Days_Year</f>
        <v>0</v>
      </c>
      <c r="H139" s="788">
        <f>'JSO (t)'!$G$113*Days_Year</f>
        <v>0</v>
      </c>
      <c r="I139" s="789">
        <f>SUM(F139:H139)</f>
        <v>0</v>
      </c>
      <c r="J139" s="376">
        <f>'[17]Price Schedule 5 year'!J139</f>
        <v>0</v>
      </c>
      <c r="K139" s="378">
        <f>'[17]Price Schedule 5 year'!K139</f>
        <v>0</v>
      </c>
      <c r="L139" s="378">
        <f>'[17]Price Schedule 5 year'!L139</f>
        <v>0</v>
      </c>
      <c r="M139" s="379">
        <f>SUM(J139:L139)</f>
        <v>0</v>
      </c>
      <c r="N139" s="376">
        <f>'[17]Price Schedule 5 year'!N139</f>
        <v>0</v>
      </c>
      <c r="O139" s="378">
        <f>'[17]Price Schedule 5 year'!O139</f>
        <v>0</v>
      </c>
      <c r="P139" s="378">
        <f>'[17]Price Schedule 5 year'!P139</f>
        <v>0</v>
      </c>
      <c r="Q139" s="379">
        <f>SUM(N139:P139)</f>
        <v>0</v>
      </c>
      <c r="R139" s="376">
        <f>'[17]Price Schedule 5 year'!R139</f>
        <v>0</v>
      </c>
      <c r="S139" s="378">
        <f>'[17]Price Schedule 5 year'!S139</f>
        <v>0</v>
      </c>
      <c r="T139" s="378">
        <f>'[17]Price Schedule 5 year'!T139</f>
        <v>0</v>
      </c>
      <c r="U139" s="379">
        <f>SUM(R139:T139)</f>
        <v>0</v>
      </c>
      <c r="V139" s="376">
        <f>'[17]Price Schedule 5 year'!V139</f>
        <v>0</v>
      </c>
      <c r="W139" s="378">
        <f>'[17]Price Schedule 5 year'!W139</f>
        <v>0</v>
      </c>
      <c r="X139" s="378">
        <f>'[17]Price Schedule 5 year'!X139</f>
        <v>0</v>
      </c>
      <c r="Y139" s="379">
        <f>SUM(V139:X139)</f>
        <v>0</v>
      </c>
    </row>
    <row r="140" spans="1:25" x14ac:dyDescent="0.25">
      <c r="A140" s="374"/>
      <c r="C140" s="357" t="str">
        <f>'[16]Major Bus'!B84</f>
        <v>Peak Agreed Demand</v>
      </c>
      <c r="D140" s="357">
        <v>4</v>
      </c>
      <c r="E140" s="357" t="s">
        <v>298</v>
      </c>
      <c r="F140" s="745">
        <f>'DUoS (t)'!$S$113*Days_Year</f>
        <v>0</v>
      </c>
      <c r="G140" s="746">
        <f>'TUoS (t)'!$S$113*Days_Year</f>
        <v>39.529499999999999</v>
      </c>
      <c r="H140" s="746">
        <f>'JSO (t)'!$S$113*Days_Year</f>
        <v>0</v>
      </c>
      <c r="I140" s="747">
        <f>SUM(F140:H140)</f>
        <v>39.529499999999999</v>
      </c>
      <c r="J140" s="376">
        <f>'[17]Price Schedule 5 year'!J140</f>
        <v>0</v>
      </c>
      <c r="K140" s="378">
        <f>'[17]Price Schedule 5 year'!K140</f>
        <v>38.799999999999997</v>
      </c>
      <c r="L140" s="378">
        <f>'[17]Price Schedule 5 year'!L140</f>
        <v>0</v>
      </c>
      <c r="M140" s="379">
        <f>SUM(J140:L140)</f>
        <v>38.799999999999997</v>
      </c>
      <c r="N140" s="376">
        <f>'[17]Price Schedule 5 year'!N140</f>
        <v>0</v>
      </c>
      <c r="O140" s="378">
        <f>'[17]Price Schedule 5 year'!O140</f>
        <v>40.5</v>
      </c>
      <c r="P140" s="378">
        <f>'[17]Price Schedule 5 year'!P140</f>
        <v>0</v>
      </c>
      <c r="Q140" s="379">
        <f>SUM(N140:P140)</f>
        <v>40.5</v>
      </c>
      <c r="R140" s="376">
        <f>'[17]Price Schedule 5 year'!R140</f>
        <v>0</v>
      </c>
      <c r="S140" s="378">
        <f>'[17]Price Schedule 5 year'!S140</f>
        <v>42.4</v>
      </c>
      <c r="T140" s="378">
        <f>'[17]Price Schedule 5 year'!T140</f>
        <v>0</v>
      </c>
      <c r="U140" s="379">
        <f>SUM(R140:T140)</f>
        <v>42.4</v>
      </c>
      <c r="V140" s="376">
        <f>'[17]Price Schedule 5 year'!V140</f>
        <v>0</v>
      </c>
      <c r="W140" s="378">
        <f>'[17]Price Schedule 5 year'!W140</f>
        <v>44.4</v>
      </c>
      <c r="X140" s="378">
        <f>'[17]Price Schedule 5 year'!X140</f>
        <v>0</v>
      </c>
      <c r="Y140" s="379">
        <f>SUM(V140:X140)</f>
        <v>44.4</v>
      </c>
    </row>
    <row r="141" spans="1:25" x14ac:dyDescent="0.25">
      <c r="A141" s="374"/>
      <c r="C141" s="357" t="str">
        <f>'[16]Major Bus'!B85</f>
        <v>Anytime Agreed Demand</v>
      </c>
      <c r="D141" s="357">
        <v>4</v>
      </c>
      <c r="E141" s="357" t="s">
        <v>298</v>
      </c>
      <c r="F141" s="745">
        <f>'DUoS (t)'!$T$113*Days_Year</f>
        <v>15.110999999999999</v>
      </c>
      <c r="G141" s="746">
        <f>'TUoS (t)'!$T$113*Days_Year</f>
        <v>0</v>
      </c>
      <c r="H141" s="746">
        <f>'JSO (t)'!$T$113*Days_Year</f>
        <v>0</v>
      </c>
      <c r="I141" s="747">
        <f>SUM(F141:H141)</f>
        <v>15.110999999999999</v>
      </c>
      <c r="J141" s="376">
        <f>'[17]Price Schedule 5 year'!J141</f>
        <v>14.2</v>
      </c>
      <c r="K141" s="378">
        <f>'[17]Price Schedule 5 year'!K141</f>
        <v>0</v>
      </c>
      <c r="L141" s="378">
        <f>'[17]Price Schedule 5 year'!L141</f>
        <v>0</v>
      </c>
      <c r="M141" s="379">
        <f>SUM(J141:L141)</f>
        <v>14.2</v>
      </c>
      <c r="N141" s="376">
        <f>'[17]Price Schedule 5 year'!N141</f>
        <v>14.2</v>
      </c>
      <c r="O141" s="378">
        <f>'[17]Price Schedule 5 year'!O141</f>
        <v>0</v>
      </c>
      <c r="P141" s="378">
        <f>'[17]Price Schedule 5 year'!P141</f>
        <v>0</v>
      </c>
      <c r="Q141" s="379">
        <f>SUM(N141:P141)</f>
        <v>14.2</v>
      </c>
      <c r="R141" s="376">
        <f>'[17]Price Schedule 5 year'!R141</f>
        <v>14.2</v>
      </c>
      <c r="S141" s="378">
        <f>'[17]Price Schedule 5 year'!S141</f>
        <v>0</v>
      </c>
      <c r="T141" s="378">
        <f>'[17]Price Schedule 5 year'!T141</f>
        <v>0</v>
      </c>
      <c r="U141" s="379">
        <f>SUM(R141:T141)</f>
        <v>14.2</v>
      </c>
      <c r="V141" s="376">
        <f>'[17]Price Schedule 5 year'!V141</f>
        <v>14.2</v>
      </c>
      <c r="W141" s="378">
        <f>'[17]Price Schedule 5 year'!W141</f>
        <v>0</v>
      </c>
      <c r="X141" s="378">
        <f>'[17]Price Schedule 5 year'!X141</f>
        <v>0</v>
      </c>
      <c r="Y141" s="379">
        <f>SUM(V141:X141)</f>
        <v>14.2</v>
      </c>
    </row>
    <row r="142" spans="1:25" ht="15.75" thickBot="1" x14ac:dyDescent="0.3">
      <c r="A142" s="399"/>
      <c r="B142" s="400"/>
      <c r="C142" s="400" t="str">
        <f>'[16]Major Bus'!B86</f>
        <v>Usage</v>
      </c>
      <c r="D142" s="400"/>
      <c r="E142" s="400" t="s">
        <v>292</v>
      </c>
      <c r="F142" s="520">
        <f>'DUoS (t)'!$H$113</f>
        <v>1.6000000000000001E-3</v>
      </c>
      <c r="G142" s="529">
        <f>'TUoS (t)'!$H$113</f>
        <v>8.2000000000000007E-3</v>
      </c>
      <c r="H142" s="529">
        <f>'JSO (t)'!$H$113</f>
        <v>8.9999999999999998E-4</v>
      </c>
      <c r="I142" s="530">
        <f>SUM(F142:H142)</f>
        <v>1.0700000000000001E-2</v>
      </c>
      <c r="J142" s="401">
        <f>'[17]Price Schedule 5 year'!J142</f>
        <v>1.475186616392693E-3</v>
      </c>
      <c r="K142" s="403">
        <f>'[17]Price Schedule 5 year'!K142</f>
        <v>1.0453110480238809E-2</v>
      </c>
      <c r="L142" s="403">
        <f>'[17]Price Schedule 5 year'!L142</f>
        <v>8.4527894381393064E-4</v>
      </c>
      <c r="M142" s="404">
        <f>SUM(J142:L142)</f>
        <v>1.2773576040445433E-2</v>
      </c>
      <c r="N142" s="401">
        <f>'[17]Price Schedule 5 year'!N142</f>
        <v>1.4781252351504454E-3</v>
      </c>
      <c r="O142" s="403">
        <f>'[17]Price Schedule 5 year'!O142</f>
        <v>1.0923500451849555E-2</v>
      </c>
      <c r="P142" s="403">
        <f>'[17]Price Schedule 5 year'!P142</f>
        <v>8.4527894381393042E-4</v>
      </c>
      <c r="Q142" s="404">
        <f>SUM(N142:P142)</f>
        <v>1.3246904630813933E-2</v>
      </c>
      <c r="R142" s="401">
        <f>'[17]Price Schedule 5 year'!R142</f>
        <v>1.483298673473472E-3</v>
      </c>
      <c r="S142" s="403">
        <f>'[17]Price Schedule 5 year'!S142</f>
        <v>1.1425981472634635E-2</v>
      </c>
      <c r="T142" s="403">
        <f>'[17]Price Schedule 5 year'!T142</f>
        <v>8.4527894381393064E-4</v>
      </c>
      <c r="U142" s="404">
        <f>SUM(R142:T142)</f>
        <v>1.3754559089922038E-2</v>
      </c>
      <c r="V142" s="401">
        <f>'[17]Price Schedule 5 year'!V142</f>
        <v>1.4884902188306293E-3</v>
      </c>
      <c r="W142" s="403">
        <f>'[17]Price Schedule 5 year'!W142</f>
        <v>1.1951576620375829E-2</v>
      </c>
      <c r="X142" s="403">
        <f>'[17]Price Schedule 5 year'!X142</f>
        <v>8.4527894381393042E-4</v>
      </c>
      <c r="Y142" s="404">
        <f>SUM(V142:X142)</f>
        <v>1.4285345783020389E-2</v>
      </c>
    </row>
    <row r="143" spans="1:25" x14ac:dyDescent="0.25">
      <c r="A143" s="357" t="str">
        <f>A53</f>
        <v>Notes on Demand Elements</v>
      </c>
    </row>
    <row r="144" spans="1:25" x14ac:dyDescent="0.25">
      <c r="B144" s="357">
        <f>B54</f>
        <v>1</v>
      </c>
      <c r="C144" s="357" t="str">
        <f>C54</f>
        <v>highest daily demand each of five months Nov-March charged per month</v>
      </c>
    </row>
    <row r="145" spans="2:25" x14ac:dyDescent="0.25">
      <c r="B145" s="357">
        <f t="shared" ref="B145:C148" si="1">B55</f>
        <v>2</v>
      </c>
      <c r="C145" s="357" t="str">
        <f t="shared" si="1"/>
        <v>highest daily demand each of twelve months July-June charged per month</v>
      </c>
    </row>
    <row r="146" spans="2:25" x14ac:dyDescent="0.25">
      <c r="B146" s="357">
        <f t="shared" si="1"/>
        <v>3</v>
      </c>
      <c r="C146" s="357" t="str">
        <f t="shared" si="1"/>
        <v>12 month rolling reset charged proportionally each month</v>
      </c>
    </row>
    <row r="147" spans="2:25" x14ac:dyDescent="0.25">
      <c r="B147" s="357">
        <f t="shared" si="1"/>
        <v>4</v>
      </c>
      <c r="C147" s="357" t="str">
        <f t="shared" si="1"/>
        <v>agreed demand charged proportionally each month</v>
      </c>
    </row>
    <row r="148" spans="2:25" x14ac:dyDescent="0.25">
      <c r="B148" s="357">
        <f t="shared" si="1"/>
        <v>5</v>
      </c>
      <c r="C148" s="357" t="str">
        <f t="shared" si="1"/>
        <v>Peak demand not applicable to backup, incurred by principal supply</v>
      </c>
    </row>
    <row r="154" spans="2:25" x14ac:dyDescent="0.25">
      <c r="F154" s="515"/>
      <c r="G154" s="378"/>
    </row>
    <row r="155" spans="2:25" x14ac:dyDescent="0.25">
      <c r="F155" s="515"/>
      <c r="G155" s="378"/>
    </row>
    <row r="156" spans="2:25" x14ac:dyDescent="0.25">
      <c r="F156" s="515"/>
      <c r="G156" s="378"/>
    </row>
    <row r="157" spans="2:25" x14ac:dyDescent="0.25">
      <c r="F157" s="515"/>
      <c r="G157" s="378"/>
    </row>
    <row r="159" spans="2:25" x14ac:dyDescent="0.25">
      <c r="F159" s="515"/>
      <c r="G159" s="378"/>
      <c r="I159" s="378"/>
      <c r="J159" s="378"/>
      <c r="M159" s="378"/>
      <c r="Q159" s="378"/>
      <c r="U159" s="378"/>
      <c r="Y159" s="378"/>
    </row>
    <row r="160" spans="2:25" x14ac:dyDescent="0.25">
      <c r="F160" s="515"/>
      <c r="G160" s="378"/>
      <c r="I160" s="378"/>
      <c r="J160" s="378"/>
      <c r="M160" s="378"/>
      <c r="Q160" s="378"/>
      <c r="U160" s="378"/>
      <c r="Y160" s="378"/>
    </row>
    <row r="161" spans="6:25" x14ac:dyDescent="0.25">
      <c r="F161" s="515"/>
      <c r="G161" s="378"/>
      <c r="I161" s="378"/>
      <c r="J161" s="378"/>
      <c r="M161" s="378"/>
      <c r="Q161" s="378"/>
      <c r="U161" s="378"/>
      <c r="Y161" s="378"/>
    </row>
    <row r="162" spans="6:25" x14ac:dyDescent="0.25">
      <c r="F162" s="515"/>
      <c r="G162" s="378"/>
      <c r="I162" s="378"/>
      <c r="J162" s="378"/>
      <c r="M162" s="378"/>
      <c r="Q162" s="378"/>
      <c r="U162" s="378"/>
      <c r="Y162" s="378"/>
    </row>
  </sheetData>
  <mergeCells count="15">
    <mergeCell ref="F60:I60"/>
    <mergeCell ref="J60:M60"/>
    <mergeCell ref="N60:Q60"/>
    <mergeCell ref="R60:U60"/>
    <mergeCell ref="V60:Y60"/>
    <mergeCell ref="F2:I2"/>
    <mergeCell ref="J2:M2"/>
    <mergeCell ref="N2:Q2"/>
    <mergeCell ref="R2:U2"/>
    <mergeCell ref="V2:Y2"/>
    <mergeCell ref="F100:I100"/>
    <mergeCell ref="J100:M100"/>
    <mergeCell ref="N100:Q100"/>
    <mergeCell ref="R100:U100"/>
    <mergeCell ref="V100:Y100"/>
  </mergeCells>
  <pageMargins left="0.7" right="0.7" top="0.75" bottom="0.75" header="0.3" footer="0.3"/>
  <pageSetup paperSize="9" scale="45" orientation="landscape" r:id="rId1"/>
  <rowBreaks count="2" manualBreakCount="2">
    <brk id="58" max="16383" man="1"/>
    <brk id="98" max="16383"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AF2B-9218-4F82-B461-8496DAC501BC}">
  <sheetPr>
    <tabColor rgb="FFFA780A"/>
  </sheetPr>
  <dimension ref="A1:X157"/>
  <sheetViews>
    <sheetView showGridLines="0" tabSelected="1" topLeftCell="A70" workbookViewId="0">
      <selection activeCell="L80" sqref="L80"/>
    </sheetView>
  </sheetViews>
  <sheetFormatPr defaultRowHeight="12.75" x14ac:dyDescent="0.2"/>
  <cols>
    <col min="1" max="1" width="2.85546875" style="3" customWidth="1"/>
    <col min="2" max="2" width="3.42578125" style="21" customWidth="1"/>
    <col min="3" max="3" width="24.42578125" style="3" customWidth="1"/>
    <col min="4" max="5" width="12.7109375" style="3" customWidth="1"/>
    <col min="6" max="6" width="4.7109375" style="3" customWidth="1"/>
    <col min="7" max="8" width="12.7109375" style="3" customWidth="1"/>
    <col min="9" max="9" width="4.7109375" style="3" customWidth="1"/>
    <col min="10" max="11" width="12.7109375" style="3" customWidth="1"/>
    <col min="12" max="12" width="4.7109375" style="3" customWidth="1"/>
    <col min="13" max="14" width="10.5703125" style="3" customWidth="1"/>
    <col min="15" max="15" width="4.7109375" style="3" customWidth="1"/>
    <col min="16" max="17" width="12.7109375" style="3" customWidth="1"/>
    <col min="18" max="18" width="3.5703125" style="3" customWidth="1"/>
    <col min="19" max="19" width="9.140625" style="3"/>
    <col min="20" max="24" width="31.140625" style="3" customWidth="1"/>
    <col min="25" max="16384" width="9.140625" style="3"/>
  </cols>
  <sheetData>
    <row r="1" spans="1:24" s="125" customFormat="1" ht="21" x14ac:dyDescent="0.35">
      <c r="A1" s="131" t="s">
        <v>482</v>
      </c>
      <c r="B1" s="634"/>
    </row>
    <row r="3" spans="1:24" s="609" customFormat="1" ht="15" x14ac:dyDescent="0.25">
      <c r="A3" s="631" t="s">
        <v>675</v>
      </c>
      <c r="B3" s="635"/>
    </row>
    <row r="5" spans="1:24" ht="24.75" customHeight="1" x14ac:dyDescent="0.2">
      <c r="D5" s="888" t="s">
        <v>683</v>
      </c>
      <c r="E5" s="888"/>
      <c r="F5" s="610"/>
      <c r="G5" s="888" t="s">
        <v>684</v>
      </c>
      <c r="H5" s="888"/>
      <c r="I5" s="628"/>
      <c r="J5" s="889" t="s">
        <v>685</v>
      </c>
      <c r="K5" s="889"/>
      <c r="M5" s="889" t="s">
        <v>688</v>
      </c>
      <c r="N5" s="889"/>
      <c r="P5" s="890" t="s">
        <v>682</v>
      </c>
      <c r="Q5" s="890"/>
      <c r="R5" s="831"/>
    </row>
    <row r="6" spans="1:24" x14ac:dyDescent="0.2">
      <c r="C6" s="36" t="s">
        <v>286</v>
      </c>
      <c r="D6" s="628" t="s">
        <v>187</v>
      </c>
      <c r="E6" s="628" t="s">
        <v>681</v>
      </c>
      <c r="F6" s="628"/>
      <c r="G6" s="628" t="s">
        <v>187</v>
      </c>
      <c r="H6" s="628" t="s">
        <v>681</v>
      </c>
      <c r="I6" s="628"/>
      <c r="J6" s="628" t="s">
        <v>187</v>
      </c>
      <c r="K6" s="628" t="s">
        <v>681</v>
      </c>
      <c r="M6" s="628" t="s">
        <v>686</v>
      </c>
      <c r="N6" s="628" t="s">
        <v>687</v>
      </c>
      <c r="P6" s="628" t="s">
        <v>676</v>
      </c>
      <c r="Q6" s="628" t="s">
        <v>677</v>
      </c>
      <c r="R6" s="628"/>
      <c r="S6" s="639" t="s">
        <v>521</v>
      </c>
      <c r="T6" s="627"/>
      <c r="U6" s="627"/>
      <c r="V6" s="627"/>
      <c r="W6" s="627"/>
      <c r="X6" s="627"/>
    </row>
    <row r="7" spans="1:24" x14ac:dyDescent="0.2">
      <c r="C7" s="3" t="s">
        <v>367</v>
      </c>
      <c r="D7" s="830">
        <f>'[18]DUOS (t)'!AJ133</f>
        <v>450196.28412648686</v>
      </c>
      <c r="E7" s="625">
        <f>D7/$D$12</f>
        <v>0.52455066802412242</v>
      </c>
      <c r="G7" s="116">
        <v>440575.89958535164</v>
      </c>
      <c r="H7" s="625">
        <f>G7/$G$12</f>
        <v>0.54482353218690782</v>
      </c>
      <c r="I7" s="625"/>
      <c r="J7" s="116">
        <f>'DUoS (t)'!BM128</f>
        <v>437649.48178600002</v>
      </c>
      <c r="K7" s="625">
        <f>J7/$J$12</f>
        <v>0.54122416185081701</v>
      </c>
      <c r="M7" s="625">
        <f>H7/E7-1</f>
        <v>3.8648057086933418E-2</v>
      </c>
      <c r="N7" s="625">
        <f>K7/E7-1</f>
        <v>3.1786240763929108E-2</v>
      </c>
      <c r="P7" s="117">
        <f>J7-G7</f>
        <v>-2926.4177993516205</v>
      </c>
      <c r="Q7" s="625">
        <f t="shared" ref="Q7:Q12" si="0">P7/G7</f>
        <v>-6.6422557432347547E-3</v>
      </c>
      <c r="R7" s="625"/>
      <c r="S7" s="640"/>
      <c r="T7" s="640"/>
      <c r="U7" s="640"/>
      <c r="V7" s="640"/>
      <c r="W7" s="640"/>
      <c r="X7" s="640"/>
    </row>
    <row r="8" spans="1:24" x14ac:dyDescent="0.2">
      <c r="C8" s="3" t="s">
        <v>368</v>
      </c>
      <c r="D8" s="830">
        <f>'[18]DUOS (t)'!AJ134</f>
        <v>152033.46877284691</v>
      </c>
      <c r="E8" s="625">
        <f t="shared" ref="E8:E11" si="1">D8/$D$12</f>
        <v>0.17714330486214119</v>
      </c>
      <c r="G8" s="116">
        <v>141285.27630468164</v>
      </c>
      <c r="H8" s="625">
        <f t="shared" ref="H8:H11" si="2">G8/$G$12</f>
        <v>0.17471573763967907</v>
      </c>
      <c r="I8" s="625"/>
      <c r="J8" s="116">
        <f>'DUoS (t)'!BM129</f>
        <v>141489.47543530003</v>
      </c>
      <c r="K8" s="625">
        <f t="shared" ref="K8:K11" si="3">J8/$J$12</f>
        <v>0.17497455370146325</v>
      </c>
      <c r="M8" s="625">
        <f t="shared" ref="M8:M12" si="4">H8/E8-1</f>
        <v>-1.3703973877823628E-2</v>
      </c>
      <c r="N8" s="625">
        <f t="shared" ref="N8:N12" si="5">K8/E8-1</f>
        <v>-1.2242919157264942E-2</v>
      </c>
      <c r="P8" s="117">
        <f>J8-G8</f>
        <v>204.19913061839179</v>
      </c>
      <c r="Q8" s="625">
        <f t="shared" si="0"/>
        <v>1.4452966081054083E-3</v>
      </c>
      <c r="R8" s="625"/>
      <c r="S8" s="640"/>
      <c r="T8" s="640"/>
      <c r="U8" s="640"/>
      <c r="V8" s="640"/>
      <c r="W8" s="640"/>
      <c r="X8" s="640"/>
    </row>
    <row r="9" spans="1:24" x14ac:dyDescent="0.2">
      <c r="C9" s="3" t="s">
        <v>369</v>
      </c>
      <c r="D9" s="830">
        <f>'[18]DUOS (t)'!AJ135</f>
        <v>207351.75475107081</v>
      </c>
      <c r="E9" s="625">
        <f t="shared" si="1"/>
        <v>0.24159795472698575</v>
      </c>
      <c r="G9" s="116">
        <v>181685.81889015046</v>
      </c>
      <c r="H9" s="625">
        <f t="shared" si="2"/>
        <v>0.22467572486185472</v>
      </c>
      <c r="I9" s="625"/>
      <c r="J9" s="116">
        <f>'DUoS (t)'!BM130</f>
        <v>183563.8807754</v>
      </c>
      <c r="K9" s="625">
        <f t="shared" si="3"/>
        <v>0.22700634104104464</v>
      </c>
      <c r="M9" s="625">
        <f t="shared" si="4"/>
        <v>-7.004293510784787E-2</v>
      </c>
      <c r="N9" s="625">
        <f t="shared" si="5"/>
        <v>-6.0396263297966102E-2</v>
      </c>
      <c r="P9" s="117">
        <f>J9-G9</f>
        <v>1878.061885249539</v>
      </c>
      <c r="Q9" s="625">
        <f t="shared" si="0"/>
        <v>1.0336865566734401E-2</v>
      </c>
      <c r="R9" s="625"/>
      <c r="S9" s="640"/>
      <c r="T9" s="640"/>
      <c r="U9" s="640"/>
      <c r="V9" s="640"/>
      <c r="W9" s="640"/>
      <c r="X9" s="640"/>
    </row>
    <row r="10" spans="1:24" x14ac:dyDescent="0.2">
      <c r="C10" s="3" t="s">
        <v>370</v>
      </c>
      <c r="D10" s="830">
        <f>'[18]DUOS (t)'!AJ136</f>
        <v>36432.141155650665</v>
      </c>
      <c r="E10" s="625">
        <f t="shared" si="1"/>
        <v>4.2449270806012261E-2</v>
      </c>
      <c r="G10" s="116">
        <v>32720.768175571025</v>
      </c>
      <c r="H10" s="625">
        <f t="shared" si="2"/>
        <v>4.0463049635855043E-2</v>
      </c>
      <c r="I10" s="625"/>
      <c r="J10" s="116">
        <f>'DUoS (t)'!BM131</f>
        <v>33510.73934059999</v>
      </c>
      <c r="K10" s="625">
        <f t="shared" si="3"/>
        <v>4.1441433310061351E-2</v>
      </c>
      <c r="M10" s="625">
        <f t="shared" si="4"/>
        <v>-4.6790466183364909E-2</v>
      </c>
      <c r="N10" s="625">
        <f t="shared" si="5"/>
        <v>-2.374216274660168E-2</v>
      </c>
      <c r="P10" s="117">
        <f>J10-G10</f>
        <v>789.97116502896461</v>
      </c>
      <c r="Q10" s="625">
        <f t="shared" si="0"/>
        <v>2.4142806207671758E-2</v>
      </c>
      <c r="R10" s="625"/>
      <c r="S10" s="640"/>
      <c r="T10" s="640"/>
      <c r="U10" s="640"/>
      <c r="V10" s="640"/>
      <c r="W10" s="640"/>
      <c r="X10" s="640"/>
    </row>
    <row r="11" spans="1:24" x14ac:dyDescent="0.2">
      <c r="C11" s="3" t="s">
        <v>113</v>
      </c>
      <c r="D11" s="830">
        <f>'[18]DUOS (t)'!AJ137</f>
        <v>12237.634758764776</v>
      </c>
      <c r="E11" s="625">
        <f t="shared" si="1"/>
        <v>1.4258801580738351E-2</v>
      </c>
      <c r="G11" s="116">
        <v>12390.221799219304</v>
      </c>
      <c r="H11" s="625">
        <f t="shared" si="2"/>
        <v>1.5321955675703346E-2</v>
      </c>
      <c r="I11" s="625"/>
      <c r="J11" s="116">
        <f>'DUoS (t)'!BM132</f>
        <v>12415.2915021396</v>
      </c>
      <c r="K11" s="625">
        <f t="shared" si="3"/>
        <v>1.5353510096613635E-2</v>
      </c>
      <c r="M11" s="625">
        <f t="shared" si="4"/>
        <v>7.4561251795604466E-2</v>
      </c>
      <c r="N11" s="625">
        <f t="shared" si="5"/>
        <v>7.6774230265892918E-2</v>
      </c>
      <c r="P11" s="117">
        <f>J11-G11</f>
        <v>25.06970292029655</v>
      </c>
      <c r="Q11" s="625">
        <f t="shared" si="0"/>
        <v>2.0233457743166604E-3</v>
      </c>
      <c r="R11" s="625"/>
      <c r="S11" s="640"/>
      <c r="T11" s="640"/>
      <c r="U11" s="640"/>
      <c r="V11" s="640"/>
      <c r="W11" s="640"/>
      <c r="X11" s="640"/>
    </row>
    <row r="12" spans="1:24" ht="13.5" thickBot="1" x14ac:dyDescent="0.25">
      <c r="C12" s="36" t="s">
        <v>212</v>
      </c>
      <c r="D12" s="823">
        <f>SUM(D7:D11)</f>
        <v>858251.28356482007</v>
      </c>
      <c r="E12" s="824">
        <f>SUM(E7:E11)</f>
        <v>1</v>
      </c>
      <c r="F12" s="36"/>
      <c r="G12" s="823">
        <f>SUM(G7:G11)</f>
        <v>808657.98475497402</v>
      </c>
      <c r="H12" s="824">
        <f>SUM(H7:H11)</f>
        <v>1</v>
      </c>
      <c r="I12" s="625"/>
      <c r="J12" s="823">
        <f>SUM(J7:J11)</f>
        <v>808628.8688394397</v>
      </c>
      <c r="K12" s="824">
        <f>SUM(K7:K11)</f>
        <v>0.99999999999999989</v>
      </c>
      <c r="M12" s="824">
        <f t="shared" si="4"/>
        <v>0</v>
      </c>
      <c r="N12" s="824">
        <f t="shared" si="5"/>
        <v>0</v>
      </c>
      <c r="P12" s="823">
        <f>SUM(P7:P11)</f>
        <v>-29.115915534428495</v>
      </c>
      <c r="Q12" s="824">
        <f t="shared" si="0"/>
        <v>-3.6005228518519745E-5</v>
      </c>
      <c r="R12" s="832"/>
      <c r="S12" s="640"/>
      <c r="T12" s="640"/>
      <c r="U12" s="640"/>
      <c r="V12" s="640"/>
      <c r="W12" s="640"/>
      <c r="X12" s="640"/>
    </row>
    <row r="13" spans="1:24" x14ac:dyDescent="0.2">
      <c r="I13" s="625"/>
    </row>
    <row r="14" spans="1:24" x14ac:dyDescent="0.2">
      <c r="C14" s="36" t="s">
        <v>287</v>
      </c>
      <c r="D14" s="628" t="s">
        <v>187</v>
      </c>
      <c r="E14" s="628" t="s">
        <v>681</v>
      </c>
      <c r="F14" s="628"/>
      <c r="G14" s="628" t="s">
        <v>187</v>
      </c>
      <c r="H14" s="628" t="s">
        <v>681</v>
      </c>
      <c r="I14" s="628"/>
      <c r="J14" s="628" t="s">
        <v>187</v>
      </c>
      <c r="K14" s="628" t="s">
        <v>681</v>
      </c>
      <c r="M14" s="629"/>
      <c r="N14" s="629"/>
      <c r="P14" s="628" t="s">
        <v>676</v>
      </c>
      <c r="Q14" s="628" t="s">
        <v>677</v>
      </c>
      <c r="R14" s="628"/>
      <c r="S14" s="639" t="s">
        <v>521</v>
      </c>
      <c r="T14" s="627"/>
      <c r="U14" s="627"/>
      <c r="V14" s="627"/>
      <c r="W14" s="627"/>
      <c r="X14" s="627"/>
    </row>
    <row r="15" spans="1:24" x14ac:dyDescent="0.2">
      <c r="C15" s="3" t="s">
        <v>367</v>
      </c>
      <c r="D15" s="830">
        <f>'[18]TUOS (t)'!AJ133</f>
        <v>109551.72420890821</v>
      </c>
      <c r="E15" s="625">
        <f>D15/$D$20</f>
        <v>0.43740064922815086</v>
      </c>
      <c r="G15" s="116">
        <v>114695.85833384446</v>
      </c>
      <c r="H15" s="625">
        <f>G15/$G$20</f>
        <v>0.43579670734845788</v>
      </c>
      <c r="I15" s="625"/>
      <c r="J15" s="116">
        <f>'TUoS (t)'!BM128</f>
        <v>115307.5724</v>
      </c>
      <c r="K15" s="625">
        <f>J15/$J$20</f>
        <v>0.43813872893735667</v>
      </c>
      <c r="M15" s="625">
        <f>H15/E15-1</f>
        <v>-3.6669855943820551E-3</v>
      </c>
      <c r="N15" s="625">
        <f>K15/E15-1</f>
        <v>1.6874225278546984E-3</v>
      </c>
      <c r="P15" s="117">
        <f>J15-G15</f>
        <v>611.71406615554588</v>
      </c>
      <c r="Q15" s="625">
        <f t="shared" ref="Q15:Q20" si="6">P15/G15</f>
        <v>5.3333579349921587E-3</v>
      </c>
      <c r="R15" s="625"/>
      <c r="S15" s="640"/>
      <c r="T15" s="640"/>
      <c r="U15" s="640"/>
      <c r="V15" s="640"/>
      <c r="W15" s="640"/>
      <c r="X15" s="640"/>
    </row>
    <row r="16" spans="1:24" x14ac:dyDescent="0.2">
      <c r="C16" s="3" t="s">
        <v>368</v>
      </c>
      <c r="D16" s="830">
        <f>'[18]TUOS (t)'!AJ134</f>
        <v>43424.059170502114</v>
      </c>
      <c r="E16" s="625">
        <f t="shared" ref="E16:E19" si="7">D16/$D$20</f>
        <v>0.17337665664740662</v>
      </c>
      <c r="G16" s="116">
        <v>43722.394948341076</v>
      </c>
      <c r="H16" s="625">
        <f t="shared" ref="H16:H19" si="8">G16/$G$20</f>
        <v>0.166126972958477</v>
      </c>
      <c r="I16" s="625"/>
      <c r="J16" s="116">
        <f>'TUoS (t)'!BM129</f>
        <v>43778.223915100003</v>
      </c>
      <c r="K16" s="625">
        <f t="shared" ref="K16:K19" si="9">J16/$J$20</f>
        <v>0.16634584340010705</v>
      </c>
      <c r="M16" s="625">
        <f t="shared" ref="M16:M20" si="10">H16/E16-1</f>
        <v>-4.1814646960652735E-2</v>
      </c>
      <c r="N16" s="625">
        <f t="shared" ref="N16:N20" si="11">K16/E16-1</f>
        <v>-4.0552248400994473E-2</v>
      </c>
      <c r="P16" s="117">
        <f>J16-G16</f>
        <v>55.828966758926981</v>
      </c>
      <c r="Q16" s="625">
        <f t="shared" si="6"/>
        <v>1.2768963554007065E-3</v>
      </c>
      <c r="R16" s="625"/>
      <c r="S16" s="640"/>
      <c r="T16" s="640"/>
      <c r="U16" s="640"/>
      <c r="V16" s="640"/>
      <c r="W16" s="640"/>
      <c r="X16" s="640"/>
    </row>
    <row r="17" spans="3:24" x14ac:dyDescent="0.2">
      <c r="C17" s="3" t="s">
        <v>369</v>
      </c>
      <c r="D17" s="830">
        <f>'[18]TUOS (t)'!AJ135</f>
        <v>64056.131294787388</v>
      </c>
      <c r="E17" s="625">
        <f t="shared" si="7"/>
        <v>0.25575310309087196</v>
      </c>
      <c r="G17" s="116">
        <v>69063.369484449038</v>
      </c>
      <c r="H17" s="625">
        <f t="shared" si="8"/>
        <v>0.26241216951450858</v>
      </c>
      <c r="I17" s="625"/>
      <c r="J17" s="116">
        <f>'TUoS (t)'!BM130</f>
        <v>68310.769919999992</v>
      </c>
      <c r="K17" s="625">
        <f t="shared" si="9"/>
        <v>0.2595631256692818</v>
      </c>
      <c r="M17" s="625">
        <f t="shared" si="10"/>
        <v>2.6037089455257068E-2</v>
      </c>
      <c r="N17" s="625">
        <f t="shared" si="11"/>
        <v>1.4897268233950323E-2</v>
      </c>
      <c r="P17" s="117">
        <f>J17-G17</f>
        <v>-752.59956444904674</v>
      </c>
      <c r="Q17" s="625">
        <f t="shared" si="6"/>
        <v>-1.0897232064799693E-2</v>
      </c>
      <c r="R17" s="625"/>
      <c r="S17" s="640"/>
      <c r="T17" s="640"/>
      <c r="U17" s="640"/>
      <c r="V17" s="640"/>
      <c r="W17" s="640"/>
      <c r="X17" s="640"/>
    </row>
    <row r="18" spans="3:24" x14ac:dyDescent="0.2">
      <c r="C18" s="3" t="s">
        <v>370</v>
      </c>
      <c r="D18" s="830">
        <f>'[18]TUOS (t)'!AJ136</f>
        <v>15618.688975177889</v>
      </c>
      <c r="E18" s="625">
        <f t="shared" si="7"/>
        <v>6.2359809917805535E-2</v>
      </c>
      <c r="G18" s="116">
        <v>15074.027819496863</v>
      </c>
      <c r="H18" s="625">
        <f t="shared" si="8"/>
        <v>5.7275055835885783E-2</v>
      </c>
      <c r="I18" s="625"/>
      <c r="J18" s="116">
        <f>'TUoS (t)'!BM131</f>
        <v>15216.119793099999</v>
      </c>
      <c r="K18" s="625">
        <f t="shared" si="9"/>
        <v>5.781729028498208E-2</v>
      </c>
      <c r="M18" s="625">
        <f t="shared" si="10"/>
        <v>-8.1538960568061425E-2</v>
      </c>
      <c r="N18" s="625">
        <f t="shared" si="11"/>
        <v>-7.2843705566306372E-2</v>
      </c>
      <c r="P18" s="117">
        <f>J18-G18</f>
        <v>142.09197360313556</v>
      </c>
      <c r="Q18" s="625">
        <f t="shared" si="6"/>
        <v>9.4262777875036632E-3</v>
      </c>
      <c r="R18" s="625"/>
      <c r="S18" s="640"/>
      <c r="T18" s="640"/>
      <c r="U18" s="640"/>
      <c r="V18" s="640"/>
      <c r="W18" s="640"/>
      <c r="X18" s="640"/>
    </row>
    <row r="19" spans="3:24" x14ac:dyDescent="0.2">
      <c r="C19" s="3" t="s">
        <v>113</v>
      </c>
      <c r="D19" s="830">
        <f>'[18]TUOS (t)'!AJ137</f>
        <v>17810.213915084274</v>
      </c>
      <c r="E19" s="625">
        <f t="shared" si="7"/>
        <v>7.1109781115764922E-2</v>
      </c>
      <c r="G19" s="116">
        <v>20630.960050958605</v>
      </c>
      <c r="H19" s="625">
        <f t="shared" si="8"/>
        <v>7.8389094342670745E-2</v>
      </c>
      <c r="I19" s="625"/>
      <c r="J19" s="116">
        <f>'TUoS (t)'!BM132</f>
        <v>20563.255253371201</v>
      </c>
      <c r="K19" s="625">
        <f t="shared" si="9"/>
        <v>7.81350117082725E-2</v>
      </c>
      <c r="M19" s="625">
        <f t="shared" si="10"/>
        <v>0.10236725683426418</v>
      </c>
      <c r="N19" s="625">
        <f t="shared" si="11"/>
        <v>9.8794152960064441E-2</v>
      </c>
      <c r="P19" s="117">
        <f>J19-G19</f>
        <v>-67.704797587404755</v>
      </c>
      <c r="Q19" s="625">
        <f t="shared" si="6"/>
        <v>-3.281708530294929E-3</v>
      </c>
      <c r="R19" s="625"/>
      <c r="S19" s="640"/>
      <c r="T19" s="640"/>
      <c r="U19" s="640"/>
      <c r="V19" s="640"/>
      <c r="W19" s="640"/>
      <c r="X19" s="640"/>
    </row>
    <row r="20" spans="3:24" ht="13.5" thickBot="1" x14ac:dyDescent="0.25">
      <c r="C20" s="36" t="s">
        <v>212</v>
      </c>
      <c r="D20" s="823">
        <f>SUM(D15:D19)</f>
        <v>250460.8175644599</v>
      </c>
      <c r="E20" s="824">
        <f>SUM(E15:E19)</f>
        <v>0.99999999999999989</v>
      </c>
      <c r="F20" s="36"/>
      <c r="G20" s="823">
        <f>SUM(G15:G19)</f>
        <v>263186.61063709005</v>
      </c>
      <c r="H20" s="824">
        <f>SUM(H15:H19)</f>
        <v>1</v>
      </c>
      <c r="I20" s="625"/>
      <c r="J20" s="823">
        <f>SUM(J15:J19)</f>
        <v>263175.94128157117</v>
      </c>
      <c r="K20" s="824">
        <f>SUM(K15:K19)</f>
        <v>1</v>
      </c>
      <c r="M20" s="824">
        <f t="shared" si="10"/>
        <v>0</v>
      </c>
      <c r="N20" s="824">
        <f t="shared" si="11"/>
        <v>0</v>
      </c>
      <c r="P20" s="823">
        <f>SUM(P15:P19)</f>
        <v>-10.669355518843076</v>
      </c>
      <c r="Q20" s="824">
        <f t="shared" si="6"/>
        <v>-4.0539127324965363E-5</v>
      </c>
      <c r="R20" s="832"/>
      <c r="S20" s="640"/>
      <c r="T20" s="640"/>
      <c r="U20" s="640"/>
      <c r="V20" s="640"/>
      <c r="W20" s="640"/>
      <c r="X20" s="640"/>
    </row>
    <row r="21" spans="3:24" x14ac:dyDescent="0.2">
      <c r="I21" s="625"/>
    </row>
    <row r="22" spans="3:24" x14ac:dyDescent="0.2">
      <c r="C22" s="36" t="s">
        <v>678</v>
      </c>
      <c r="D22" s="628" t="s">
        <v>187</v>
      </c>
      <c r="E22" s="628" t="s">
        <v>681</v>
      </c>
      <c r="F22" s="628"/>
      <c r="G22" s="628" t="s">
        <v>187</v>
      </c>
      <c r="H22" s="628" t="s">
        <v>681</v>
      </c>
      <c r="I22" s="628"/>
      <c r="J22" s="628" t="s">
        <v>187</v>
      </c>
      <c r="K22" s="628" t="s">
        <v>681</v>
      </c>
      <c r="M22" s="629"/>
      <c r="N22" s="629"/>
      <c r="P22" s="628" t="s">
        <v>676</v>
      </c>
      <c r="Q22" s="628" t="s">
        <v>677</v>
      </c>
      <c r="R22" s="628"/>
      <c r="S22" s="639" t="s">
        <v>521</v>
      </c>
      <c r="T22" s="627"/>
      <c r="U22" s="627"/>
      <c r="V22" s="627"/>
      <c r="W22" s="627"/>
      <c r="X22" s="627"/>
    </row>
    <row r="23" spans="3:24" x14ac:dyDescent="0.2">
      <c r="C23" s="3" t="s">
        <v>367</v>
      </c>
      <c r="D23" s="830">
        <f>'[18]JSO (t)'!AJ133</f>
        <v>53262.196581020231</v>
      </c>
      <c r="E23" s="625">
        <f>D23/$D$28</f>
        <v>0.63714683697891783</v>
      </c>
      <c r="G23" s="116">
        <v>51061.499999999993</v>
      </c>
      <c r="H23" s="625">
        <f>G23/$G$28</f>
        <v>0.63</v>
      </c>
      <c r="I23" s="625"/>
      <c r="J23" s="116">
        <f>'JSO (t)'!BM128</f>
        <v>51420.056017999996</v>
      </c>
      <c r="K23" s="625">
        <f>J23/$J$28</f>
        <v>0.63443609209692287</v>
      </c>
      <c r="M23" s="625">
        <f>H23/E23-1</f>
        <v>-1.1216938646050778E-2</v>
      </c>
      <c r="N23" s="625">
        <f>K23/E23-1</f>
        <v>-4.254505750743709E-3</v>
      </c>
      <c r="P23" s="117">
        <f>J23-G23</f>
        <v>358.55601800000295</v>
      </c>
      <c r="Q23" s="625">
        <f t="shared" ref="Q23:Q28" si="12">P23/G23</f>
        <v>7.022042399851219E-3</v>
      </c>
      <c r="R23" s="625"/>
      <c r="S23" s="640"/>
      <c r="T23" s="640"/>
      <c r="U23" s="640"/>
      <c r="V23" s="640"/>
      <c r="W23" s="640"/>
      <c r="X23" s="640"/>
    </row>
    <row r="24" spans="3:24" x14ac:dyDescent="0.2">
      <c r="C24" s="3" t="s">
        <v>368</v>
      </c>
      <c r="D24" s="830">
        <f>'[18]JSO (t)'!AJ134</f>
        <v>11416.517361763565</v>
      </c>
      <c r="E24" s="625">
        <f t="shared" ref="E24:E27" si="13">D24/$D$28</f>
        <v>0.13656961960435959</v>
      </c>
      <c r="G24" s="116">
        <v>11510.838693794207</v>
      </c>
      <c r="H24" s="625">
        <f t="shared" ref="H24:H27" si="14">G24/$G$28</f>
        <v>0.14202145211343872</v>
      </c>
      <c r="I24" s="625"/>
      <c r="J24" s="116">
        <f>'JSO (t)'!BM129</f>
        <v>11234.329313999999</v>
      </c>
      <c r="K24" s="625">
        <f t="shared" ref="K24:K27" si="15">J24/$J$28</f>
        <v>0.13861252863686183</v>
      </c>
      <c r="M24" s="625">
        <f t="shared" ref="M24:M28" si="16">H24/E24-1</f>
        <v>3.9919804454848773E-2</v>
      </c>
      <c r="N24" s="625">
        <f t="shared" ref="N24:N28" si="17">K24/E24-1</f>
        <v>1.495873707798645E-2</v>
      </c>
      <c r="P24" s="117">
        <f>J24-G24</f>
        <v>-276.50937979420814</v>
      </c>
      <c r="Q24" s="625">
        <f t="shared" si="12"/>
        <v>-2.4021653604031613E-2</v>
      </c>
      <c r="R24" s="625"/>
      <c r="S24" s="640"/>
      <c r="T24" s="640"/>
      <c r="U24" s="640"/>
      <c r="V24" s="640"/>
      <c r="W24" s="640"/>
      <c r="X24" s="640"/>
    </row>
    <row r="25" spans="3:24" x14ac:dyDescent="0.2">
      <c r="C25" s="3" t="s">
        <v>369</v>
      </c>
      <c r="D25" s="830">
        <f>'[18]JSO (t)'!AJ135</f>
        <v>15274.897877603014</v>
      </c>
      <c r="E25" s="625">
        <f t="shared" si="13"/>
        <v>0.1827253379061507</v>
      </c>
      <c r="G25" s="116">
        <v>14802.364470621989</v>
      </c>
      <c r="H25" s="625">
        <f t="shared" si="14"/>
        <v>0.18263250426430588</v>
      </c>
      <c r="I25" s="625"/>
      <c r="J25" s="116">
        <f>'JSO (t)'!BM130</f>
        <v>14661.184659999997</v>
      </c>
      <c r="K25" s="625">
        <f t="shared" si="15"/>
        <v>0.18089409894741573</v>
      </c>
      <c r="M25" s="625">
        <f t="shared" si="16"/>
        <v>-5.080501856424835E-4</v>
      </c>
      <c r="N25" s="625">
        <f t="shared" si="17"/>
        <v>-1.0021811861010255E-2</v>
      </c>
      <c r="P25" s="117">
        <f>J25-G25</f>
        <v>-141.17981062199215</v>
      </c>
      <c r="Q25" s="625">
        <f t="shared" si="12"/>
        <v>-9.5376526434131116E-3</v>
      </c>
      <c r="R25" s="625"/>
      <c r="S25" s="640"/>
      <c r="T25" s="640"/>
      <c r="U25" s="640"/>
      <c r="V25" s="640"/>
      <c r="W25" s="640"/>
      <c r="X25" s="640"/>
    </row>
    <row r="26" spans="3:24" x14ac:dyDescent="0.2">
      <c r="C26" s="3" t="s">
        <v>370</v>
      </c>
      <c r="D26" s="830">
        <f>'[18]JSO (t)'!AJ136</f>
        <v>2734.0140697740003</v>
      </c>
      <c r="E26" s="625">
        <f t="shared" si="13"/>
        <v>3.2705530913704484E-2</v>
      </c>
      <c r="G26" s="116">
        <v>2665.8367683961737</v>
      </c>
      <c r="H26" s="625">
        <f t="shared" si="14"/>
        <v>3.2891261793907146E-2</v>
      </c>
      <c r="I26" s="625"/>
      <c r="J26" s="116">
        <f>'JSO (t)'!BM131</f>
        <v>2658.1200000000003</v>
      </c>
      <c r="K26" s="625">
        <f t="shared" si="15"/>
        <v>3.2796682767796535E-2</v>
      </c>
      <c r="M26" s="625">
        <f t="shared" si="16"/>
        <v>5.6788828988199036E-3</v>
      </c>
      <c r="N26" s="625">
        <f t="shared" si="17"/>
        <v>2.7870470695785521E-3</v>
      </c>
      <c r="P26" s="117">
        <f>J26-G26</f>
        <v>-7.7167683961733928</v>
      </c>
      <c r="Q26" s="625">
        <f t="shared" si="12"/>
        <v>-2.8946890100911807E-3</v>
      </c>
      <c r="R26" s="625"/>
      <c r="S26" s="640"/>
      <c r="T26" s="640"/>
      <c r="U26" s="640"/>
      <c r="V26" s="640"/>
      <c r="W26" s="640"/>
      <c r="X26" s="640"/>
    </row>
    <row r="27" spans="3:24" x14ac:dyDescent="0.2">
      <c r="C27" s="3" t="s">
        <v>113</v>
      </c>
      <c r="D27" s="830">
        <f>'[18]JSO (t)'!AJ137</f>
        <v>907.22774446940014</v>
      </c>
      <c r="E27" s="625">
        <f t="shared" si="13"/>
        <v>1.0852674596867404E-2</v>
      </c>
      <c r="G27" s="116">
        <v>1009.4600671876249</v>
      </c>
      <c r="H27" s="625">
        <f t="shared" si="14"/>
        <v>1.2454781828348242E-2</v>
      </c>
      <c r="I27" s="625"/>
      <c r="J27" s="116">
        <f>'JSO (t)'!BM132</f>
        <v>1074.7507548807</v>
      </c>
      <c r="K27" s="625">
        <f t="shared" si="15"/>
        <v>1.3260597551003027E-2</v>
      </c>
      <c r="M27" s="625">
        <f t="shared" si="16"/>
        <v>0.14762326255900837</v>
      </c>
      <c r="N27" s="625">
        <f t="shared" si="17"/>
        <v>0.22187368953554198</v>
      </c>
      <c r="P27" s="117">
        <f>J27-G27</f>
        <v>65.290687693075142</v>
      </c>
      <c r="Q27" s="625">
        <f t="shared" si="12"/>
        <v>6.4678821694231309E-2</v>
      </c>
      <c r="R27" s="625"/>
      <c r="S27" s="640"/>
      <c r="T27" s="640"/>
      <c r="U27" s="640"/>
      <c r="V27" s="640"/>
      <c r="W27" s="640"/>
      <c r="X27" s="640"/>
    </row>
    <row r="28" spans="3:24" ht="13.5" thickBot="1" x14ac:dyDescent="0.25">
      <c r="C28" s="36" t="s">
        <v>212</v>
      </c>
      <c r="D28" s="823">
        <f>SUM(D23:D27)</f>
        <v>83594.853634630213</v>
      </c>
      <c r="E28" s="824">
        <f>SUM(E23:E27)</f>
        <v>1</v>
      </c>
      <c r="F28" s="36"/>
      <c r="G28" s="823">
        <f>SUM(G23:G27)</f>
        <v>81049.999999999985</v>
      </c>
      <c r="H28" s="824">
        <f>SUM(H23:H27)</f>
        <v>1</v>
      </c>
      <c r="I28" s="625"/>
      <c r="J28" s="823">
        <f>SUM(J23:J27)</f>
        <v>81048.440746880689</v>
      </c>
      <c r="K28" s="824">
        <f>SUM(K23:K27)</f>
        <v>1</v>
      </c>
      <c r="M28" s="824">
        <f t="shared" si="16"/>
        <v>0</v>
      </c>
      <c r="N28" s="824">
        <f t="shared" si="17"/>
        <v>0</v>
      </c>
      <c r="P28" s="823">
        <f>SUM(P23:P27)</f>
        <v>-1.5592531192955903</v>
      </c>
      <c r="Q28" s="824">
        <f t="shared" si="12"/>
        <v>-1.9238163100500809E-5</v>
      </c>
      <c r="R28" s="832"/>
      <c r="S28" s="640"/>
      <c r="T28" s="640"/>
      <c r="U28" s="640"/>
      <c r="V28" s="640"/>
      <c r="W28" s="640"/>
      <c r="X28" s="640"/>
    </row>
    <row r="29" spans="3:24" x14ac:dyDescent="0.2">
      <c r="I29" s="625"/>
    </row>
    <row r="30" spans="3:24" x14ac:dyDescent="0.2">
      <c r="C30" s="36" t="s">
        <v>289</v>
      </c>
      <c r="D30" s="628" t="s">
        <v>187</v>
      </c>
      <c r="E30" s="628" t="s">
        <v>681</v>
      </c>
      <c r="F30" s="628"/>
      <c r="G30" s="628" t="s">
        <v>187</v>
      </c>
      <c r="H30" s="628" t="s">
        <v>681</v>
      </c>
      <c r="I30" s="628"/>
      <c r="J30" s="628" t="s">
        <v>187</v>
      </c>
      <c r="K30" s="628" t="s">
        <v>681</v>
      </c>
      <c r="M30" s="629"/>
      <c r="N30" s="629"/>
      <c r="P30" s="628" t="s">
        <v>676</v>
      </c>
      <c r="Q30" s="628" t="s">
        <v>677</v>
      </c>
      <c r="R30" s="628"/>
      <c r="S30" s="639" t="s">
        <v>521</v>
      </c>
      <c r="T30" s="627"/>
      <c r="U30" s="627"/>
      <c r="V30" s="627"/>
      <c r="W30" s="627"/>
      <c r="X30" s="627"/>
    </row>
    <row r="31" spans="3:24" x14ac:dyDescent="0.2">
      <c r="C31" s="3" t="s">
        <v>367</v>
      </c>
      <c r="D31" s="830">
        <f>SUM(D7,D15,D23)</f>
        <v>613010.20491641527</v>
      </c>
      <c r="E31" s="625">
        <f>D31/$D$36</f>
        <v>0.51413790925827318</v>
      </c>
      <c r="G31" s="116">
        <v>606333.25791919604</v>
      </c>
      <c r="H31" s="625">
        <f>G31/$G$36</f>
        <v>0.52592254343338352</v>
      </c>
      <c r="I31" s="625"/>
      <c r="J31" s="116">
        <f>'NUoS (t)'!BM128</f>
        <v>604377.11020399991</v>
      </c>
      <c r="K31" s="625">
        <f>J31/$J$36</f>
        <v>0.52424461634558639</v>
      </c>
      <c r="M31" s="625">
        <f>H31/E31-1</f>
        <v>2.2921153960639762E-2</v>
      </c>
      <c r="N31" s="621">
        <f>K31/E31-1</f>
        <v>1.9657580009794895E-2</v>
      </c>
      <c r="P31" s="117">
        <f>J31-G31</f>
        <v>-1956.1477151961299</v>
      </c>
      <c r="Q31" s="625">
        <f t="shared" ref="Q31:Q36" si="18">P31/G31</f>
        <v>-3.2261923449642257E-3</v>
      </c>
      <c r="R31" s="625"/>
      <c r="S31" s="640" t="s">
        <v>691</v>
      </c>
      <c r="T31" s="640"/>
      <c r="U31" s="640"/>
      <c r="V31" s="640"/>
      <c r="W31" s="640"/>
      <c r="X31" s="640"/>
    </row>
    <row r="32" spans="3:24" x14ac:dyDescent="0.2">
      <c r="C32" s="3" t="s">
        <v>368</v>
      </c>
      <c r="D32" s="830">
        <f t="shared" ref="D32:D35" si="19">SUM(D8,D16,D24)</f>
        <v>206874.04530511261</v>
      </c>
      <c r="E32" s="625">
        <f t="shared" ref="E32:E35" si="20">D32/$D$36</f>
        <v>0.17350737113336381</v>
      </c>
      <c r="G32" s="116">
        <v>196518.50994681692</v>
      </c>
      <c r="H32" s="625">
        <f t="shared" ref="H32:H35" si="21">G32/$G$36</f>
        <v>0.1704566147957238</v>
      </c>
      <c r="I32" s="625"/>
      <c r="J32" s="116">
        <f>'NUoS (t)'!BM129</f>
        <v>196502.02866439999</v>
      </c>
      <c r="K32" s="625">
        <f t="shared" ref="K32:K35" si="22">J32/$J$36</f>
        <v>0.17044843176394672</v>
      </c>
      <c r="M32" s="625">
        <f t="shared" ref="M32:M36" si="23">H32/E32-1</f>
        <v>-1.7582863008713923E-2</v>
      </c>
      <c r="N32" s="625">
        <f t="shared" ref="N32:N36" si="24">K32/E32-1</f>
        <v>-1.7630025453304166E-2</v>
      </c>
      <c r="P32" s="117">
        <f>J32-G32</f>
        <v>-16.481282416934846</v>
      </c>
      <c r="Q32" s="625">
        <f t="shared" si="18"/>
        <v>-8.3866310717474468E-5</v>
      </c>
      <c r="R32" s="625"/>
      <c r="S32" s="640"/>
      <c r="T32" s="640"/>
      <c r="U32" s="640"/>
      <c r="V32" s="640"/>
      <c r="W32" s="640"/>
      <c r="X32" s="640"/>
    </row>
    <row r="33" spans="1:24" x14ac:dyDescent="0.2">
      <c r="C33" s="3" t="s">
        <v>369</v>
      </c>
      <c r="D33" s="830">
        <f t="shared" si="19"/>
        <v>286682.78392346122</v>
      </c>
      <c r="E33" s="625">
        <f t="shared" si="20"/>
        <v>0.24044377396106653</v>
      </c>
      <c r="G33" s="116">
        <v>265551.55284522148</v>
      </c>
      <c r="H33" s="625">
        <f t="shared" si="21"/>
        <v>0.23033463241703853</v>
      </c>
      <c r="I33" s="625"/>
      <c r="J33" s="116">
        <f>'NUoS (t)'!BM130</f>
        <v>266535.83535539999</v>
      </c>
      <c r="K33" s="625">
        <f t="shared" si="22"/>
        <v>0.2311966723906502</v>
      </c>
      <c r="M33" s="625">
        <f t="shared" si="23"/>
        <v>-4.2043681886580697E-2</v>
      </c>
      <c r="N33" s="625">
        <f t="shared" si="24"/>
        <v>-3.8458477913899558E-2</v>
      </c>
      <c r="P33" s="117">
        <f>J33-G33</f>
        <v>984.28251017851289</v>
      </c>
      <c r="Q33" s="625">
        <f t="shared" si="18"/>
        <v>3.7065590452495249E-3</v>
      </c>
      <c r="R33" s="625"/>
      <c r="S33" s="640" t="s">
        <v>689</v>
      </c>
      <c r="T33" s="640"/>
      <c r="U33" s="640"/>
      <c r="V33" s="640"/>
      <c r="W33" s="640"/>
      <c r="X33" s="640"/>
    </row>
    <row r="34" spans="1:24" x14ac:dyDescent="0.2">
      <c r="C34" s="3" t="s">
        <v>370</v>
      </c>
      <c r="D34" s="830">
        <f t="shared" si="19"/>
        <v>54784.844200602551</v>
      </c>
      <c r="E34" s="625">
        <f t="shared" si="20"/>
        <v>4.5948607430081244E-2</v>
      </c>
      <c r="G34" s="116">
        <v>50460.632763464062</v>
      </c>
      <c r="H34" s="625">
        <f t="shared" si="21"/>
        <v>4.37686436948765E-2</v>
      </c>
      <c r="I34" s="625"/>
      <c r="J34" s="116">
        <f>'NUoS (t)'!BM131</f>
        <v>51384.979133700006</v>
      </c>
      <c r="K34" s="625">
        <f t="shared" si="22"/>
        <v>4.4572003500893402E-2</v>
      </c>
      <c r="M34" s="625">
        <f t="shared" si="23"/>
        <v>-4.7443521297613533E-2</v>
      </c>
      <c r="N34" s="625">
        <f t="shared" si="24"/>
        <v>-2.9959644180350464E-2</v>
      </c>
      <c r="P34" s="117">
        <f>J34-G34</f>
        <v>924.34637023594405</v>
      </c>
      <c r="Q34" s="625">
        <f t="shared" si="18"/>
        <v>1.8318168433773891E-2</v>
      </c>
      <c r="R34" s="625"/>
      <c r="S34" s="640" t="s">
        <v>690</v>
      </c>
      <c r="T34" s="640"/>
      <c r="U34" s="640"/>
      <c r="V34" s="640"/>
      <c r="W34" s="640"/>
      <c r="X34" s="640"/>
    </row>
    <row r="35" spans="1:24" x14ac:dyDescent="0.2">
      <c r="C35" s="3" t="s">
        <v>113</v>
      </c>
      <c r="D35" s="830">
        <f t="shared" si="19"/>
        <v>30955.076418318451</v>
      </c>
      <c r="E35" s="625">
        <f t="shared" si="20"/>
        <v>2.5962338217215122E-2</v>
      </c>
      <c r="G35" s="116">
        <v>34030.641917365538</v>
      </c>
      <c r="H35" s="625">
        <f t="shared" si="21"/>
        <v>2.9517565658977486E-2</v>
      </c>
      <c r="I35" s="625"/>
      <c r="J35" s="116">
        <f>'NUoS (t)'!BM132</f>
        <v>34053.297510391494</v>
      </c>
      <c r="K35" s="625">
        <f t="shared" si="22"/>
        <v>2.9538275998923082E-2</v>
      </c>
      <c r="M35" s="625">
        <f t="shared" si="23"/>
        <v>0.13693787562650894</v>
      </c>
      <c r="N35" s="625">
        <f t="shared" si="24"/>
        <v>0.13773558266554065</v>
      </c>
      <c r="P35" s="117">
        <f>J35-G35</f>
        <v>22.655593025956478</v>
      </c>
      <c r="Q35" s="625">
        <f t="shared" si="18"/>
        <v>6.6574098369844524E-4</v>
      </c>
      <c r="R35" s="625"/>
      <c r="S35" s="640" t="s">
        <v>692</v>
      </c>
      <c r="T35" s="640"/>
      <c r="U35" s="640"/>
      <c r="V35" s="640"/>
      <c r="W35" s="640"/>
      <c r="X35" s="640"/>
    </row>
    <row r="36" spans="1:24" ht="13.5" thickBot="1" x14ac:dyDescent="0.25">
      <c r="C36" s="36" t="s">
        <v>212</v>
      </c>
      <c r="D36" s="823">
        <f>SUM(D31:D35)</f>
        <v>1192306.9547639103</v>
      </c>
      <c r="E36" s="824">
        <f>SUM(E31:E35)</f>
        <v>0.99999999999999989</v>
      </c>
      <c r="F36" s="36"/>
      <c r="G36" s="823">
        <f>SUM(G31:G35)</f>
        <v>1152894.5953920642</v>
      </c>
      <c r="H36" s="824">
        <f>SUM(H31:H35)</f>
        <v>0.99999999999999989</v>
      </c>
      <c r="I36" s="625"/>
      <c r="J36" s="823">
        <f>SUM(J31:J35)</f>
        <v>1152853.2508678916</v>
      </c>
      <c r="K36" s="824">
        <f>SUM(K31:K35)</f>
        <v>0.99999999999999989</v>
      </c>
      <c r="M36" s="824">
        <f t="shared" si="23"/>
        <v>0</v>
      </c>
      <c r="N36" s="824">
        <f t="shared" si="24"/>
        <v>0</v>
      </c>
      <c r="P36" s="823">
        <f>SUM(P31:P35)</f>
        <v>-41.34452417265129</v>
      </c>
      <c r="Q36" s="824">
        <f t="shared" si="18"/>
        <v>-3.5861495350831514E-5</v>
      </c>
      <c r="R36" s="832"/>
      <c r="S36" s="640"/>
      <c r="T36" s="640"/>
      <c r="U36" s="640"/>
      <c r="V36" s="640"/>
      <c r="W36" s="640"/>
      <c r="X36" s="640"/>
    </row>
    <row r="37" spans="1:24" x14ac:dyDescent="0.2">
      <c r="J37" s="21"/>
      <c r="K37" s="21"/>
      <c r="M37" s="21"/>
      <c r="N37" s="21"/>
    </row>
    <row r="39" spans="1:24" s="609" customFormat="1" ht="15" x14ac:dyDescent="0.25">
      <c r="A39" s="631" t="s">
        <v>503</v>
      </c>
      <c r="B39" s="635"/>
    </row>
    <row r="41" spans="1:24" s="641" customFormat="1" ht="15" x14ac:dyDescent="0.25">
      <c r="B41" s="642" t="s">
        <v>367</v>
      </c>
    </row>
    <row r="42" spans="1:24" ht="12.75" customHeight="1" x14ac:dyDescent="0.25">
      <c r="B42" s="636"/>
    </row>
    <row r="43" spans="1:24" ht="12.75" customHeight="1" x14ac:dyDescent="0.25">
      <c r="C43" s="3" t="s">
        <v>514</v>
      </c>
      <c r="G43" s="622">
        <f>0.442*366</f>
        <v>161.77199999999999</v>
      </c>
      <c r="H43" s="3" t="s">
        <v>496</v>
      </c>
    </row>
    <row r="44" spans="1:24" ht="12.75" customHeight="1" x14ac:dyDescent="0.2">
      <c r="C44" s="3" t="s">
        <v>506</v>
      </c>
      <c r="G44" s="624">
        <f>'2020-25 Pricing Schedule'!I7</f>
        <v>0.13779999999999998</v>
      </c>
    </row>
    <row r="45" spans="1:24" ht="12.75" customHeight="1" x14ac:dyDescent="0.2">
      <c r="C45" s="3" t="s">
        <v>507</v>
      </c>
      <c r="G45" s="624">
        <f>'2020-25 Pricing Schedule'!F7</f>
        <v>9.2299999999999993E-2</v>
      </c>
      <c r="L45" s="623"/>
      <c r="M45" s="623"/>
    </row>
    <row r="46" spans="1:24" ht="12.75" customHeight="1" x14ac:dyDescent="0.2"/>
    <row r="47" spans="1:24" s="627" customFormat="1" ht="25.5" x14ac:dyDescent="0.2">
      <c r="G47" s="628" t="s">
        <v>498</v>
      </c>
      <c r="H47" s="629" t="s">
        <v>502</v>
      </c>
      <c r="I47" s="629"/>
      <c r="J47" s="628" t="s">
        <v>497</v>
      </c>
      <c r="K47" s="628"/>
      <c r="L47" s="639" t="s">
        <v>521</v>
      </c>
      <c r="M47" s="639"/>
    </row>
    <row r="48" spans="1:24" x14ac:dyDescent="0.2">
      <c r="B48" s="21" t="s">
        <v>428</v>
      </c>
      <c r="C48" s="3" t="s">
        <v>488</v>
      </c>
      <c r="G48" s="626">
        <f>'Pricing Scheule (t)'!E13*Days_Year</f>
        <v>170.017</v>
      </c>
      <c r="H48" s="623">
        <f>ROUND(G48-G43,0)</f>
        <v>8</v>
      </c>
      <c r="I48" s="623"/>
      <c r="J48" s="21" t="str">
        <f>IF(H48=10,"OK","ERROR")</f>
        <v>ERROR</v>
      </c>
      <c r="K48" s="21"/>
      <c r="L48" s="640" t="s">
        <v>621</v>
      </c>
      <c r="M48" s="640"/>
      <c r="N48" s="640"/>
      <c r="O48" s="640"/>
      <c r="P48" s="640"/>
      <c r="Q48" s="640"/>
      <c r="R48" s="640"/>
      <c r="S48" s="640"/>
      <c r="T48" s="640"/>
    </row>
    <row r="49" spans="2:20" x14ac:dyDescent="0.2">
      <c r="B49" s="21" t="s">
        <v>483</v>
      </c>
      <c r="C49" s="3" t="s">
        <v>499</v>
      </c>
      <c r="G49" s="624">
        <f>'Pricing Scheule (t)'!G15</f>
        <v>0.17230000000000001</v>
      </c>
      <c r="H49" s="625">
        <f>ROUND(G49/$G$44,2)</f>
        <v>1.25</v>
      </c>
      <c r="I49" s="625"/>
      <c r="J49" s="21" t="str">
        <f>IF(H49=125%,"OK","ERROR")</f>
        <v>OK</v>
      </c>
      <c r="K49" s="21"/>
      <c r="L49" s="640"/>
      <c r="M49" s="640"/>
      <c r="N49" s="640"/>
      <c r="O49" s="640"/>
      <c r="P49" s="640"/>
      <c r="Q49" s="640"/>
      <c r="R49" s="640"/>
      <c r="S49" s="640"/>
      <c r="T49" s="640"/>
    </row>
    <row r="50" spans="2:20" x14ac:dyDescent="0.2">
      <c r="B50" s="21" t="s">
        <v>484</v>
      </c>
      <c r="C50" s="3" t="s">
        <v>489</v>
      </c>
      <c r="G50" s="624">
        <f>G49</f>
        <v>0.17230000000000001</v>
      </c>
      <c r="H50" s="625">
        <f t="shared" ref="H50:H54" si="25">ROUND(G50/$G$44,2)</f>
        <v>1.25</v>
      </c>
      <c r="I50" s="625"/>
      <c r="J50" s="21" t="str">
        <f>IF(H50=125%,"OK","ERROR")</f>
        <v>OK</v>
      </c>
      <c r="K50" s="21"/>
      <c r="L50" s="640"/>
      <c r="M50" s="640"/>
      <c r="N50" s="640"/>
      <c r="O50" s="640"/>
      <c r="P50" s="640"/>
      <c r="Q50" s="640"/>
      <c r="R50" s="640"/>
      <c r="S50" s="640"/>
      <c r="T50" s="640"/>
    </row>
    <row r="51" spans="2:20" x14ac:dyDescent="0.2">
      <c r="B51" s="21" t="s">
        <v>485</v>
      </c>
      <c r="C51" s="3" t="s">
        <v>492</v>
      </c>
      <c r="G51" s="624">
        <f>'Pricing Scheule (t)'!H15</f>
        <v>6.9000000000000006E-2</v>
      </c>
      <c r="H51" s="625">
        <f t="shared" si="25"/>
        <v>0.5</v>
      </c>
      <c r="I51" s="625"/>
      <c r="J51" s="21" t="str">
        <f>IF(H51=50%,"OK","ERROR")</f>
        <v>OK</v>
      </c>
      <c r="K51" s="21"/>
      <c r="L51" s="640"/>
      <c r="M51" s="640"/>
      <c r="N51" s="640"/>
      <c r="O51" s="640"/>
      <c r="P51" s="640"/>
      <c r="Q51" s="640"/>
      <c r="R51" s="640"/>
      <c r="S51" s="640"/>
      <c r="T51" s="640"/>
    </row>
    <row r="52" spans="2:20" x14ac:dyDescent="0.2">
      <c r="B52" s="21" t="s">
        <v>486</v>
      </c>
      <c r="C52" s="3" t="s">
        <v>493</v>
      </c>
      <c r="G52" s="624">
        <f>G51</f>
        <v>6.9000000000000006E-2</v>
      </c>
      <c r="H52" s="625">
        <f t="shared" si="25"/>
        <v>0.5</v>
      </c>
      <c r="I52" s="625"/>
      <c r="J52" s="21" t="str">
        <f>IF(H52=50%,"OK","ERROR")</f>
        <v>OK</v>
      </c>
      <c r="K52" s="21"/>
      <c r="L52" s="640"/>
      <c r="M52" s="640"/>
      <c r="N52" s="640"/>
      <c r="O52" s="640"/>
      <c r="P52" s="640"/>
      <c r="Q52" s="640"/>
      <c r="R52" s="640"/>
      <c r="S52" s="640"/>
      <c r="T52" s="640"/>
    </row>
    <row r="53" spans="2:20" x14ac:dyDescent="0.2">
      <c r="B53" s="21" t="s">
        <v>487</v>
      </c>
      <c r="C53" s="3" t="s">
        <v>494</v>
      </c>
      <c r="G53" s="624">
        <f>'Pricing Scheule (t)'!I15</f>
        <v>3.4500000000000003E-2</v>
      </c>
      <c r="H53" s="625">
        <f t="shared" si="25"/>
        <v>0.25</v>
      </c>
      <c r="I53" s="625"/>
      <c r="J53" s="21" t="str">
        <f>IF(H53=25%,"OK","ERROR")</f>
        <v>OK</v>
      </c>
      <c r="K53" s="21"/>
      <c r="L53" s="640"/>
      <c r="M53" s="640"/>
      <c r="N53" s="640"/>
      <c r="O53" s="640"/>
      <c r="P53" s="640"/>
      <c r="Q53" s="640"/>
      <c r="R53" s="640"/>
      <c r="S53" s="640"/>
      <c r="T53" s="640"/>
    </row>
    <row r="54" spans="2:20" x14ac:dyDescent="0.2">
      <c r="B54" s="21" t="s">
        <v>490</v>
      </c>
      <c r="C54" s="3" t="s">
        <v>495</v>
      </c>
      <c r="G54" s="624">
        <f>G53</f>
        <v>3.4500000000000003E-2</v>
      </c>
      <c r="H54" s="625">
        <f t="shared" si="25"/>
        <v>0.25</v>
      </c>
      <c r="I54" s="625"/>
      <c r="J54" s="21" t="str">
        <f>IF(H54=25%,"OK","ERROR")</f>
        <v>OK</v>
      </c>
      <c r="K54" s="21"/>
      <c r="L54" s="640"/>
      <c r="M54" s="640"/>
      <c r="N54" s="640"/>
      <c r="O54" s="640"/>
      <c r="P54" s="640"/>
      <c r="Q54" s="640"/>
      <c r="R54" s="640"/>
      <c r="S54" s="640"/>
      <c r="T54" s="640"/>
    </row>
    <row r="55" spans="2:20" x14ac:dyDescent="0.2">
      <c r="B55" s="21" t="s">
        <v>491</v>
      </c>
      <c r="C55" s="3" t="s">
        <v>500</v>
      </c>
      <c r="G55" s="624">
        <f>'Pricing Scheule (t)'!G16</f>
        <v>0.10329999999999999</v>
      </c>
      <c r="H55" s="625">
        <f>ROUND(G55/$G$50,2)</f>
        <v>0.6</v>
      </c>
      <c r="I55" s="625"/>
      <c r="J55" s="21" t="str">
        <f>IF(H55=60%,"OK","ERROR")</f>
        <v>OK</v>
      </c>
      <c r="K55" s="21"/>
      <c r="L55" s="640"/>
      <c r="M55" s="640"/>
      <c r="N55" s="640"/>
      <c r="O55" s="640"/>
      <c r="P55" s="640"/>
      <c r="Q55" s="640"/>
      <c r="R55" s="640"/>
      <c r="S55" s="640"/>
      <c r="T55" s="640"/>
    </row>
    <row r="56" spans="2:20" ht="63.75" x14ac:dyDescent="0.2">
      <c r="B56" s="637" t="s">
        <v>501</v>
      </c>
      <c r="C56" s="630" t="s">
        <v>518</v>
      </c>
      <c r="D56" s="630"/>
      <c r="E56" s="630"/>
      <c r="F56" s="630"/>
      <c r="G56" s="632">
        <f>'Pricing Scheule (t)'!AI16*Days_Summer_Demand</f>
        <v>77.493200000000002</v>
      </c>
      <c r="H56" s="633">
        <f>ROUND((G45*840)-G56,0)</f>
        <v>0</v>
      </c>
      <c r="I56" s="633"/>
      <c r="J56" s="637" t="str">
        <f>IF(H56=0,"OK","ERROR")</f>
        <v>OK</v>
      </c>
      <c r="K56" s="637"/>
      <c r="L56" s="640"/>
      <c r="M56" s="640"/>
      <c r="N56" s="640"/>
      <c r="O56" s="640"/>
      <c r="P56" s="640"/>
      <c r="Q56" s="640"/>
      <c r="R56" s="640"/>
      <c r="S56" s="640"/>
      <c r="T56" s="640"/>
    </row>
    <row r="59" spans="2:20" s="641" customFormat="1" ht="15" x14ac:dyDescent="0.25">
      <c r="B59" s="642" t="s">
        <v>368</v>
      </c>
    </row>
    <row r="61" spans="2:20" ht="12.75" customHeight="1" x14ac:dyDescent="0.25">
      <c r="C61" s="3" t="s">
        <v>514</v>
      </c>
      <c r="G61" s="622">
        <f>0.4601*366</f>
        <v>168.39660000000001</v>
      </c>
      <c r="H61" s="3" t="s">
        <v>496</v>
      </c>
    </row>
    <row r="62" spans="2:20" ht="12.75" customHeight="1" x14ac:dyDescent="0.2">
      <c r="C62" s="3" t="s">
        <v>506</v>
      </c>
      <c r="G62" s="624">
        <f>'Pricing Scheule (t)'!F22</f>
        <v>0.15009999999999998</v>
      </c>
    </row>
    <row r="63" spans="2:20" ht="12.75" customHeight="1" x14ac:dyDescent="0.2">
      <c r="C63" s="3" t="s">
        <v>507</v>
      </c>
      <c r="G63" s="624">
        <f>'Pricing Scheule (t)'!Z22</f>
        <v>0.1045</v>
      </c>
      <c r="L63" s="623"/>
      <c r="M63" s="623"/>
    </row>
    <row r="64" spans="2:20" ht="12.75" customHeight="1" x14ac:dyDescent="0.2">
      <c r="C64" s="3" t="s">
        <v>520</v>
      </c>
      <c r="G64" s="624">
        <f>'Pricing Scheule (t)'!AT22</f>
        <v>3.7199999999999997E-2</v>
      </c>
      <c r="L64" s="623"/>
      <c r="M64" s="623"/>
    </row>
    <row r="65" spans="2:20" x14ac:dyDescent="0.2">
      <c r="H65" s="737"/>
      <c r="I65" s="737"/>
      <c r="J65" s="21"/>
      <c r="K65" s="21"/>
    </row>
    <row r="66" spans="2:20" ht="25.5" x14ac:dyDescent="0.2">
      <c r="G66" s="628" t="s">
        <v>498</v>
      </c>
      <c r="H66" s="629" t="s">
        <v>502</v>
      </c>
      <c r="I66" s="629"/>
      <c r="J66" s="628" t="s">
        <v>497</v>
      </c>
      <c r="K66" s="628"/>
      <c r="L66" s="639" t="s">
        <v>521</v>
      </c>
      <c r="M66" s="639"/>
    </row>
    <row r="67" spans="2:20" x14ac:dyDescent="0.2">
      <c r="B67" s="21" t="s">
        <v>428</v>
      </c>
      <c r="C67" s="3" t="s">
        <v>504</v>
      </c>
      <c r="G67" s="626">
        <f>'Pricing Scheule (t)'!E22*Days_Year</f>
        <v>184.982</v>
      </c>
      <c r="H67" s="623">
        <f>ROUND(G67-G61,0)</f>
        <v>17</v>
      </c>
      <c r="I67" s="623"/>
      <c r="J67" s="21" t="str">
        <f>IF(H67=20,"OK","ERROR")</f>
        <v>ERROR</v>
      </c>
      <c r="K67" s="21"/>
      <c r="L67" s="640" t="s">
        <v>627</v>
      </c>
      <c r="M67" s="640"/>
      <c r="N67" s="640"/>
      <c r="O67" s="640"/>
      <c r="P67" s="640"/>
      <c r="Q67" s="640"/>
      <c r="R67" s="640"/>
      <c r="S67" s="640"/>
      <c r="T67" s="640"/>
    </row>
    <row r="68" spans="2:20" x14ac:dyDescent="0.2">
      <c r="B68" s="21" t="s">
        <v>483</v>
      </c>
      <c r="C68" s="3" t="s">
        <v>505</v>
      </c>
      <c r="G68" s="624">
        <f>G62</f>
        <v>0.15009999999999998</v>
      </c>
      <c r="H68" s="648">
        <f>ROUND((G69*0.775)+(G70*0.225),4)</f>
        <v>0.1502</v>
      </c>
      <c r="I68" s="648"/>
      <c r="J68" s="21" t="str">
        <f>IF(ABS(H68/G68-1)&lt;0.001,"OK","ERROR")</f>
        <v>OK</v>
      </c>
      <c r="K68" s="21"/>
      <c r="L68" s="640"/>
      <c r="M68" s="640"/>
      <c r="N68" s="640"/>
      <c r="O68" s="640"/>
      <c r="P68" s="640"/>
      <c r="Q68" s="640"/>
      <c r="R68" s="640"/>
      <c r="S68" s="640"/>
      <c r="T68" s="640"/>
    </row>
    <row r="69" spans="2:20" x14ac:dyDescent="0.2">
      <c r="B69" s="21" t="s">
        <v>484</v>
      </c>
      <c r="C69" s="3" t="s">
        <v>508</v>
      </c>
      <c r="G69" s="624">
        <f>'Pricing Scheule (t)'!G23</f>
        <v>0.16930000000000001</v>
      </c>
      <c r="H69" s="625">
        <f>ROUND(G69/$G$62,3)</f>
        <v>1.1279999999999999</v>
      </c>
      <c r="I69" s="625"/>
      <c r="J69" s="21" t="str">
        <f>IF(ABS(H69/1.127-1)&lt;0.002,"OK","ERROR")</f>
        <v>OK</v>
      </c>
      <c r="K69" s="21"/>
      <c r="L69" s="640"/>
      <c r="M69" s="640"/>
      <c r="N69" s="640"/>
      <c r="O69" s="640"/>
      <c r="P69" s="640"/>
      <c r="Q69" s="640"/>
      <c r="R69" s="640"/>
      <c r="S69" s="640"/>
      <c r="T69" s="640"/>
    </row>
    <row r="70" spans="2:20" x14ac:dyDescent="0.2">
      <c r="B70" s="21" t="s">
        <v>485</v>
      </c>
      <c r="C70" s="3" t="s">
        <v>509</v>
      </c>
      <c r="G70" s="624">
        <f>'Pricing Scheule (t)'!I23</f>
        <v>8.4599999999999995E-2</v>
      </c>
      <c r="H70" s="625">
        <f>ROUND(G70/$G$69,3)</f>
        <v>0.5</v>
      </c>
      <c r="I70" s="625"/>
      <c r="J70" s="21" t="str">
        <f>IF(ABS(H70/0.5-1)&lt;0.002,"OK","ERROR")</f>
        <v>OK</v>
      </c>
      <c r="K70" s="21"/>
      <c r="L70" s="640"/>
      <c r="M70" s="640"/>
      <c r="N70" s="640"/>
      <c r="O70" s="640"/>
      <c r="P70" s="640"/>
      <c r="Q70" s="640"/>
      <c r="R70" s="640"/>
      <c r="S70" s="640"/>
      <c r="T70" s="640"/>
    </row>
    <row r="71" spans="2:20" x14ac:dyDescent="0.2">
      <c r="B71" s="21" t="s">
        <v>486</v>
      </c>
      <c r="C71" s="3" t="s">
        <v>510</v>
      </c>
      <c r="G71" s="624">
        <f>G70</f>
        <v>8.4599999999999995E-2</v>
      </c>
      <c r="H71" s="625">
        <f>ROUND(G71/G62,3)</f>
        <v>0.56399999999999995</v>
      </c>
      <c r="I71" s="625"/>
      <c r="J71" s="21" t="str">
        <f>IF(ABS(H71/0.563-1)&lt;0.002,"OK","ERROR")</f>
        <v>OK</v>
      </c>
      <c r="K71" s="21"/>
      <c r="L71" s="640"/>
      <c r="M71" s="640"/>
      <c r="N71" s="640"/>
      <c r="O71" s="640"/>
      <c r="P71" s="640"/>
      <c r="Q71" s="640"/>
      <c r="R71" s="640"/>
      <c r="S71" s="640"/>
      <c r="T71" s="640"/>
    </row>
    <row r="72" spans="2:20" x14ac:dyDescent="0.2">
      <c r="B72" s="21" t="s">
        <v>487</v>
      </c>
      <c r="C72" s="3" t="s">
        <v>511</v>
      </c>
      <c r="G72" s="624">
        <f>'Pricing Scheule (t)'!G26</f>
        <v>0.2253</v>
      </c>
      <c r="H72" s="625">
        <f>ROUND(G72/G62,3)</f>
        <v>1.5009999999999999</v>
      </c>
      <c r="I72" s="625"/>
      <c r="J72" s="21" t="str">
        <f>IF(ABS(H72/1.5-1)&lt;0.002,"OK","ERROR")</f>
        <v>OK</v>
      </c>
      <c r="K72" s="21"/>
      <c r="L72" s="640"/>
      <c r="M72" s="640"/>
      <c r="N72" s="640"/>
      <c r="O72" s="640"/>
      <c r="P72" s="640"/>
      <c r="Q72" s="640"/>
      <c r="R72" s="640"/>
      <c r="S72" s="640"/>
      <c r="T72" s="640"/>
    </row>
    <row r="73" spans="2:20" x14ac:dyDescent="0.2">
      <c r="B73" s="21" t="s">
        <v>490</v>
      </c>
      <c r="C73" s="3" t="s">
        <v>512</v>
      </c>
      <c r="G73" s="624">
        <f>'Pricing Scheule (t)'!H26</f>
        <v>0.15679999999999999</v>
      </c>
      <c r="H73" s="625">
        <f>ROUND(G73/G62,3)</f>
        <v>1.0449999999999999</v>
      </c>
      <c r="I73" s="625"/>
      <c r="J73" s="21" t="str">
        <f>IF(ABS(H73/1.044-1)&lt;0.002,"OK","ERROR")</f>
        <v>OK</v>
      </c>
      <c r="K73" s="21"/>
      <c r="L73" s="640"/>
      <c r="M73" s="640"/>
      <c r="N73" s="640"/>
      <c r="O73" s="640"/>
      <c r="P73" s="640"/>
      <c r="Q73" s="640"/>
      <c r="R73" s="640"/>
      <c r="S73" s="640"/>
      <c r="T73" s="640"/>
    </row>
    <row r="74" spans="2:20" x14ac:dyDescent="0.2">
      <c r="B74" s="21" t="s">
        <v>491</v>
      </c>
      <c r="C74" s="3" t="s">
        <v>513</v>
      </c>
      <c r="G74" s="624">
        <f>'Pricing Scheule (t)'!I26</f>
        <v>8.4599999999999995E-2</v>
      </c>
      <c r="H74" s="625">
        <f>ROUND(G74/G62,3)</f>
        <v>0.56399999999999995</v>
      </c>
      <c r="I74" s="625"/>
      <c r="J74" s="21" t="str">
        <f>IF(ABS(H74/0.564-1)&lt;0.002,"OK","ERROR")</f>
        <v>OK</v>
      </c>
      <c r="K74" s="21"/>
      <c r="L74" s="640"/>
      <c r="M74" s="640"/>
      <c r="N74" s="640"/>
      <c r="O74" s="640"/>
      <c r="P74" s="640"/>
      <c r="Q74" s="640"/>
      <c r="R74" s="640"/>
      <c r="S74" s="640"/>
      <c r="T74" s="640"/>
    </row>
    <row r="75" spans="2:20" x14ac:dyDescent="0.2">
      <c r="B75" s="637" t="s">
        <v>501</v>
      </c>
      <c r="C75" s="3" t="s">
        <v>626</v>
      </c>
      <c r="G75" s="624">
        <f>'Pricing Scheule (t)'!G27</f>
        <v>0.18029999999999999</v>
      </c>
      <c r="H75" s="625">
        <f>ROUND(G75/G72,3)</f>
        <v>0.8</v>
      </c>
      <c r="I75" s="625"/>
      <c r="J75" s="21" t="str">
        <f>IF(ABS(H75/0.8-1)&lt;0.002,"OK","ERROR")</f>
        <v>OK</v>
      </c>
      <c r="K75" s="21"/>
      <c r="L75" s="640"/>
      <c r="M75" s="640"/>
      <c r="N75" s="640"/>
      <c r="O75" s="640"/>
      <c r="P75" s="640"/>
      <c r="Q75" s="640"/>
      <c r="R75" s="640"/>
      <c r="S75" s="640"/>
      <c r="T75" s="640"/>
    </row>
    <row r="76" spans="2:20" x14ac:dyDescent="0.2">
      <c r="B76" s="637" t="s">
        <v>515</v>
      </c>
      <c r="C76" s="3" t="s">
        <v>625</v>
      </c>
      <c r="G76" s="624">
        <f>'Pricing Scheule (t)'!H27</f>
        <v>0.12540000000000001</v>
      </c>
      <c r="H76" s="625">
        <f>ROUND(G76/G73,3)</f>
        <v>0.8</v>
      </c>
      <c r="I76" s="625"/>
      <c r="J76" s="21" t="str">
        <f>IF(ABS(H76/0.8-1)&lt;0.002,"OK","ERROR")</f>
        <v>OK</v>
      </c>
      <c r="K76" s="21"/>
      <c r="L76" s="640"/>
      <c r="M76" s="640"/>
      <c r="N76" s="640"/>
      <c r="O76" s="640"/>
      <c r="P76" s="640"/>
      <c r="Q76" s="640"/>
      <c r="R76" s="640"/>
      <c r="S76" s="640"/>
      <c r="T76" s="640"/>
    </row>
    <row r="77" spans="2:20" x14ac:dyDescent="0.2">
      <c r="B77" s="21" t="s">
        <v>516</v>
      </c>
      <c r="C77" s="3" t="s">
        <v>624</v>
      </c>
      <c r="G77" s="624">
        <f>'Pricing Scheule (t)'!I27</f>
        <v>6.7699999999999996E-2</v>
      </c>
      <c r="H77" s="625">
        <f>ROUND(G77/G74,3)</f>
        <v>0.8</v>
      </c>
      <c r="I77" s="625"/>
      <c r="J77" s="21" t="str">
        <f>IF(ABS(H77/0.8-1)&lt;0.002,"OK","ERROR")</f>
        <v>OK</v>
      </c>
      <c r="K77" s="21"/>
      <c r="L77" s="640"/>
      <c r="M77" s="640"/>
      <c r="N77" s="640"/>
      <c r="O77" s="640"/>
      <c r="P77" s="640"/>
      <c r="Q77" s="640"/>
      <c r="R77" s="640"/>
      <c r="S77" s="640"/>
      <c r="T77" s="640"/>
    </row>
    <row r="78" spans="2:20" ht="63.75" x14ac:dyDescent="0.2">
      <c r="B78" s="637" t="s">
        <v>517</v>
      </c>
      <c r="C78" s="630" t="s">
        <v>519</v>
      </c>
      <c r="D78" s="630"/>
      <c r="E78" s="630"/>
      <c r="F78" s="630"/>
      <c r="G78" s="638">
        <f>'Pricing Scheule (t)'!K27*Days_Year</f>
        <v>29.710999999999999</v>
      </c>
      <c r="H78" s="633">
        <f>ROUND((G63*283.7)-G78,0)</f>
        <v>0</v>
      </c>
      <c r="I78" s="633"/>
      <c r="J78" s="637" t="str">
        <f>IF(H78=0,"OK","ERROR")</f>
        <v>OK</v>
      </c>
      <c r="K78" s="637"/>
      <c r="L78" s="640"/>
      <c r="M78" s="640"/>
      <c r="N78" s="640"/>
      <c r="O78" s="640"/>
      <c r="P78" s="640"/>
      <c r="Q78" s="640"/>
      <c r="R78" s="640"/>
      <c r="S78" s="640"/>
      <c r="T78" s="640"/>
    </row>
    <row r="79" spans="2:20" x14ac:dyDescent="0.2">
      <c r="B79" s="3" t="s">
        <v>623</v>
      </c>
      <c r="C79" s="3" t="s">
        <v>636</v>
      </c>
      <c r="G79" s="624">
        <f>'Pricing Scheule (t)'!Z19</f>
        <v>6.8000000000000005E-2</v>
      </c>
      <c r="H79" s="625">
        <f>ROUND(G79/G63,3)</f>
        <v>0.65100000000000002</v>
      </c>
      <c r="I79" s="625"/>
      <c r="J79" s="21" t="str">
        <f>IF(ABS(H79/0.654-1)&lt;0.002,"OK","ERROR")</f>
        <v>ERROR</v>
      </c>
      <c r="K79" s="21"/>
      <c r="L79" s="640" t="s">
        <v>709</v>
      </c>
      <c r="M79" s="640"/>
      <c r="N79" s="640"/>
      <c r="O79" s="640"/>
      <c r="P79" s="640"/>
      <c r="Q79" s="640"/>
      <c r="R79" s="640"/>
      <c r="S79" s="640"/>
      <c r="T79" s="640"/>
    </row>
    <row r="80" spans="2:20" x14ac:dyDescent="0.2">
      <c r="B80" s="3" t="s">
        <v>622</v>
      </c>
      <c r="C80" s="3" t="s">
        <v>637</v>
      </c>
      <c r="G80" s="624">
        <f>'Pricing Scheule (t)'!AT19</f>
        <v>2.52E-2</v>
      </c>
      <c r="H80" s="625">
        <f>ROUND(G80/G64,3)</f>
        <v>0.67700000000000005</v>
      </c>
      <c r="I80" s="625"/>
      <c r="J80" s="21" t="str">
        <f>IF(ABS(H80/0.687-1)&lt;0.002,"OK","ERROR")</f>
        <v>ERROR</v>
      </c>
      <c r="K80" s="21"/>
      <c r="L80" s="640" t="s">
        <v>710</v>
      </c>
      <c r="M80" s="640"/>
      <c r="N80" s="640"/>
      <c r="O80" s="640"/>
      <c r="P80" s="640"/>
      <c r="Q80" s="640"/>
      <c r="R80" s="640"/>
      <c r="S80" s="640"/>
      <c r="T80" s="640"/>
    </row>
    <row r="83" spans="2:20" s="641" customFormat="1" ht="15" x14ac:dyDescent="0.25">
      <c r="B83" s="642" t="s">
        <v>522</v>
      </c>
    </row>
    <row r="85" spans="2:20" ht="12.75" customHeight="1" x14ac:dyDescent="0.25">
      <c r="C85" s="3" t="s">
        <v>514</v>
      </c>
      <c r="G85" s="622">
        <f>0.4198*366</f>
        <v>153.64680000000001</v>
      </c>
      <c r="H85" s="3" t="s">
        <v>496</v>
      </c>
    </row>
    <row r="86" spans="2:20" ht="12.75" customHeight="1" x14ac:dyDescent="0.25">
      <c r="C86" s="3" t="s">
        <v>531</v>
      </c>
      <c r="G86" s="622">
        <f>0.3936*152</f>
        <v>59.827199999999998</v>
      </c>
      <c r="H86" s="3" t="s">
        <v>532</v>
      </c>
    </row>
    <row r="87" spans="2:20" ht="12.75" customHeight="1" x14ac:dyDescent="0.25">
      <c r="C87" s="3" t="s">
        <v>628</v>
      </c>
      <c r="G87" s="622">
        <f>0.1955*366</f>
        <v>71.552999999999997</v>
      </c>
      <c r="H87" s="3" t="s">
        <v>532</v>
      </c>
      <c r="L87" s="623"/>
      <c r="M87" s="623"/>
    </row>
    <row r="88" spans="2:20" ht="12.75" customHeight="1" x14ac:dyDescent="0.25">
      <c r="C88" s="3" t="s">
        <v>632</v>
      </c>
      <c r="G88" s="741">
        <v>6.8900000000000003E-2</v>
      </c>
      <c r="H88" s="3" t="s">
        <v>635</v>
      </c>
      <c r="L88" s="623"/>
      <c r="M88" s="623"/>
    </row>
    <row r="89" spans="2:20" ht="12.75" customHeight="1" x14ac:dyDescent="0.25">
      <c r="C89" s="3" t="s">
        <v>633</v>
      </c>
      <c r="G89" s="741">
        <v>6.7000000000000004E-2</v>
      </c>
      <c r="H89" s="3" t="s">
        <v>635</v>
      </c>
      <c r="L89" s="623"/>
      <c r="M89" s="623"/>
    </row>
    <row r="90" spans="2:20" ht="12.75" customHeight="1" x14ac:dyDescent="0.25">
      <c r="C90" s="3" t="s">
        <v>634</v>
      </c>
      <c r="G90" s="741">
        <v>6.54E-2</v>
      </c>
      <c r="H90" s="3" t="s">
        <v>635</v>
      </c>
      <c r="L90" s="623"/>
      <c r="M90" s="623"/>
    </row>
    <row r="92" spans="2:20" ht="25.5" x14ac:dyDescent="0.2">
      <c r="G92" s="628" t="s">
        <v>498</v>
      </c>
      <c r="H92" s="629" t="s">
        <v>502</v>
      </c>
      <c r="I92" s="629"/>
      <c r="J92" s="628" t="s">
        <v>497</v>
      </c>
      <c r="K92" s="628"/>
      <c r="L92" s="639" t="s">
        <v>521</v>
      </c>
      <c r="M92" s="639"/>
    </row>
    <row r="93" spans="2:20" x14ac:dyDescent="0.2">
      <c r="B93" s="21" t="s">
        <v>428</v>
      </c>
      <c r="C93" s="3" t="s">
        <v>523</v>
      </c>
      <c r="G93" s="643"/>
      <c r="H93" s="644"/>
      <c r="I93" s="644"/>
      <c r="J93" s="645"/>
      <c r="K93" s="645"/>
      <c r="L93" s="640"/>
      <c r="M93" s="640"/>
      <c r="N93" s="640"/>
      <c r="O93" s="640"/>
      <c r="P93" s="640"/>
      <c r="Q93" s="640"/>
      <c r="R93" s="640"/>
      <c r="S93" s="640"/>
      <c r="T93" s="640"/>
    </row>
    <row r="94" spans="2:20" x14ac:dyDescent="0.2">
      <c r="C94" s="617" t="s">
        <v>638</v>
      </c>
      <c r="D94" s="617"/>
      <c r="E94" s="617"/>
      <c r="F94" s="617"/>
      <c r="G94" s="738">
        <f>'2020-25 Pricing Schedule'!F45</f>
        <v>999.9905</v>
      </c>
      <c r="H94" s="623">
        <f>ROUND(G94-G85,0)</f>
        <v>846</v>
      </c>
      <c r="I94" s="623"/>
      <c r="J94" s="21" t="str">
        <f>IF(H94=1000,"OK","ERROR")</f>
        <v>ERROR</v>
      </c>
      <c r="K94" s="21"/>
      <c r="L94" s="640" t="s">
        <v>641</v>
      </c>
      <c r="M94" s="640"/>
      <c r="N94" s="640"/>
      <c r="O94" s="640"/>
      <c r="P94" s="640"/>
      <c r="Q94" s="640"/>
      <c r="R94" s="640"/>
      <c r="S94" s="640"/>
      <c r="T94" s="640"/>
    </row>
    <row r="95" spans="2:20" x14ac:dyDescent="0.2">
      <c r="C95" s="617" t="s">
        <v>639</v>
      </c>
      <c r="D95" s="617"/>
      <c r="E95" s="617"/>
      <c r="F95" s="617"/>
      <c r="G95" s="738">
        <f>'2020-25 Pricing Schedule'!F76</f>
        <v>999.9905</v>
      </c>
      <c r="H95" s="623">
        <f>ROUND(G95-G85,0)</f>
        <v>846</v>
      </c>
      <c r="I95" s="623"/>
      <c r="J95" s="21" t="str">
        <f>IF(H95=1000,"OK","ERROR")</f>
        <v>ERROR</v>
      </c>
      <c r="K95" s="21"/>
      <c r="L95" s="640" t="s">
        <v>641</v>
      </c>
      <c r="M95" s="640"/>
      <c r="N95" s="640"/>
      <c r="O95" s="640"/>
      <c r="P95" s="640"/>
      <c r="Q95" s="640"/>
      <c r="R95" s="640"/>
      <c r="S95" s="640"/>
      <c r="T95" s="640"/>
    </row>
    <row r="96" spans="2:20" x14ac:dyDescent="0.2">
      <c r="C96" s="617" t="s">
        <v>640</v>
      </c>
      <c r="D96" s="617"/>
      <c r="E96" s="617"/>
      <c r="F96" s="617"/>
      <c r="G96" s="738">
        <f>'2020-25 Pricing Schedule'!F122</f>
        <v>999.9905</v>
      </c>
      <c r="H96" s="623">
        <f>ROUND(G96-G85,0)</f>
        <v>846</v>
      </c>
      <c r="I96" s="623"/>
      <c r="J96" s="21" t="str">
        <f>IF(H96=1000,"OK","ERROR")</f>
        <v>ERROR</v>
      </c>
      <c r="K96" s="21"/>
      <c r="L96" s="640" t="s">
        <v>641</v>
      </c>
      <c r="M96" s="640"/>
      <c r="N96" s="640"/>
      <c r="O96" s="640"/>
      <c r="P96" s="640"/>
      <c r="Q96" s="640"/>
      <c r="R96" s="640"/>
      <c r="S96" s="640"/>
      <c r="T96" s="640"/>
    </row>
    <row r="97" spans="2:20" x14ac:dyDescent="0.2">
      <c r="B97" s="21" t="s">
        <v>483</v>
      </c>
      <c r="C97" s="3" t="s">
        <v>524</v>
      </c>
      <c r="G97" s="646"/>
      <c r="H97" s="647"/>
      <c r="I97" s="647"/>
      <c r="J97" s="645"/>
      <c r="K97" s="645"/>
      <c r="L97" s="640"/>
      <c r="M97" s="640"/>
      <c r="N97" s="640"/>
      <c r="O97" s="640"/>
      <c r="P97" s="640"/>
      <c r="Q97" s="640"/>
      <c r="R97" s="640"/>
      <c r="S97" s="640"/>
      <c r="T97" s="640"/>
    </row>
    <row r="98" spans="2:20" x14ac:dyDescent="0.2">
      <c r="C98" s="617" t="s">
        <v>525</v>
      </c>
      <c r="D98" s="617"/>
      <c r="E98" s="617"/>
      <c r="F98" s="617"/>
      <c r="G98" s="626">
        <f>'Pricing Scheule (t)'!M28*Days_Summer_Demand</f>
        <v>59.8262</v>
      </c>
      <c r="H98" s="649">
        <f>ROUND(G98-$G$86,2)</f>
        <v>0</v>
      </c>
      <c r="I98" s="649"/>
      <c r="J98" s="21" t="str">
        <f t="shared" ref="J98:J103" si="26">IF(ABS(H98)&lt;0.02,"OK","ERROR")</f>
        <v>OK</v>
      </c>
      <c r="K98" s="21"/>
      <c r="L98" s="640"/>
      <c r="M98" s="640"/>
      <c r="N98" s="640"/>
      <c r="O98" s="640"/>
      <c r="P98" s="640"/>
      <c r="Q98" s="640"/>
      <c r="R98" s="640"/>
      <c r="S98" s="640"/>
      <c r="T98" s="640"/>
    </row>
    <row r="99" spans="2:20" x14ac:dyDescent="0.2">
      <c r="C99" s="617" t="s">
        <v>528</v>
      </c>
      <c r="D99" s="617"/>
      <c r="E99" s="617"/>
      <c r="F99" s="617"/>
      <c r="G99" s="626">
        <f>'Pricing Scheule (t)'!N28*Days_Year</f>
        <v>71.540000000000006</v>
      </c>
      <c r="H99" s="649">
        <f>ROUND(G99-$G$87,2)</f>
        <v>-0.01</v>
      </c>
      <c r="I99" s="649"/>
      <c r="J99" s="21" t="str">
        <f t="shared" si="26"/>
        <v>OK</v>
      </c>
      <c r="K99" s="21"/>
      <c r="L99" s="640"/>
      <c r="M99" s="640"/>
      <c r="N99" s="640"/>
      <c r="O99" s="640"/>
      <c r="P99" s="640"/>
      <c r="Q99" s="640"/>
      <c r="R99" s="640"/>
      <c r="S99" s="640"/>
      <c r="T99" s="640"/>
    </row>
    <row r="100" spans="2:20" x14ac:dyDescent="0.2">
      <c r="C100" s="617" t="s">
        <v>526</v>
      </c>
      <c r="D100" s="617"/>
      <c r="E100" s="617"/>
      <c r="F100" s="617"/>
      <c r="G100" s="626">
        <f>'Pricing Scheule (t)'!M36*Days_Summer_Demand</f>
        <v>59.8262</v>
      </c>
      <c r="H100" s="649">
        <f>ROUND(G100-$G$86,2)</f>
        <v>0</v>
      </c>
      <c r="I100" s="649"/>
      <c r="J100" s="21" t="str">
        <f t="shared" si="26"/>
        <v>OK</v>
      </c>
      <c r="K100" s="21"/>
      <c r="L100" s="640"/>
      <c r="M100" s="640"/>
      <c r="N100" s="640"/>
      <c r="O100" s="640"/>
      <c r="P100" s="640"/>
      <c r="Q100" s="640"/>
      <c r="R100" s="640"/>
      <c r="S100" s="640"/>
      <c r="T100" s="640"/>
    </row>
    <row r="101" spans="2:20" x14ac:dyDescent="0.2">
      <c r="C101" s="617" t="s">
        <v>529</v>
      </c>
      <c r="D101" s="617"/>
      <c r="E101" s="617"/>
      <c r="F101" s="617"/>
      <c r="G101" s="626">
        <f>'Pricing Scheule (t)'!N36*Days_Year</f>
        <v>71.540000000000006</v>
      </c>
      <c r="H101" s="649">
        <f>ROUND(G101-$G$87,2)</f>
        <v>-0.01</v>
      </c>
      <c r="I101" s="649"/>
      <c r="J101" s="21" t="str">
        <f t="shared" si="26"/>
        <v>OK</v>
      </c>
      <c r="K101" s="21"/>
      <c r="L101" s="640"/>
      <c r="M101" s="640"/>
      <c r="N101" s="640"/>
      <c r="O101" s="640"/>
      <c r="P101" s="640"/>
      <c r="Q101" s="640"/>
      <c r="R101" s="640"/>
      <c r="S101" s="640"/>
      <c r="T101" s="640"/>
    </row>
    <row r="102" spans="2:20" x14ac:dyDescent="0.2">
      <c r="C102" s="617" t="s">
        <v>527</v>
      </c>
      <c r="D102" s="617"/>
      <c r="E102" s="617"/>
      <c r="F102" s="617"/>
      <c r="G102" s="626">
        <f>'Pricing Scheule (t)'!M59*Days_Summer_Demand</f>
        <v>59.8262</v>
      </c>
      <c r="H102" s="649">
        <f>ROUND(G102-$G$86,2)</f>
        <v>0</v>
      </c>
      <c r="I102" s="649"/>
      <c r="J102" s="21" t="str">
        <f t="shared" si="26"/>
        <v>OK</v>
      </c>
      <c r="K102" s="21"/>
      <c r="L102" s="640"/>
      <c r="M102" s="640"/>
      <c r="N102" s="640"/>
      <c r="O102" s="640"/>
      <c r="P102" s="640"/>
      <c r="Q102" s="640"/>
      <c r="R102" s="640"/>
      <c r="S102" s="640"/>
      <c r="T102" s="640"/>
    </row>
    <row r="103" spans="2:20" x14ac:dyDescent="0.2">
      <c r="C103" s="617" t="s">
        <v>530</v>
      </c>
      <c r="D103" s="617"/>
      <c r="E103" s="617"/>
      <c r="F103" s="617"/>
      <c r="G103" s="626">
        <f>'Pricing Scheule (t)'!N59*Days_Year</f>
        <v>71.540000000000006</v>
      </c>
      <c r="H103" s="649">
        <f>ROUND(G103-$G$87,2)</f>
        <v>-0.01</v>
      </c>
      <c r="I103" s="649"/>
      <c r="J103" s="21" t="str">
        <f t="shared" si="26"/>
        <v>OK</v>
      </c>
      <c r="K103" s="21"/>
      <c r="L103" s="640"/>
      <c r="M103" s="640"/>
      <c r="N103" s="640"/>
      <c r="O103" s="640"/>
      <c r="P103" s="640"/>
      <c r="Q103" s="640"/>
      <c r="R103" s="640"/>
      <c r="S103" s="640"/>
      <c r="T103" s="640"/>
    </row>
    <row r="104" spans="2:20" x14ac:dyDescent="0.2">
      <c r="B104" s="21" t="s">
        <v>484</v>
      </c>
      <c r="C104" s="3" t="s">
        <v>629</v>
      </c>
      <c r="G104" s="646"/>
      <c r="H104" s="647"/>
      <c r="I104" s="647"/>
      <c r="J104" s="645"/>
      <c r="K104" s="645"/>
      <c r="L104" s="640"/>
      <c r="M104" s="640"/>
      <c r="N104" s="640"/>
      <c r="O104" s="640"/>
      <c r="P104" s="640"/>
      <c r="Q104" s="640"/>
      <c r="R104" s="640"/>
      <c r="S104" s="640"/>
      <c r="T104" s="640"/>
    </row>
    <row r="105" spans="2:20" x14ac:dyDescent="0.2">
      <c r="C105" s="617" t="s">
        <v>638</v>
      </c>
      <c r="D105" s="617"/>
      <c r="E105" s="617"/>
      <c r="F105" s="617"/>
      <c r="G105" s="739">
        <f>'Pricing Scheule (t)'!F28</f>
        <v>7.8899999999999998E-2</v>
      </c>
      <c r="H105" s="740">
        <f>G105-G88</f>
        <v>9.999999999999995E-3</v>
      </c>
      <c r="I105" s="740"/>
      <c r="J105" s="21" t="str">
        <f>IF(H105=0.01,"OK","ERROR")</f>
        <v>OK</v>
      </c>
      <c r="K105" s="21"/>
      <c r="L105" s="640"/>
      <c r="M105" s="640"/>
      <c r="N105" s="640"/>
      <c r="O105" s="640"/>
      <c r="P105" s="640"/>
      <c r="Q105" s="640"/>
      <c r="R105" s="640"/>
      <c r="S105" s="640"/>
      <c r="T105" s="640"/>
    </row>
    <row r="106" spans="2:20" x14ac:dyDescent="0.2">
      <c r="C106" s="617" t="s">
        <v>639</v>
      </c>
      <c r="D106" s="617"/>
      <c r="E106" s="617"/>
      <c r="F106" s="617"/>
      <c r="G106" s="739">
        <f>'Pricing Scheule (t)'!F36</f>
        <v>7.6999999999999999E-2</v>
      </c>
      <c r="H106" s="740">
        <f t="shared" ref="H106:H107" si="27">G106-G89</f>
        <v>9.999999999999995E-3</v>
      </c>
      <c r="I106" s="740"/>
      <c r="J106" s="21" t="str">
        <f>IF(H106=0.01,"OK","ERROR")</f>
        <v>OK</v>
      </c>
      <c r="K106" s="21"/>
      <c r="L106" s="640"/>
      <c r="M106" s="640"/>
      <c r="N106" s="640"/>
      <c r="O106" s="640"/>
      <c r="P106" s="640"/>
      <c r="Q106" s="640"/>
      <c r="R106" s="640"/>
      <c r="S106" s="640"/>
      <c r="T106" s="640"/>
    </row>
    <row r="107" spans="2:20" x14ac:dyDescent="0.2">
      <c r="C107" s="617" t="s">
        <v>640</v>
      </c>
      <c r="D107" s="617"/>
      <c r="E107" s="617"/>
      <c r="F107" s="617"/>
      <c r="G107" s="739">
        <f>'Pricing Scheule (t)'!F59</f>
        <v>7.5400000000000009E-2</v>
      </c>
      <c r="H107" s="740">
        <f t="shared" si="27"/>
        <v>1.0000000000000009E-2</v>
      </c>
      <c r="I107" s="740"/>
      <c r="J107" s="21" t="str">
        <f>IF(H107=0.01,"OK","ERROR")</f>
        <v>OK</v>
      </c>
      <c r="K107" s="21"/>
      <c r="L107" s="640"/>
      <c r="M107" s="640"/>
      <c r="N107" s="640"/>
      <c r="O107" s="640"/>
      <c r="P107" s="640"/>
      <c r="Q107" s="640"/>
      <c r="R107" s="640"/>
      <c r="S107" s="640"/>
      <c r="T107" s="640"/>
    </row>
    <row r="110" spans="2:20" s="641" customFormat="1" ht="15" x14ac:dyDescent="0.25">
      <c r="B110" s="642" t="s">
        <v>533</v>
      </c>
    </row>
    <row r="112" spans="2:20" ht="25.5" x14ac:dyDescent="0.2">
      <c r="G112" s="628" t="s">
        <v>498</v>
      </c>
      <c r="H112" s="629" t="s">
        <v>502</v>
      </c>
      <c r="I112" s="629"/>
      <c r="J112" s="628" t="s">
        <v>497</v>
      </c>
      <c r="K112" s="628"/>
      <c r="L112" s="639" t="s">
        <v>521</v>
      </c>
      <c r="M112" s="639"/>
    </row>
    <row r="113" spans="2:20" x14ac:dyDescent="0.2">
      <c r="B113" s="21" t="s">
        <v>428</v>
      </c>
      <c r="C113" s="3" t="s">
        <v>534</v>
      </c>
      <c r="G113" s="646"/>
      <c r="H113" s="647"/>
      <c r="I113" s="647"/>
      <c r="J113" s="645"/>
      <c r="K113" s="645"/>
      <c r="L113" s="640"/>
      <c r="M113" s="640"/>
      <c r="N113" s="640"/>
      <c r="O113" s="640"/>
      <c r="P113" s="640"/>
      <c r="Q113" s="640"/>
      <c r="R113" s="640"/>
      <c r="S113" s="640"/>
      <c r="T113" s="640"/>
    </row>
    <row r="114" spans="2:20" x14ac:dyDescent="0.2">
      <c r="C114" s="617" t="s">
        <v>630</v>
      </c>
      <c r="D114" s="617"/>
      <c r="E114" s="617"/>
      <c r="F114" s="617"/>
      <c r="G114" s="626">
        <f>'Pricing Scheule (t)'!E31*Days_Year</f>
        <v>184.982</v>
      </c>
      <c r="H114" s="649">
        <f>G114-('Pricing Scheule (t)'!E22*365)</f>
        <v>0</v>
      </c>
      <c r="I114" s="649"/>
      <c r="J114" s="21" t="str">
        <f>IF(H114=0,"OK","ERROR")</f>
        <v>OK</v>
      </c>
      <c r="K114" s="21"/>
      <c r="L114" s="640"/>
      <c r="M114" s="640"/>
      <c r="N114" s="640"/>
      <c r="O114" s="640"/>
      <c r="P114" s="640"/>
      <c r="Q114" s="640"/>
      <c r="R114" s="640"/>
      <c r="S114" s="640"/>
      <c r="T114" s="640"/>
    </row>
    <row r="115" spans="2:20" x14ac:dyDescent="0.2">
      <c r="C115" s="617" t="s">
        <v>656</v>
      </c>
      <c r="D115" s="617"/>
      <c r="E115" s="617"/>
      <c r="F115" s="617"/>
      <c r="G115" s="626">
        <f>'Pricing Scheule (t)'!E32*Days_Year</f>
        <v>184.982</v>
      </c>
      <c r="H115" s="649">
        <f>G115-('Pricing Scheule (t)'!E23*365)</f>
        <v>0</v>
      </c>
      <c r="I115" s="649"/>
      <c r="J115" s="21" t="str">
        <f>IF(H115=0,"OK","ERROR")</f>
        <v>OK</v>
      </c>
      <c r="K115" s="21"/>
      <c r="L115" s="640"/>
      <c r="M115" s="640"/>
      <c r="N115" s="640"/>
      <c r="O115" s="640"/>
      <c r="P115" s="640"/>
      <c r="Q115" s="640"/>
      <c r="R115" s="640"/>
      <c r="S115" s="640"/>
      <c r="T115" s="640"/>
    </row>
    <row r="116" spans="2:20" x14ac:dyDescent="0.2">
      <c r="B116" s="21" t="s">
        <v>483</v>
      </c>
      <c r="C116" s="3" t="s">
        <v>535</v>
      </c>
      <c r="G116" s="646"/>
      <c r="H116" s="647"/>
      <c r="I116" s="647"/>
      <c r="J116" s="645"/>
      <c r="K116" s="645"/>
      <c r="L116" s="640"/>
      <c r="M116" s="640"/>
      <c r="N116" s="640"/>
      <c r="O116" s="640"/>
      <c r="P116" s="640"/>
      <c r="Q116" s="640"/>
      <c r="R116" s="640"/>
      <c r="S116" s="640"/>
      <c r="T116" s="640"/>
    </row>
    <row r="117" spans="2:20" x14ac:dyDescent="0.2">
      <c r="C117" s="617" t="s">
        <v>631</v>
      </c>
      <c r="D117" s="617"/>
      <c r="E117" s="617"/>
      <c r="F117" s="617"/>
      <c r="G117" s="624">
        <f>'Pricing Scheule (t)'!F31</f>
        <v>0.18029999999999999</v>
      </c>
      <c r="H117" s="625">
        <f>G117/G68</f>
        <v>1.2011992005329781</v>
      </c>
      <c r="I117" s="625"/>
      <c r="J117" s="21" t="str">
        <f>IF(ABS(H117/1.2-1)&lt;0.002,"OK","ERROR")</f>
        <v>OK</v>
      </c>
      <c r="K117" s="21"/>
      <c r="L117" s="640"/>
      <c r="M117" s="640"/>
      <c r="N117" s="640"/>
      <c r="O117" s="640"/>
      <c r="P117" s="640"/>
      <c r="Q117" s="640"/>
      <c r="R117" s="640"/>
      <c r="S117" s="640"/>
      <c r="T117" s="640"/>
    </row>
    <row r="118" spans="2:20" x14ac:dyDescent="0.2">
      <c r="C118" s="617" t="s">
        <v>657</v>
      </c>
      <c r="D118" s="617"/>
      <c r="E118" s="617"/>
      <c r="F118" s="617"/>
      <c r="G118" s="624">
        <f>'Pricing Scheule (t)'!G32</f>
        <v>0.20319999999999999</v>
      </c>
      <c r="H118" s="625">
        <f>G118/G69</f>
        <v>1.2002362669816893</v>
      </c>
      <c r="I118" s="625"/>
      <c r="J118" s="21" t="str">
        <f>IF(ABS(H118/1.2-1)&lt;0.002,"OK","ERROR")</f>
        <v>OK</v>
      </c>
      <c r="K118" s="21"/>
      <c r="L118" s="640"/>
      <c r="M118" s="640"/>
      <c r="N118" s="640"/>
      <c r="O118" s="640"/>
      <c r="P118" s="640"/>
      <c r="Q118" s="640"/>
      <c r="R118" s="640"/>
      <c r="S118" s="640"/>
      <c r="T118" s="640"/>
    </row>
    <row r="119" spans="2:20" x14ac:dyDescent="0.2">
      <c r="C119" s="617" t="s">
        <v>658</v>
      </c>
      <c r="D119" s="617"/>
      <c r="E119" s="617"/>
      <c r="F119" s="617"/>
      <c r="G119" s="624">
        <f>'Pricing Scheule (t)'!I32</f>
        <v>0.1016</v>
      </c>
      <c r="H119" s="625">
        <f>G119/G70</f>
        <v>1.2009456264775413</v>
      </c>
      <c r="I119" s="625"/>
      <c r="J119" s="21" t="str">
        <f>IF(ABS(H119/1.2-1)&lt;0.002,"OK","ERROR")</f>
        <v>OK</v>
      </c>
      <c r="K119" s="21"/>
      <c r="L119" s="640"/>
      <c r="M119" s="640"/>
      <c r="N119" s="640"/>
      <c r="O119" s="640"/>
      <c r="P119" s="640"/>
      <c r="Q119" s="640"/>
      <c r="R119" s="640"/>
      <c r="S119" s="640"/>
      <c r="T119" s="640"/>
    </row>
    <row r="122" spans="2:20" s="641" customFormat="1" ht="15" x14ac:dyDescent="0.25">
      <c r="B122" s="642" t="s">
        <v>536</v>
      </c>
    </row>
    <row r="124" spans="2:20" x14ac:dyDescent="0.2">
      <c r="G124" s="610" t="s">
        <v>369</v>
      </c>
      <c r="H124" s="610" t="s">
        <v>370</v>
      </c>
      <c r="I124" s="610"/>
    </row>
    <row r="125" spans="2:20" ht="12.75" customHeight="1" x14ac:dyDescent="0.2">
      <c r="C125" s="3" t="s">
        <v>654</v>
      </c>
      <c r="G125" s="624">
        <f>'Pricing Scheule (t)'!G35</f>
        <v>6.6200000000000009E-2</v>
      </c>
      <c r="H125" s="3">
        <f>'Pricing Scheule (t)'!G58</f>
        <v>4.1400000000000006E-2</v>
      </c>
    </row>
    <row r="126" spans="2:20" ht="12.75" customHeight="1" x14ac:dyDescent="0.2">
      <c r="C126" s="3" t="s">
        <v>655</v>
      </c>
      <c r="G126" s="624">
        <f>'Pricing Scheule (t)'!I35</f>
        <v>4.1399999999999999E-2</v>
      </c>
      <c r="H126" s="3">
        <f>'Pricing Scheule (t)'!I58</f>
        <v>2.5900000000000003E-2</v>
      </c>
      <c r="L126" s="623"/>
      <c r="M126" s="623"/>
    </row>
    <row r="127" spans="2:20" ht="12.75" customHeight="1" x14ac:dyDescent="0.2">
      <c r="C127" s="3" t="s">
        <v>643</v>
      </c>
      <c r="G127" s="743">
        <f>G125/G126</f>
        <v>1.599033816425121</v>
      </c>
      <c r="H127" s="743">
        <f>H125/H126</f>
        <v>1.5984555984555986</v>
      </c>
      <c r="I127" s="743"/>
      <c r="L127" s="623"/>
      <c r="M127" s="623"/>
    </row>
    <row r="128" spans="2:20" ht="12.75" customHeight="1" x14ac:dyDescent="0.2">
      <c r="G128" s="744"/>
      <c r="L128" s="623"/>
      <c r="M128" s="623"/>
    </row>
    <row r="129" spans="2:20" ht="25.5" x14ac:dyDescent="0.2">
      <c r="G129" s="628" t="s">
        <v>498</v>
      </c>
      <c r="H129" s="629" t="s">
        <v>502</v>
      </c>
      <c r="I129" s="629"/>
      <c r="J129" s="628" t="s">
        <v>497</v>
      </c>
      <c r="K129" s="628"/>
      <c r="L129" s="639" t="s">
        <v>521</v>
      </c>
      <c r="M129" s="639"/>
    </row>
    <row r="130" spans="2:20" x14ac:dyDescent="0.2">
      <c r="B130" s="21" t="s">
        <v>428</v>
      </c>
      <c r="C130" s="3" t="s">
        <v>537</v>
      </c>
      <c r="G130" s="646"/>
      <c r="H130" s="647"/>
      <c r="I130" s="647"/>
      <c r="J130" s="645"/>
      <c r="K130" s="645"/>
      <c r="L130" s="640"/>
      <c r="M130" s="640"/>
      <c r="N130" s="640"/>
      <c r="O130" s="640"/>
      <c r="P130" s="640"/>
      <c r="Q130" s="640"/>
      <c r="R130" s="640"/>
      <c r="S130" s="640"/>
      <c r="T130" s="640"/>
    </row>
    <row r="131" spans="2:20" x14ac:dyDescent="0.2">
      <c r="C131" s="742" t="s">
        <v>369</v>
      </c>
      <c r="D131" s="742"/>
      <c r="E131" s="742"/>
      <c r="F131" s="742"/>
      <c r="G131" s="624">
        <f>G125</f>
        <v>6.6200000000000009E-2</v>
      </c>
      <c r="H131" s="743">
        <f>ROUND(G125/G126,1)</f>
        <v>1.6</v>
      </c>
      <c r="I131" s="743"/>
      <c r="J131" s="21" t="str">
        <f>IF(H131=1.6,"OK","ERROR")</f>
        <v>OK</v>
      </c>
      <c r="K131" s="21"/>
      <c r="L131" s="640"/>
      <c r="M131" s="640"/>
      <c r="N131" s="640"/>
      <c r="O131" s="640"/>
      <c r="P131" s="640"/>
      <c r="Q131" s="640"/>
      <c r="R131" s="640"/>
      <c r="S131" s="640"/>
      <c r="T131" s="640"/>
    </row>
    <row r="132" spans="2:20" x14ac:dyDescent="0.2">
      <c r="C132" s="742" t="s">
        <v>370</v>
      </c>
      <c r="D132" s="742"/>
      <c r="E132" s="742"/>
      <c r="F132" s="742"/>
      <c r="G132" s="624">
        <f>H126</f>
        <v>2.5900000000000003E-2</v>
      </c>
      <c r="H132" s="743">
        <f>ROUND(H125/H126,1)</f>
        <v>1.6</v>
      </c>
      <c r="I132" s="743"/>
      <c r="J132" s="21" t="str">
        <f>IF(H132=1.6,"OK","ERROR")</f>
        <v>OK</v>
      </c>
      <c r="K132" s="21"/>
      <c r="L132" s="640"/>
      <c r="M132" s="640"/>
      <c r="N132" s="640"/>
      <c r="O132" s="640"/>
      <c r="P132" s="640"/>
      <c r="Q132" s="640"/>
      <c r="R132" s="640"/>
      <c r="S132" s="640"/>
      <c r="T132" s="640"/>
    </row>
    <row r="135" spans="2:20" s="641" customFormat="1" ht="15" x14ac:dyDescent="0.25">
      <c r="B135" s="642" t="s">
        <v>538</v>
      </c>
    </row>
    <row r="137" spans="2:20" x14ac:dyDescent="0.2">
      <c r="G137" s="610" t="s">
        <v>369</v>
      </c>
      <c r="H137" s="610" t="s">
        <v>370</v>
      </c>
      <c r="I137" s="610"/>
    </row>
    <row r="138" spans="2:20" ht="12.75" customHeight="1" x14ac:dyDescent="0.2">
      <c r="C138" s="3" t="s">
        <v>645</v>
      </c>
      <c r="G138" s="624">
        <f>'Pricing Scheule (t)'!L35*Days_Summer_Demand</f>
        <v>138.66329999999999</v>
      </c>
      <c r="H138" s="3">
        <f>'Pricing Scheule (t)'!L58*Days_Summer_Demand</f>
        <v>117.5988</v>
      </c>
    </row>
    <row r="139" spans="2:20" ht="12.75" customHeight="1" x14ac:dyDescent="0.2">
      <c r="C139" s="3" t="s">
        <v>644</v>
      </c>
      <c r="G139" s="624">
        <f>'Pricing Scheule (t)'!J34*Days_Year</f>
        <v>92.454499999999996</v>
      </c>
      <c r="H139" s="3">
        <f>'Pricing Scheule (t)'!J57*Days_Year</f>
        <v>78.402000000000001</v>
      </c>
      <c r="L139" s="623"/>
      <c r="M139" s="623"/>
    </row>
    <row r="140" spans="2:20" ht="12.75" customHeight="1" x14ac:dyDescent="0.2">
      <c r="C140" s="3" t="s">
        <v>643</v>
      </c>
      <c r="G140" s="743">
        <f>G138/G139</f>
        <v>1.4998004423797651</v>
      </c>
      <c r="H140" s="743">
        <f>H138/H139</f>
        <v>1.4999464299380116</v>
      </c>
      <c r="I140" s="743"/>
      <c r="L140" s="623"/>
      <c r="M140" s="623"/>
    </row>
    <row r="141" spans="2:20" ht="12.75" customHeight="1" x14ac:dyDescent="0.2">
      <c r="G141" s="744"/>
      <c r="L141" s="623"/>
      <c r="M141" s="623"/>
    </row>
    <row r="142" spans="2:20" ht="25.5" x14ac:dyDescent="0.2">
      <c r="G142" s="628" t="s">
        <v>498</v>
      </c>
      <c r="H142" s="629" t="s">
        <v>502</v>
      </c>
      <c r="I142" s="629"/>
      <c r="J142" s="628" t="s">
        <v>497</v>
      </c>
      <c r="K142" s="628"/>
      <c r="L142" s="639" t="s">
        <v>521</v>
      </c>
      <c r="M142" s="639"/>
    </row>
    <row r="143" spans="2:20" ht="38.25" x14ac:dyDescent="0.2">
      <c r="B143" s="637" t="s">
        <v>428</v>
      </c>
      <c r="C143" s="630" t="s">
        <v>642</v>
      </c>
      <c r="D143" s="630"/>
      <c r="E143" s="630"/>
      <c r="F143" s="630"/>
      <c r="J143" s="21"/>
      <c r="K143" s="21"/>
      <c r="L143" s="640"/>
      <c r="M143" s="640"/>
      <c r="N143" s="640"/>
      <c r="O143" s="640"/>
      <c r="P143" s="640"/>
      <c r="Q143" s="640"/>
      <c r="R143" s="640"/>
      <c r="S143" s="640"/>
      <c r="T143" s="640"/>
    </row>
    <row r="144" spans="2:20" x14ac:dyDescent="0.2">
      <c r="B144" s="637"/>
      <c r="C144" s="742" t="s">
        <v>369</v>
      </c>
      <c r="D144" s="742"/>
      <c r="E144" s="742"/>
      <c r="F144" s="742"/>
      <c r="G144" s="626">
        <f>G138</f>
        <v>138.66329999999999</v>
      </c>
      <c r="H144" s="743">
        <f>ROUND(G138/G139,1)</f>
        <v>1.5</v>
      </c>
      <c r="I144" s="743"/>
      <c r="J144" s="21" t="str">
        <f>IF(H144=1.5,"OK","ERROR")</f>
        <v>OK</v>
      </c>
      <c r="K144" s="21"/>
      <c r="L144" s="640"/>
      <c r="M144" s="640"/>
      <c r="N144" s="640"/>
      <c r="O144" s="640"/>
      <c r="P144" s="640"/>
      <c r="Q144" s="640"/>
      <c r="R144" s="640"/>
      <c r="S144" s="640"/>
      <c r="T144" s="640"/>
    </row>
    <row r="145" spans="2:20" x14ac:dyDescent="0.2">
      <c r="B145" s="637"/>
      <c r="C145" s="742" t="s">
        <v>370</v>
      </c>
      <c r="D145" s="742"/>
      <c r="E145" s="742"/>
      <c r="F145" s="742"/>
      <c r="G145" s="626">
        <f>H138</f>
        <v>117.5988</v>
      </c>
      <c r="H145" s="743">
        <f>ROUND(H138/H139,1)</f>
        <v>1.5</v>
      </c>
      <c r="I145" s="743"/>
      <c r="J145" s="21" t="str">
        <f>IF(H145=1.5,"OK","ERROR")</f>
        <v>OK</v>
      </c>
      <c r="K145" s="21"/>
      <c r="L145" s="640"/>
      <c r="M145" s="640"/>
      <c r="N145" s="640"/>
      <c r="O145" s="640"/>
      <c r="P145" s="640"/>
      <c r="Q145" s="640"/>
      <c r="R145" s="640"/>
      <c r="S145" s="640"/>
      <c r="T145" s="640"/>
    </row>
    <row r="146" spans="2:20" x14ac:dyDescent="0.2">
      <c r="B146" s="21" t="s">
        <v>483</v>
      </c>
      <c r="C146" s="3" t="s">
        <v>539</v>
      </c>
      <c r="G146" s="646"/>
      <c r="H146" s="647"/>
      <c r="I146" s="647"/>
      <c r="J146" s="645"/>
      <c r="K146" s="645"/>
      <c r="L146" s="640"/>
      <c r="M146" s="640"/>
      <c r="N146" s="640"/>
      <c r="O146" s="640"/>
      <c r="P146" s="640"/>
      <c r="Q146" s="640"/>
      <c r="R146" s="640"/>
      <c r="S146" s="640"/>
      <c r="T146" s="640"/>
    </row>
    <row r="147" spans="2:20" x14ac:dyDescent="0.2">
      <c r="C147" s="617" t="s">
        <v>646</v>
      </c>
      <c r="D147" s="617"/>
      <c r="E147" s="617"/>
      <c r="F147" s="617"/>
      <c r="G147" s="3">
        <f>'Pricing Scheule (t)'!E35</f>
        <v>6.8493000000000004</v>
      </c>
      <c r="H147" s="3">
        <f>'Pricing Scheule (t)'!E34</f>
        <v>6.8493000000000004</v>
      </c>
      <c r="J147" s="21" t="str">
        <f>IF(G147=H147,"OK","ERROR")</f>
        <v>OK</v>
      </c>
      <c r="K147" s="21"/>
      <c r="L147" s="640"/>
      <c r="M147" s="640"/>
      <c r="N147" s="640"/>
      <c r="O147" s="640"/>
      <c r="P147" s="640"/>
      <c r="Q147" s="640"/>
      <c r="R147" s="640"/>
      <c r="S147" s="640"/>
      <c r="T147" s="640"/>
    </row>
    <row r="148" spans="2:20" x14ac:dyDescent="0.2">
      <c r="C148" s="617" t="s">
        <v>647</v>
      </c>
      <c r="D148" s="617"/>
      <c r="E148" s="617"/>
      <c r="F148" s="617"/>
      <c r="G148" s="3">
        <f>'Pricing Scheule (t)'!K35</f>
        <v>0.1036</v>
      </c>
      <c r="H148" s="3">
        <f>'Pricing Scheule (t)'!K34</f>
        <v>0.1036</v>
      </c>
      <c r="J148" s="21" t="str">
        <f>IF(G148=H148,"OK","ERROR")</f>
        <v>OK</v>
      </c>
      <c r="K148" s="21"/>
      <c r="L148" s="640"/>
      <c r="M148" s="640"/>
      <c r="N148" s="640"/>
      <c r="O148" s="640"/>
      <c r="P148" s="640"/>
      <c r="Q148" s="640"/>
      <c r="R148" s="640"/>
      <c r="S148" s="640"/>
      <c r="T148" s="640"/>
    </row>
    <row r="149" spans="2:20" x14ac:dyDescent="0.2">
      <c r="C149" s="617" t="s">
        <v>648</v>
      </c>
      <c r="D149" s="617"/>
      <c r="E149" s="617"/>
      <c r="F149" s="617"/>
      <c r="G149" s="3">
        <f>'Pricing Scheule (t)'!G35</f>
        <v>6.6200000000000009E-2</v>
      </c>
      <c r="H149" s="3">
        <f>'Pricing Scheule (t)'!G34</f>
        <v>6.6200000000000009E-2</v>
      </c>
      <c r="J149" s="21" t="str">
        <f>IF(G149=H149,"OK","ERROR")</f>
        <v>OK</v>
      </c>
      <c r="K149" s="21"/>
      <c r="L149" s="640"/>
      <c r="M149" s="640"/>
      <c r="N149" s="640"/>
      <c r="O149" s="640"/>
      <c r="P149" s="640"/>
      <c r="Q149" s="640"/>
      <c r="R149" s="640"/>
      <c r="S149" s="640"/>
      <c r="T149" s="640"/>
    </row>
    <row r="150" spans="2:20" x14ac:dyDescent="0.2">
      <c r="C150" s="617" t="s">
        <v>649</v>
      </c>
      <c r="D150" s="617"/>
      <c r="E150" s="617"/>
      <c r="F150" s="617"/>
      <c r="G150" s="3">
        <f>'Pricing Scheule (t)'!I35</f>
        <v>4.1399999999999999E-2</v>
      </c>
      <c r="H150" s="3">
        <f>'Pricing Scheule (t)'!I34</f>
        <v>4.1399999999999999E-2</v>
      </c>
      <c r="J150" s="21" t="str">
        <f>IF(G150=H150,"OK","ERROR")</f>
        <v>OK</v>
      </c>
      <c r="K150" s="21"/>
      <c r="L150" s="640"/>
      <c r="M150" s="640"/>
      <c r="N150" s="640"/>
      <c r="O150" s="640"/>
      <c r="P150" s="640"/>
      <c r="Q150" s="640"/>
      <c r="R150" s="640"/>
      <c r="S150" s="640"/>
      <c r="T150" s="640"/>
    </row>
    <row r="151" spans="2:20" x14ac:dyDescent="0.2">
      <c r="L151" s="640"/>
      <c r="M151" s="640"/>
      <c r="N151" s="640"/>
      <c r="O151" s="640"/>
      <c r="P151" s="640"/>
      <c r="Q151" s="640"/>
      <c r="R151" s="640"/>
      <c r="S151" s="640"/>
      <c r="T151" s="640"/>
    </row>
    <row r="152" spans="2:20" x14ac:dyDescent="0.2">
      <c r="C152" s="617" t="s">
        <v>650</v>
      </c>
      <c r="D152" s="617"/>
      <c r="E152" s="617"/>
      <c r="F152" s="617"/>
      <c r="G152" s="3">
        <f>'Pricing Scheule (t)'!E58</f>
        <v>41.0959</v>
      </c>
      <c r="H152" s="3">
        <f>'Pricing Scheule (t)'!E57</f>
        <v>41.0959</v>
      </c>
      <c r="J152" s="21" t="str">
        <f>IF(G152=H152,"OK","ERROR")</f>
        <v>OK</v>
      </c>
      <c r="K152" s="21"/>
      <c r="L152" s="640"/>
      <c r="M152" s="640"/>
      <c r="N152" s="640"/>
      <c r="O152" s="640"/>
      <c r="P152" s="640"/>
      <c r="Q152" s="640"/>
      <c r="R152" s="640"/>
      <c r="S152" s="640"/>
      <c r="T152" s="640"/>
    </row>
    <row r="153" spans="2:20" x14ac:dyDescent="0.2">
      <c r="C153" s="617" t="s">
        <v>651</v>
      </c>
      <c r="D153" s="617"/>
      <c r="E153" s="617"/>
      <c r="F153" s="617"/>
      <c r="G153" s="3">
        <f>'Pricing Scheule (t)'!K58</f>
        <v>0.1036</v>
      </c>
      <c r="H153" s="3">
        <f>'Pricing Scheule (t)'!K57</f>
        <v>0.1036</v>
      </c>
      <c r="J153" s="21" t="str">
        <f>IF(G153=H153,"OK","ERROR")</f>
        <v>OK</v>
      </c>
      <c r="K153" s="21"/>
      <c r="L153" s="640"/>
      <c r="M153" s="640"/>
      <c r="N153" s="640"/>
      <c r="O153" s="640"/>
      <c r="P153" s="640"/>
      <c r="Q153" s="640"/>
      <c r="R153" s="640"/>
      <c r="S153" s="640"/>
      <c r="T153" s="640"/>
    </row>
    <row r="154" spans="2:20" x14ac:dyDescent="0.2">
      <c r="C154" s="617" t="s">
        <v>652</v>
      </c>
      <c r="D154" s="617"/>
      <c r="E154" s="617"/>
      <c r="F154" s="617"/>
      <c r="G154" s="3">
        <f>'Pricing Scheule (t)'!G58</f>
        <v>4.1400000000000006E-2</v>
      </c>
      <c r="H154" s="3">
        <f>'Pricing Scheule (t)'!G57</f>
        <v>4.1400000000000006E-2</v>
      </c>
      <c r="J154" s="21" t="str">
        <f>IF(G154=H154,"OK","ERROR")</f>
        <v>OK</v>
      </c>
      <c r="K154" s="21"/>
      <c r="L154" s="640"/>
      <c r="M154" s="640"/>
      <c r="N154" s="640"/>
      <c r="O154" s="640"/>
      <c r="P154" s="640"/>
      <c r="Q154" s="640"/>
      <c r="R154" s="640"/>
      <c r="S154" s="640"/>
      <c r="T154" s="640"/>
    </row>
    <row r="155" spans="2:20" x14ac:dyDescent="0.2">
      <c r="C155" s="617" t="s">
        <v>653</v>
      </c>
      <c r="D155" s="617"/>
      <c r="E155" s="617"/>
      <c r="F155" s="617"/>
      <c r="G155" s="3">
        <f>'Pricing Scheule (t)'!I58</f>
        <v>2.5900000000000003E-2</v>
      </c>
      <c r="H155" s="3">
        <f>'Pricing Scheule (t)'!I57</f>
        <v>2.5900000000000003E-2</v>
      </c>
      <c r="J155" s="21" t="str">
        <f>IF(G155=H155,"OK","ERROR")</f>
        <v>OK</v>
      </c>
      <c r="K155" s="21"/>
      <c r="L155" s="640"/>
      <c r="M155" s="640"/>
      <c r="N155" s="640"/>
      <c r="O155" s="640"/>
      <c r="P155" s="640"/>
      <c r="Q155" s="640"/>
      <c r="R155" s="640"/>
      <c r="S155" s="640"/>
      <c r="T155" s="640"/>
    </row>
    <row r="156" spans="2:20" ht="13.5" thickBot="1" x14ac:dyDescent="0.25"/>
    <row r="157" spans="2:20" s="650" customFormat="1" x14ac:dyDescent="0.2">
      <c r="B157" s="651"/>
    </row>
  </sheetData>
  <mergeCells count="5">
    <mergeCell ref="D5:E5"/>
    <mergeCell ref="G5:H5"/>
    <mergeCell ref="J5:K5"/>
    <mergeCell ref="P5:Q5"/>
    <mergeCell ref="M5:N5"/>
  </mergeCells>
  <phoneticPr fontId="26" type="noConversion"/>
  <conditionalFormatting sqref="J48:K56 J114:K115 M37:N37">
    <cfRule type="containsText" dxfId="35" priority="63" operator="containsText" text="OK">
      <formula>NOT(ISERROR(SEARCH("OK",J37)))</formula>
    </cfRule>
    <cfRule type="containsText" dxfId="34" priority="64" operator="containsText" text="ERROR">
      <formula>NOT(ISERROR(SEARCH("ERROR",J37)))</formula>
    </cfRule>
  </conditionalFormatting>
  <conditionalFormatting sqref="J67:K80">
    <cfRule type="containsText" dxfId="33" priority="61" operator="containsText" text="OK">
      <formula>NOT(ISERROR(SEARCH("OK",J67)))</formula>
    </cfRule>
    <cfRule type="containsText" dxfId="32" priority="62" operator="containsText" text="ERROR">
      <formula>NOT(ISERROR(SEARCH("ERROR",J67)))</formula>
    </cfRule>
  </conditionalFormatting>
  <conditionalFormatting sqref="J93:K93 J97:K97">
    <cfRule type="containsText" dxfId="31" priority="59" operator="containsText" text="OK">
      <formula>NOT(ISERROR(SEARCH("OK",J93)))</formula>
    </cfRule>
    <cfRule type="containsText" dxfId="30" priority="60" operator="containsText" text="ERROR">
      <formula>NOT(ISERROR(SEARCH("ERROR",J93)))</formula>
    </cfRule>
  </conditionalFormatting>
  <conditionalFormatting sqref="J98:K103">
    <cfRule type="containsText" dxfId="29" priority="57" operator="containsText" text="OK">
      <formula>NOT(ISERROR(SEARCH("OK",J98)))</formula>
    </cfRule>
    <cfRule type="containsText" dxfId="28" priority="58" operator="containsText" text="ERROR">
      <formula>NOT(ISERROR(SEARCH("ERROR",J98)))</formula>
    </cfRule>
  </conditionalFormatting>
  <conditionalFormatting sqref="J104:K104">
    <cfRule type="containsText" dxfId="27" priority="55" operator="containsText" text="OK">
      <formula>NOT(ISERROR(SEARCH("OK",J104)))</formula>
    </cfRule>
    <cfRule type="containsText" dxfId="26" priority="56" operator="containsText" text="ERROR">
      <formula>NOT(ISERROR(SEARCH("ERROR",J104)))</formula>
    </cfRule>
  </conditionalFormatting>
  <conditionalFormatting sqref="J143:K145">
    <cfRule type="containsText" dxfId="25" priority="33" operator="containsText" text="OK">
      <formula>NOT(ISERROR(SEARCH("OK",J143)))</formula>
    </cfRule>
    <cfRule type="containsText" dxfId="24" priority="34" operator="containsText" text="ERROR">
      <formula>NOT(ISERROR(SEARCH("ERROR",J143)))</formula>
    </cfRule>
  </conditionalFormatting>
  <conditionalFormatting sqref="J146:K146">
    <cfRule type="containsText" dxfId="23" priority="31" operator="containsText" text="OK">
      <formula>NOT(ISERROR(SEARCH("OK",J146)))</formula>
    </cfRule>
    <cfRule type="containsText" dxfId="22" priority="32" operator="containsText" text="ERROR">
      <formula>NOT(ISERROR(SEARCH("ERROR",J146)))</formula>
    </cfRule>
  </conditionalFormatting>
  <conditionalFormatting sqref="J65:K65">
    <cfRule type="containsText" dxfId="21" priority="29" operator="containsText" text="OK">
      <formula>NOT(ISERROR(SEARCH("OK",J65)))</formula>
    </cfRule>
    <cfRule type="containsText" dxfId="20" priority="30" operator="containsText" text="ERROR">
      <formula>NOT(ISERROR(SEARCH("ERROR",J65)))</formula>
    </cfRule>
  </conditionalFormatting>
  <conditionalFormatting sqref="J94:K96">
    <cfRule type="containsText" dxfId="19" priority="27" operator="containsText" text="OK">
      <formula>NOT(ISERROR(SEARCH("OK",J94)))</formula>
    </cfRule>
    <cfRule type="containsText" dxfId="18" priority="28" operator="containsText" text="ERROR">
      <formula>NOT(ISERROR(SEARCH("ERROR",J94)))</formula>
    </cfRule>
  </conditionalFormatting>
  <conditionalFormatting sqref="J105:K107">
    <cfRule type="containsText" dxfId="17" priority="25" operator="containsText" text="OK">
      <formula>NOT(ISERROR(SEARCH("OK",J105)))</formula>
    </cfRule>
    <cfRule type="containsText" dxfId="16" priority="26" operator="containsText" text="ERROR">
      <formula>NOT(ISERROR(SEARCH("ERROR",J105)))</formula>
    </cfRule>
  </conditionalFormatting>
  <conditionalFormatting sqref="J117:K119">
    <cfRule type="containsText" dxfId="15" priority="23" operator="containsText" text="OK">
      <formula>NOT(ISERROR(SEARCH("OK",J117)))</formula>
    </cfRule>
    <cfRule type="containsText" dxfId="14" priority="24" operator="containsText" text="ERROR">
      <formula>NOT(ISERROR(SEARCH("ERROR",J117)))</formula>
    </cfRule>
  </conditionalFormatting>
  <conditionalFormatting sqref="J113:K113">
    <cfRule type="containsText" dxfId="13" priority="21" operator="containsText" text="OK">
      <formula>NOT(ISERROR(SEARCH("OK",J113)))</formula>
    </cfRule>
    <cfRule type="containsText" dxfId="12" priority="22" operator="containsText" text="ERROR">
      <formula>NOT(ISERROR(SEARCH("ERROR",J113)))</formula>
    </cfRule>
  </conditionalFormatting>
  <conditionalFormatting sqref="J116:K116">
    <cfRule type="containsText" dxfId="11" priority="19" operator="containsText" text="OK">
      <formula>NOT(ISERROR(SEARCH("OK",J116)))</formula>
    </cfRule>
    <cfRule type="containsText" dxfId="10" priority="20" operator="containsText" text="ERROR">
      <formula>NOT(ISERROR(SEARCH("ERROR",J116)))</formula>
    </cfRule>
  </conditionalFormatting>
  <conditionalFormatting sqref="J130:K130">
    <cfRule type="containsText" dxfId="9" priority="17" operator="containsText" text="OK">
      <formula>NOT(ISERROR(SEARCH("OK",J130)))</formula>
    </cfRule>
    <cfRule type="containsText" dxfId="8" priority="18" operator="containsText" text="ERROR">
      <formula>NOT(ISERROR(SEARCH("ERROR",J130)))</formula>
    </cfRule>
  </conditionalFormatting>
  <conditionalFormatting sqref="J147:K150">
    <cfRule type="containsText" dxfId="7" priority="15" operator="containsText" text="OK">
      <formula>NOT(ISERROR(SEARCH("OK",J147)))</formula>
    </cfRule>
    <cfRule type="containsText" dxfId="6" priority="16" operator="containsText" text="ERROR">
      <formula>NOT(ISERROR(SEARCH("ERROR",J147)))</formula>
    </cfRule>
  </conditionalFormatting>
  <conditionalFormatting sqref="J152:K155">
    <cfRule type="containsText" dxfId="5" priority="11" operator="containsText" text="OK">
      <formula>NOT(ISERROR(SEARCH("OK",J152)))</formula>
    </cfRule>
    <cfRule type="containsText" dxfId="4" priority="12" operator="containsText" text="ERROR">
      <formula>NOT(ISERROR(SEARCH("ERROR",J152)))</formula>
    </cfRule>
  </conditionalFormatting>
  <conditionalFormatting sqref="J131:K132">
    <cfRule type="containsText" dxfId="3" priority="7" operator="containsText" text="OK">
      <formula>NOT(ISERROR(SEARCH("OK",J131)))</formula>
    </cfRule>
    <cfRule type="containsText" dxfId="2" priority="8" operator="containsText" text="ERROR">
      <formula>NOT(ISERROR(SEARCH("ERROR",J131)))</formula>
    </cfRule>
  </conditionalFormatting>
  <conditionalFormatting sqref="J37:K37">
    <cfRule type="containsText" dxfId="1" priority="1" operator="containsText" text="OK">
      <formula>NOT(ISERROR(SEARCH("OK",J37)))</formula>
    </cfRule>
    <cfRule type="containsText" dxfId="0" priority="2" operator="containsText" text="ERROR">
      <formula>NOT(ISERROR(SEARCH("ERROR",J37)))</formula>
    </cfRule>
  </conditionalFormatting>
  <pageMargins left="0.7" right="0.7" top="0.75" bottom="0.75" header="0.3" footer="0.3"/>
  <pageSetup paperSize="8" orientation="landscape" r:id="rId1"/>
  <customProperties>
    <customPr name="_pios_id" r:id="rId2"/>
  </customProperties>
  <ignoredErrors>
    <ignoredError sqref="H99:H101 J7:J13 J16:J21 J32:J36 J23:J29" formula="1"/>
  </ignoredErrors>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80A6-8E9D-463B-BF80-90540980D019}">
  <sheetPr>
    <tabColor rgb="FFFA780A"/>
  </sheetPr>
  <dimension ref="A1:Q77"/>
  <sheetViews>
    <sheetView showGridLines="0" workbookViewId="0">
      <selection activeCell="K18" sqref="K18"/>
    </sheetView>
  </sheetViews>
  <sheetFormatPr defaultRowHeight="12.75" x14ac:dyDescent="0.2"/>
  <cols>
    <col min="1" max="1" width="3.28515625" style="3" customWidth="1"/>
    <col min="2" max="2" width="18.28515625" style="3" customWidth="1"/>
    <col min="3" max="3" width="29.85546875" style="3" customWidth="1"/>
    <col min="4" max="5" width="12" style="3" customWidth="1"/>
    <col min="6" max="8" width="12.28515625" style="3" bestFit="1" customWidth="1"/>
    <col min="9" max="9" width="11.42578125" style="3" customWidth="1"/>
    <col min="10" max="16384" width="9.140625" style="3"/>
  </cols>
  <sheetData>
    <row r="1" spans="1:17" s="125" customFormat="1" ht="21" x14ac:dyDescent="0.35">
      <c r="A1" s="131" t="s">
        <v>458</v>
      </c>
    </row>
    <row r="3" spans="1:17" s="609" customFormat="1" x14ac:dyDescent="0.2">
      <c r="A3" s="609" t="s">
        <v>424</v>
      </c>
    </row>
    <row r="5" spans="1:17" x14ac:dyDescent="0.2">
      <c r="B5" s="36" t="s">
        <v>425</v>
      </c>
    </row>
    <row r="6" spans="1:17" ht="12.75" customHeight="1" x14ac:dyDescent="0.2">
      <c r="B6" s="891" t="s">
        <v>448</v>
      </c>
      <c r="C6" s="891"/>
      <c r="D6" s="891"/>
      <c r="E6" s="891"/>
      <c r="F6" s="891"/>
      <c r="G6" s="891"/>
      <c r="H6" s="891"/>
      <c r="I6" s="891"/>
      <c r="J6" s="891"/>
      <c r="K6" s="891"/>
      <c r="L6" s="891"/>
      <c r="M6" s="891"/>
      <c r="N6" s="891"/>
      <c r="O6" s="891"/>
      <c r="P6" s="891"/>
      <c r="Q6" s="891"/>
    </row>
    <row r="7" spans="1:17" x14ac:dyDescent="0.2">
      <c r="B7" s="891"/>
      <c r="C7" s="891"/>
      <c r="D7" s="891"/>
      <c r="E7" s="891"/>
      <c r="F7" s="891"/>
      <c r="G7" s="891"/>
      <c r="H7" s="891"/>
      <c r="I7" s="891"/>
      <c r="J7" s="891"/>
      <c r="K7" s="891"/>
      <c r="L7" s="891"/>
      <c r="M7" s="891"/>
      <c r="N7" s="891"/>
      <c r="O7" s="891"/>
      <c r="P7" s="891"/>
      <c r="Q7" s="891"/>
    </row>
    <row r="9" spans="1:17" x14ac:dyDescent="0.2">
      <c r="B9" s="36" t="s">
        <v>415</v>
      </c>
      <c r="D9" s="610" t="s">
        <v>255</v>
      </c>
      <c r="E9" s="610" t="s">
        <v>256</v>
      </c>
      <c r="F9" s="610" t="s">
        <v>257</v>
      </c>
      <c r="G9" s="610" t="s">
        <v>258</v>
      </c>
      <c r="H9" s="610"/>
    </row>
    <row r="10" spans="1:17" x14ac:dyDescent="0.2">
      <c r="B10" s="36"/>
      <c r="C10" s="36"/>
      <c r="D10" s="21" t="s">
        <v>442</v>
      </c>
      <c r="E10" s="21" t="s">
        <v>442</v>
      </c>
      <c r="F10" s="21" t="s">
        <v>442</v>
      </c>
      <c r="G10" s="21" t="s">
        <v>442</v>
      </c>
      <c r="H10" s="21"/>
    </row>
    <row r="11" spans="1:17" x14ac:dyDescent="0.2">
      <c r="B11" s="3" t="s">
        <v>416</v>
      </c>
      <c r="C11" s="3" t="s">
        <v>417</v>
      </c>
      <c r="D11" s="611">
        <f>679011681.463434+D12</f>
        <v>640948975.9268676</v>
      </c>
      <c r="E11" s="611">
        <f>755805870.737435+E12</f>
        <v>778002805.51524854</v>
      </c>
      <c r="F11" s="611">
        <f>788554421.168484+F12</f>
        <v>805621981.8863188</v>
      </c>
      <c r="G11" s="611">
        <f>804157866.603311+G12</f>
        <v>814258651.68082845</v>
      </c>
      <c r="H11" s="116"/>
    </row>
    <row r="12" spans="1:17" x14ac:dyDescent="0.2">
      <c r="B12" s="3" t="s">
        <v>419</v>
      </c>
      <c r="C12" s="3" t="s">
        <v>420</v>
      </c>
      <c r="D12" s="612">
        <f>'[19]3.1 Revenue'!$C$24</f>
        <v>-38062705.536566369</v>
      </c>
      <c r="E12" s="612">
        <f>'[20]3.1 Revenue'!$C$24</f>
        <v>22196934.777813505</v>
      </c>
      <c r="F12" s="612">
        <f>'[21]3.1 Revenue'!$C$24</f>
        <v>17067560.717834804</v>
      </c>
      <c r="G12" s="611">
        <v>10100785.07751747</v>
      </c>
    </row>
    <row r="13" spans="1:17" ht="13.5" thickBot="1" x14ac:dyDescent="0.25">
      <c r="B13" s="3" t="s">
        <v>416</v>
      </c>
      <c r="C13" s="3" t="s">
        <v>418</v>
      </c>
      <c r="D13" s="613">
        <f>D11-D12</f>
        <v>679011681.46343398</v>
      </c>
      <c r="E13" s="613">
        <f>E11-E12</f>
        <v>755805870.73743498</v>
      </c>
      <c r="F13" s="613">
        <f>F11-F12</f>
        <v>788554421.16848397</v>
      </c>
      <c r="G13" s="613">
        <f>G11-G12</f>
        <v>804157866.60331094</v>
      </c>
    </row>
    <row r="16" spans="1:17" x14ac:dyDescent="0.2">
      <c r="B16" s="36" t="s">
        <v>421</v>
      </c>
      <c r="D16" s="610" t="s">
        <v>255</v>
      </c>
      <c r="E16" s="610" t="s">
        <v>256</v>
      </c>
      <c r="F16" s="610" t="s">
        <v>257</v>
      </c>
      <c r="G16" s="610" t="s">
        <v>258</v>
      </c>
      <c r="H16" s="610"/>
    </row>
    <row r="17" spans="1:9" x14ac:dyDescent="0.2">
      <c r="B17" s="36"/>
      <c r="D17" s="21" t="s">
        <v>442</v>
      </c>
      <c r="E17" s="21" t="s">
        <v>442</v>
      </c>
      <c r="F17" s="21" t="s">
        <v>442</v>
      </c>
      <c r="G17" s="21" t="s">
        <v>442</v>
      </c>
      <c r="H17" s="21"/>
    </row>
    <row r="18" spans="1:9" x14ac:dyDescent="0.2">
      <c r="B18" s="3" t="s">
        <v>452</v>
      </c>
      <c r="C18" s="3" t="s">
        <v>422</v>
      </c>
      <c r="D18" s="611">
        <v>679011681.17999959</v>
      </c>
      <c r="E18" s="611">
        <v>755805871.23255897</v>
      </c>
      <c r="F18" s="611">
        <v>787201009.71000004</v>
      </c>
      <c r="G18" s="611">
        <v>804888317.33000147</v>
      </c>
      <c r="H18" s="611"/>
    </row>
    <row r="19" spans="1:9" x14ac:dyDescent="0.2">
      <c r="B19" s="3" t="s">
        <v>451</v>
      </c>
      <c r="C19" s="3" t="s">
        <v>459</v>
      </c>
      <c r="D19" s="611">
        <v>256974743.08000004</v>
      </c>
      <c r="E19" s="611">
        <v>245653183.64999998</v>
      </c>
      <c r="F19" s="611">
        <v>239066369.16</v>
      </c>
      <c r="G19" s="611">
        <v>239995710.85999998</v>
      </c>
      <c r="H19" s="611"/>
    </row>
    <row r="20" spans="1:9" x14ac:dyDescent="0.2">
      <c r="B20" s="3" t="s">
        <v>451</v>
      </c>
      <c r="C20" s="3" t="s">
        <v>453</v>
      </c>
      <c r="D20" s="116">
        <f>D19</f>
        <v>256974743.08000004</v>
      </c>
      <c r="E20" s="116">
        <f t="shared" ref="E20:G20" si="0">E19</f>
        <v>245653183.64999998</v>
      </c>
      <c r="F20" s="116">
        <f t="shared" si="0"/>
        <v>239066369.16</v>
      </c>
      <c r="G20" s="116">
        <f t="shared" si="0"/>
        <v>239995710.85999998</v>
      </c>
      <c r="H20" s="611"/>
    </row>
    <row r="21" spans="1:9" x14ac:dyDescent="0.2">
      <c r="B21" s="3" t="s">
        <v>423</v>
      </c>
      <c r="C21" s="3" t="s">
        <v>429</v>
      </c>
      <c r="D21" s="611">
        <v>118764149.50041787</v>
      </c>
      <c r="E21" s="611">
        <v>88752730.464447781</v>
      </c>
      <c r="F21" s="611">
        <v>81307981.549999997</v>
      </c>
      <c r="G21" s="611">
        <v>82131292.203488007</v>
      </c>
      <c r="H21" s="611"/>
    </row>
    <row r="23" spans="1:9" x14ac:dyDescent="0.2">
      <c r="B23" s="614" t="s">
        <v>426</v>
      </c>
      <c r="D23" s="610" t="s">
        <v>255</v>
      </c>
      <c r="E23" s="610" t="s">
        <v>256</v>
      </c>
      <c r="F23" s="610" t="s">
        <v>257</v>
      </c>
      <c r="G23" s="610" t="s">
        <v>258</v>
      </c>
    </row>
    <row r="24" spans="1:9" x14ac:dyDescent="0.2">
      <c r="B24" s="3" t="s">
        <v>454</v>
      </c>
      <c r="D24" s="615">
        <f>ROUND(D13-D18,0)</f>
        <v>0</v>
      </c>
      <c r="E24" s="615">
        <f t="shared" ref="E24:G24" si="1">ROUND(E13-E18,0)</f>
        <v>0</v>
      </c>
      <c r="F24" s="615">
        <f t="shared" si="1"/>
        <v>1353411</v>
      </c>
      <c r="G24" s="615">
        <f t="shared" si="1"/>
        <v>-730451</v>
      </c>
    </row>
    <row r="25" spans="1:9" x14ac:dyDescent="0.2">
      <c r="B25" s="3" t="s">
        <v>430</v>
      </c>
      <c r="D25" s="616"/>
      <c r="E25" s="616"/>
      <c r="F25" s="21" t="s">
        <v>428</v>
      </c>
      <c r="G25" s="21" t="s">
        <v>428</v>
      </c>
    </row>
    <row r="26" spans="1:9" x14ac:dyDescent="0.2">
      <c r="B26" s="617" t="s">
        <v>468</v>
      </c>
    </row>
    <row r="29" spans="1:9" s="609" customFormat="1" x14ac:dyDescent="0.2">
      <c r="A29" s="609" t="s">
        <v>427</v>
      </c>
    </row>
    <row r="31" spans="1:9" x14ac:dyDescent="0.2">
      <c r="B31" s="36" t="s">
        <v>422</v>
      </c>
      <c r="D31" s="610" t="s">
        <v>255</v>
      </c>
      <c r="E31" s="610" t="s">
        <v>256</v>
      </c>
      <c r="F31" s="610" t="s">
        <v>257</v>
      </c>
      <c r="G31" s="610" t="s">
        <v>258</v>
      </c>
      <c r="H31" s="610" t="s">
        <v>259</v>
      </c>
      <c r="I31" s="610" t="s">
        <v>179</v>
      </c>
    </row>
    <row r="32" spans="1:9" x14ac:dyDescent="0.2">
      <c r="D32" s="21" t="s">
        <v>187</v>
      </c>
      <c r="E32" s="21" t="s">
        <v>187</v>
      </c>
      <c r="F32" s="21" t="s">
        <v>187</v>
      </c>
      <c r="G32" s="21" t="s">
        <v>187</v>
      </c>
      <c r="H32" s="21" t="s">
        <v>187</v>
      </c>
      <c r="I32" s="21" t="s">
        <v>187</v>
      </c>
    </row>
    <row r="33" spans="2:9" x14ac:dyDescent="0.2">
      <c r="D33" s="610" t="s">
        <v>444</v>
      </c>
      <c r="E33" s="610" t="s">
        <v>444</v>
      </c>
      <c r="F33" s="610" t="s">
        <v>444</v>
      </c>
      <c r="G33" s="610" t="s">
        <v>444</v>
      </c>
      <c r="H33" s="610" t="s">
        <v>445</v>
      </c>
      <c r="I33" s="610" t="s">
        <v>446</v>
      </c>
    </row>
    <row r="34" spans="2:9" x14ac:dyDescent="0.2">
      <c r="B34" s="3" t="s">
        <v>447</v>
      </c>
      <c r="D34" s="611">
        <v>682000</v>
      </c>
      <c r="E34" s="611">
        <v>759583.73100000003</v>
      </c>
      <c r="F34" s="611">
        <v>788554.34900000005</v>
      </c>
      <c r="G34" s="116">
        <f>'Outcome - DUoS'!H14</f>
        <v>804157.86699999997</v>
      </c>
      <c r="H34" s="116">
        <f>'Outcome - DUoS'!I14</f>
        <v>837347.53899999999</v>
      </c>
      <c r="I34" s="116">
        <f>'Outcome - DUoS'!J14</f>
        <v>808657.98475497379</v>
      </c>
    </row>
    <row r="35" spans="2:9" x14ac:dyDescent="0.2">
      <c r="B35" s="3" t="s">
        <v>470</v>
      </c>
      <c r="D35" s="116">
        <f>D18/1000</f>
        <v>679011.68117999961</v>
      </c>
      <c r="E35" s="116">
        <f>E18/1000</f>
        <v>755805.87123255897</v>
      </c>
      <c r="F35" s="116">
        <f>F18/1000</f>
        <v>787201.00971000001</v>
      </c>
      <c r="G35" s="116">
        <f>G18/1000</f>
        <v>804888.3173300015</v>
      </c>
      <c r="H35" s="116"/>
      <c r="I35" s="116"/>
    </row>
    <row r="36" spans="2:9" ht="13.5" thickBot="1" x14ac:dyDescent="0.25">
      <c r="B36" s="3" t="s">
        <v>466</v>
      </c>
      <c r="D36" s="613">
        <f>+D34-D35</f>
        <v>2988.3188200003933</v>
      </c>
      <c r="E36" s="613">
        <f t="shared" ref="E36:G36" si="2">+E34-E35</f>
        <v>3777.8597674410557</v>
      </c>
      <c r="F36" s="613">
        <f t="shared" si="2"/>
        <v>1353.3392900000326</v>
      </c>
      <c r="G36" s="613">
        <f t="shared" si="2"/>
        <v>-730.45033000153489</v>
      </c>
      <c r="H36" s="613"/>
      <c r="I36" s="613"/>
    </row>
    <row r="37" spans="2:9" x14ac:dyDescent="0.2">
      <c r="B37" s="617" t="s">
        <v>467</v>
      </c>
      <c r="D37" s="618">
        <f>D36/D34</f>
        <v>4.3816991495606939E-3</v>
      </c>
      <c r="E37" s="618">
        <f t="shared" ref="E37" si="3">E36/E34</f>
        <v>4.9735922627877549E-3</v>
      </c>
      <c r="F37" s="618">
        <f t="shared" ref="F37" si="4">F36/F34</f>
        <v>1.7162283002005643E-3</v>
      </c>
      <c r="G37" s="618">
        <f t="shared" ref="G37" si="5">G36/G34</f>
        <v>-9.083419561964379E-4</v>
      </c>
      <c r="H37" s="618">
        <f t="shared" ref="H37" si="6">H36/H34</f>
        <v>0</v>
      </c>
      <c r="I37" s="618">
        <f t="shared" ref="I37" si="7">I36/I34</f>
        <v>0</v>
      </c>
    </row>
    <row r="38" spans="2:9" x14ac:dyDescent="0.2">
      <c r="D38" s="116"/>
      <c r="E38" s="116"/>
      <c r="F38" s="116"/>
      <c r="G38" s="116"/>
      <c r="H38" s="116"/>
      <c r="I38" s="116"/>
    </row>
    <row r="39" spans="2:9" x14ac:dyDescent="0.2">
      <c r="B39" s="614" t="s">
        <v>449</v>
      </c>
    </row>
    <row r="40" spans="2:9" x14ac:dyDescent="0.2">
      <c r="B40" s="23" t="s">
        <v>469</v>
      </c>
      <c r="D40" s="611">
        <v>2965.7629999999999</v>
      </c>
      <c r="E40" s="611">
        <v>3790.8193000000001</v>
      </c>
      <c r="F40" s="611">
        <v>1139.1588999999999</v>
      </c>
      <c r="G40" s="611">
        <v>-1000.9823000000001</v>
      </c>
    </row>
    <row r="41" spans="2:9" x14ac:dyDescent="0.2">
      <c r="B41" s="3" t="s">
        <v>471</v>
      </c>
      <c r="D41" s="611"/>
      <c r="E41" s="611"/>
      <c r="F41" s="611">
        <v>229.54338999999999</v>
      </c>
      <c r="G41" s="611">
        <v>225.24108000000001</v>
      </c>
    </row>
    <row r="42" spans="2:9" ht="15.75" thickBot="1" x14ac:dyDescent="0.3">
      <c r="B42" s="619" t="s">
        <v>464</v>
      </c>
      <c r="D42" s="613">
        <f t="shared" ref="D42:I42" si="8">SUM(D40:D41)</f>
        <v>2965.7629999999999</v>
      </c>
      <c r="E42" s="613">
        <f t="shared" si="8"/>
        <v>3790.8193000000001</v>
      </c>
      <c r="F42" s="613">
        <f t="shared" si="8"/>
        <v>1368.7022899999999</v>
      </c>
      <c r="G42" s="613">
        <f t="shared" si="8"/>
        <v>-775.74122000000011</v>
      </c>
      <c r="H42" s="613">
        <f t="shared" si="8"/>
        <v>0</v>
      </c>
      <c r="I42" s="613">
        <f t="shared" si="8"/>
        <v>0</v>
      </c>
    </row>
    <row r="43" spans="2:9" ht="15" x14ac:dyDescent="0.25">
      <c r="B43" s="619" t="s">
        <v>465</v>
      </c>
      <c r="D43" s="116">
        <f t="shared" ref="D43:I43" si="9">D36-D42</f>
        <v>22.555820000393396</v>
      </c>
      <c r="E43" s="116">
        <f t="shared" si="9"/>
        <v>-12.959532558944375</v>
      </c>
      <c r="F43" s="116">
        <f t="shared" si="9"/>
        <v>-15.362999999967315</v>
      </c>
      <c r="G43" s="116">
        <f t="shared" si="9"/>
        <v>45.290889998465218</v>
      </c>
      <c r="H43" s="116">
        <f t="shared" si="9"/>
        <v>0</v>
      </c>
      <c r="I43" s="116">
        <f t="shared" si="9"/>
        <v>0</v>
      </c>
    </row>
    <row r="45" spans="2:9" ht="13.5" thickBot="1" x14ac:dyDescent="0.25"/>
    <row r="46" spans="2:9" s="620" customFormat="1" x14ac:dyDescent="0.2"/>
    <row r="47" spans="2:9" x14ac:dyDescent="0.2">
      <c r="B47" s="36" t="s">
        <v>443</v>
      </c>
      <c r="D47" s="610" t="s">
        <v>255</v>
      </c>
      <c r="E47" s="610" t="s">
        <v>256</v>
      </c>
      <c r="F47" s="610" t="s">
        <v>257</v>
      </c>
      <c r="G47" s="610" t="s">
        <v>258</v>
      </c>
      <c r="H47" s="610" t="s">
        <v>259</v>
      </c>
      <c r="I47" s="610" t="s">
        <v>179</v>
      </c>
    </row>
    <row r="48" spans="2:9" x14ac:dyDescent="0.2">
      <c r="D48" s="21" t="s">
        <v>187</v>
      </c>
      <c r="E48" s="21" t="s">
        <v>187</v>
      </c>
      <c r="F48" s="21" t="s">
        <v>187</v>
      </c>
      <c r="G48" s="21" t="s">
        <v>187</v>
      </c>
      <c r="H48" s="21" t="s">
        <v>187</v>
      </c>
      <c r="I48" s="21" t="s">
        <v>187</v>
      </c>
    </row>
    <row r="49" spans="2:9" x14ac:dyDescent="0.2">
      <c r="D49" s="610" t="s">
        <v>444</v>
      </c>
      <c r="E49" s="610" t="s">
        <v>444</v>
      </c>
      <c r="F49" s="610" t="s">
        <v>444</v>
      </c>
      <c r="G49" s="610" t="s">
        <v>444</v>
      </c>
      <c r="H49" s="610" t="s">
        <v>445</v>
      </c>
      <c r="I49" s="610" t="s">
        <v>446</v>
      </c>
    </row>
    <row r="50" spans="2:9" x14ac:dyDescent="0.2">
      <c r="B50" s="3" t="s">
        <v>456</v>
      </c>
      <c r="D50" s="611">
        <v>256974.64554999999</v>
      </c>
      <c r="E50" s="611">
        <v>245716.82481999998</v>
      </c>
      <c r="F50" s="611">
        <v>239001.86692</v>
      </c>
      <c r="G50" s="116">
        <f>TUoS!D13</f>
        <v>239994.50161000001</v>
      </c>
      <c r="H50" s="116">
        <f>TUoS!E13</f>
        <v>244016.11350520965</v>
      </c>
      <c r="I50" s="116">
        <f>TUoS!F13</f>
        <v>263186.61064000003</v>
      </c>
    </row>
    <row r="51" spans="2:9" x14ac:dyDescent="0.2">
      <c r="B51" s="3" t="s">
        <v>450</v>
      </c>
      <c r="D51" s="116">
        <f>D19/1000</f>
        <v>256974.74308000004</v>
      </c>
      <c r="E51" s="116">
        <f>E19/1000</f>
        <v>245653.18364999996</v>
      </c>
      <c r="F51" s="116">
        <f>F19/1000</f>
        <v>239066.36916</v>
      </c>
      <c r="G51" s="116">
        <f>G19/1000</f>
        <v>239995.71085999999</v>
      </c>
      <c r="H51" s="116"/>
      <c r="I51" s="116"/>
    </row>
    <row r="52" spans="2:9" ht="13.5" thickBot="1" x14ac:dyDescent="0.25">
      <c r="B52" s="3" t="s">
        <v>466</v>
      </c>
      <c r="D52" s="613">
        <f>+D50-D51</f>
        <v>-9.7530000057304278E-2</v>
      </c>
      <c r="E52" s="613">
        <f t="shared" ref="E52" si="10">+E50-E51</f>
        <v>63.641170000017155</v>
      </c>
      <c r="F52" s="613">
        <f t="shared" ref="F52" si="11">+F50-F51</f>
        <v>-64.502240000001621</v>
      </c>
      <c r="G52" s="613">
        <f t="shared" ref="G52" si="12">+G50-G51</f>
        <v>-1.2092499999853317</v>
      </c>
      <c r="H52" s="613"/>
      <c r="I52" s="613"/>
    </row>
    <row r="53" spans="2:9" x14ac:dyDescent="0.2">
      <c r="B53" s="617" t="s">
        <v>467</v>
      </c>
      <c r="D53" s="618">
        <f>D52/D50</f>
        <v>-3.7953160650756773E-7</v>
      </c>
      <c r="E53" s="618">
        <f t="shared" ref="E53" si="13">E52/E50</f>
        <v>2.5900208521185936E-4</v>
      </c>
      <c r="F53" s="618">
        <f t="shared" ref="F53" si="14">F52/F50</f>
        <v>-2.6988174122335269E-4</v>
      </c>
      <c r="G53" s="618">
        <f t="shared" ref="G53" si="15">G52/G50</f>
        <v>-5.0386571020298123E-6</v>
      </c>
      <c r="H53" s="618">
        <f t="shared" ref="H53" si="16">H52/H50</f>
        <v>0</v>
      </c>
      <c r="I53" s="618">
        <f t="shared" ref="I53" si="17">I52/I50</f>
        <v>0</v>
      </c>
    </row>
    <row r="55" spans="2:9" x14ac:dyDescent="0.2">
      <c r="B55" s="614" t="s">
        <v>449</v>
      </c>
    </row>
    <row r="56" spans="2:9" x14ac:dyDescent="0.2">
      <c r="B56" s="3" t="s">
        <v>460</v>
      </c>
      <c r="E56" s="117">
        <f>E52</f>
        <v>63.641170000017155</v>
      </c>
    </row>
    <row r="57" spans="2:9" x14ac:dyDescent="0.2">
      <c r="B57" s="3" t="s">
        <v>461</v>
      </c>
      <c r="F57" s="117">
        <f>-E56</f>
        <v>-63.641170000017155</v>
      </c>
    </row>
    <row r="58" spans="2:9" ht="15.75" thickBot="1" x14ac:dyDescent="0.3">
      <c r="B58" s="619" t="s">
        <v>462</v>
      </c>
      <c r="D58" s="613">
        <f>SUM(D56:D57)</f>
        <v>0</v>
      </c>
      <c r="E58" s="613">
        <f t="shared" ref="E58:I58" si="18">SUM(E56:E57)</f>
        <v>63.641170000017155</v>
      </c>
      <c r="F58" s="613">
        <f t="shared" si="18"/>
        <v>-63.641170000017155</v>
      </c>
      <c r="G58" s="613">
        <f t="shared" si="18"/>
        <v>0</v>
      </c>
      <c r="H58" s="613">
        <f t="shared" si="18"/>
        <v>0</v>
      </c>
      <c r="I58" s="613">
        <f t="shared" si="18"/>
        <v>0</v>
      </c>
    </row>
    <row r="59" spans="2:9" ht="15" x14ac:dyDescent="0.25">
      <c r="B59" s="619" t="s">
        <v>465</v>
      </c>
      <c r="D59" s="116">
        <f t="shared" ref="D59:I59" si="19">D52-D58</f>
        <v>-9.7530000057304278E-2</v>
      </c>
      <c r="E59" s="116">
        <f t="shared" si="19"/>
        <v>0</v>
      </c>
      <c r="F59" s="116">
        <f t="shared" si="19"/>
        <v>-0.86106999998446554</v>
      </c>
      <c r="G59" s="116">
        <f t="shared" si="19"/>
        <v>-1.2092499999853317</v>
      </c>
      <c r="H59" s="116">
        <f t="shared" si="19"/>
        <v>0</v>
      </c>
      <c r="I59" s="116">
        <f t="shared" si="19"/>
        <v>0</v>
      </c>
    </row>
    <row r="60" spans="2:9" ht="15" x14ac:dyDescent="0.25">
      <c r="B60" s="619"/>
      <c r="D60" s="116"/>
      <c r="E60" s="116"/>
      <c r="F60" s="116"/>
      <c r="G60" s="116"/>
      <c r="H60" s="116"/>
      <c r="I60" s="116"/>
    </row>
    <row r="61" spans="2:9" ht="13.5" thickBot="1" x14ac:dyDescent="0.25"/>
    <row r="62" spans="2:9" s="620" customFormat="1" x14ac:dyDescent="0.2"/>
    <row r="63" spans="2:9" x14ac:dyDescent="0.2">
      <c r="B63" s="36" t="s">
        <v>455</v>
      </c>
      <c r="D63" s="610" t="s">
        <v>255</v>
      </c>
      <c r="E63" s="610" t="s">
        <v>256</v>
      </c>
      <c r="F63" s="610" t="s">
        <v>257</v>
      </c>
      <c r="G63" s="610" t="s">
        <v>258</v>
      </c>
      <c r="H63" s="610" t="s">
        <v>259</v>
      </c>
      <c r="I63" s="610" t="s">
        <v>179</v>
      </c>
    </row>
    <row r="64" spans="2:9" x14ac:dyDescent="0.2">
      <c r="D64" s="21" t="s">
        <v>187</v>
      </c>
      <c r="E64" s="21" t="s">
        <v>187</v>
      </c>
      <c r="F64" s="21" t="s">
        <v>187</v>
      </c>
      <c r="G64" s="21" t="s">
        <v>187</v>
      </c>
      <c r="H64" s="21" t="s">
        <v>187</v>
      </c>
      <c r="I64" s="21" t="s">
        <v>187</v>
      </c>
    </row>
    <row r="65" spans="2:9" x14ac:dyDescent="0.2">
      <c r="D65" s="610" t="s">
        <v>444</v>
      </c>
      <c r="E65" s="610" t="s">
        <v>444</v>
      </c>
      <c r="F65" s="610" t="s">
        <v>444</v>
      </c>
      <c r="G65" s="610" t="s">
        <v>444</v>
      </c>
      <c r="H65" s="610" t="s">
        <v>445</v>
      </c>
      <c r="I65" s="610" t="s">
        <v>446</v>
      </c>
    </row>
    <row r="66" spans="2:9" x14ac:dyDescent="0.2">
      <c r="B66" s="3" t="s">
        <v>457</v>
      </c>
      <c r="D66" s="611">
        <v>118991.38755549773</v>
      </c>
      <c r="E66" s="611">
        <v>89457.213808631088</v>
      </c>
      <c r="F66" s="611">
        <v>81142.771285372437</v>
      </c>
      <c r="G66" s="116">
        <f>JSO!D13</f>
        <v>82288.802927292563</v>
      </c>
      <c r="H66" s="116">
        <f>JSO!E13</f>
        <v>81048</v>
      </c>
      <c r="I66" s="116">
        <f>JSO!F13</f>
        <v>81048</v>
      </c>
    </row>
    <row r="67" spans="2:9" x14ac:dyDescent="0.2">
      <c r="B67" s="3" t="s">
        <v>463</v>
      </c>
      <c r="D67" s="116">
        <f t="shared" ref="D67:I67" si="20">D21/1000</f>
        <v>118764.14950041787</v>
      </c>
      <c r="E67" s="116">
        <f t="shared" si="20"/>
        <v>88752.730464447784</v>
      </c>
      <c r="F67" s="116">
        <f t="shared" si="20"/>
        <v>81307.981549999997</v>
      </c>
      <c r="G67" s="116">
        <f t="shared" si="20"/>
        <v>82131.292203488003</v>
      </c>
      <c r="H67" s="116">
        <f t="shared" si="20"/>
        <v>0</v>
      </c>
      <c r="I67" s="116">
        <f t="shared" si="20"/>
        <v>0</v>
      </c>
    </row>
    <row r="68" spans="2:9" ht="13.5" thickBot="1" x14ac:dyDescent="0.25">
      <c r="B68" s="3" t="s">
        <v>466</v>
      </c>
      <c r="D68" s="613">
        <f>+D66-D67</f>
        <v>227.23805507985526</v>
      </c>
      <c r="E68" s="613">
        <f t="shared" ref="E68" si="21">+E66-E67</f>
        <v>704.48334418330342</v>
      </c>
      <c r="F68" s="613">
        <f t="shared" ref="F68" si="22">+F66-F67</f>
        <v>-165.21026462755981</v>
      </c>
      <c r="G68" s="613">
        <f t="shared" ref="G68" si="23">+G66-G67</f>
        <v>157.51072380456026</v>
      </c>
      <c r="H68" s="613"/>
      <c r="I68" s="613"/>
    </row>
    <row r="69" spans="2:9" x14ac:dyDescent="0.2">
      <c r="B69" s="617" t="s">
        <v>467</v>
      </c>
      <c r="C69" s="617"/>
      <c r="D69" s="618">
        <f>D68/D66</f>
        <v>1.9097016998299238E-3</v>
      </c>
      <c r="E69" s="618">
        <f t="shared" ref="E69:I69" si="24">E68/E66</f>
        <v>7.8750870297654273E-3</v>
      </c>
      <c r="F69" s="618">
        <f t="shared" si="24"/>
        <v>-2.0360441479935279E-3</v>
      </c>
      <c r="G69" s="618">
        <f t="shared" si="24"/>
        <v>1.9141209763827904E-3</v>
      </c>
      <c r="H69" s="618">
        <f t="shared" si="24"/>
        <v>0</v>
      </c>
      <c r="I69" s="618">
        <f t="shared" si="24"/>
        <v>0</v>
      </c>
    </row>
    <row r="71" spans="2:9" x14ac:dyDescent="0.2">
      <c r="B71" s="614" t="s">
        <v>449</v>
      </c>
    </row>
    <row r="72" spans="2:9" ht="15.75" thickBot="1" x14ac:dyDescent="0.3">
      <c r="B72" s="619" t="s">
        <v>462</v>
      </c>
      <c r="D72" s="613">
        <f>D68</f>
        <v>227.23805507985526</v>
      </c>
      <c r="E72" s="613">
        <f t="shared" ref="E72:I72" si="25">E68</f>
        <v>704.48334418330342</v>
      </c>
      <c r="F72" s="613">
        <f t="shared" si="25"/>
        <v>-165.21026462755981</v>
      </c>
      <c r="G72" s="613">
        <f t="shared" si="25"/>
        <v>157.51072380456026</v>
      </c>
      <c r="H72" s="613">
        <f t="shared" si="25"/>
        <v>0</v>
      </c>
      <c r="I72" s="613">
        <f t="shared" si="25"/>
        <v>0</v>
      </c>
    </row>
    <row r="73" spans="2:9" ht="15" x14ac:dyDescent="0.25">
      <c r="B73" s="619" t="s">
        <v>465</v>
      </c>
      <c r="D73" s="116">
        <f t="shared" ref="D73:I73" si="26">D68-D72</f>
        <v>0</v>
      </c>
      <c r="E73" s="116">
        <f t="shared" si="26"/>
        <v>0</v>
      </c>
      <c r="F73" s="116">
        <f t="shared" si="26"/>
        <v>0</v>
      </c>
      <c r="G73" s="116">
        <f t="shared" si="26"/>
        <v>0</v>
      </c>
      <c r="H73" s="116">
        <f t="shared" si="26"/>
        <v>0</v>
      </c>
      <c r="I73" s="116">
        <f t="shared" si="26"/>
        <v>0</v>
      </c>
    </row>
    <row r="75" spans="2:9" ht="13.5" thickBot="1" x14ac:dyDescent="0.25"/>
    <row r="76" spans="2:9" s="620" customFormat="1" x14ac:dyDescent="0.2"/>
    <row r="77" spans="2:9" x14ac:dyDescent="0.2">
      <c r="D77" s="621"/>
    </row>
  </sheetData>
  <mergeCells count="1">
    <mergeCell ref="B6:Q7"/>
  </mergeCells>
  <phoneticPr fontId="26" type="noConversion"/>
  <pageMargins left="0.7" right="0.7" top="0.75" bottom="0.75" header="0.3" footer="0.3"/>
  <pageSetup paperSize="9" orientation="portrait" r:id="rId1"/>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Formulae</vt:lpstr>
      <vt:lpstr>Model Update</vt:lpstr>
      <vt:lpstr>Outcome - DUoS</vt:lpstr>
      <vt:lpstr>TUoS</vt:lpstr>
      <vt:lpstr>JSO</vt:lpstr>
      <vt:lpstr>DUoS (t)</vt:lpstr>
      <vt:lpstr>TUoS (t)</vt:lpstr>
      <vt:lpstr>JSO (t)</vt:lpstr>
      <vt:lpstr>NUoS (t)</vt:lpstr>
      <vt:lpstr>Q (t)</vt:lpstr>
      <vt:lpstr>Cust Specific</vt:lpstr>
      <vt:lpstr>Pricing Scheule (t)</vt:lpstr>
      <vt:lpstr>2020-25 Pricing Schedule</vt:lpstr>
      <vt:lpstr>TSS REC</vt:lpstr>
      <vt:lpstr>RIN REC</vt:lpstr>
      <vt:lpstr>Formulae!_ftnref1</vt:lpstr>
      <vt:lpstr>Days_Summer_Demand</vt:lpstr>
      <vt:lpstr>Days_Year</vt:lpstr>
      <vt:lpstr>'Cust Specific'!Print_Area</vt:lpstr>
      <vt:lpstr>'DUoS (t)'!Print_Area</vt:lpstr>
      <vt:lpstr>'JSO (t)'!Print_Area</vt:lpstr>
      <vt:lpstr>'NUoS (t)'!Print_Area</vt:lpstr>
      <vt:lpstr>'Pricing Scheule (t)'!Print_Area</vt:lpstr>
      <vt:lpstr>'Q (t)'!Print_Area</vt:lpstr>
      <vt:lpstr>'TUoS (t)'!Print_Area</vt:lpstr>
      <vt:lpstr>'DUoS (t)'!Print_Titles</vt:lpstr>
      <vt:lpstr>'JSO (t)'!Print_Titles</vt:lpstr>
      <vt:lpstr>'NUoS (t)'!Print_Titles</vt:lpstr>
      <vt:lpstr>'Q (t)'!Print_Titles</vt:lpstr>
      <vt:lpstr>'TUoS (t)'!Print_Titles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Bernhardt</dc:creator>
  <cp:lastModifiedBy>James Bennett</cp:lastModifiedBy>
  <cp:lastPrinted>2020-06-09T06:36:00Z</cp:lastPrinted>
  <dcterms:created xsi:type="dcterms:W3CDTF">2020-03-18T02:50:49Z</dcterms:created>
  <dcterms:modified xsi:type="dcterms:W3CDTF">2020-06-16T23:36:32Z</dcterms:modified>
</cp:coreProperties>
</file>